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BDF7DFC6-C264-4EEA-A42B-DE9EEED75B74}" xr6:coauthVersionLast="45" xr6:coauthVersionMax="45" xr10:uidLastSave="{00000000-0000-0000-0000-000000000000}"/>
  <bookViews>
    <workbookView xWindow="-110" yWindow="-110" windowWidth="19420" windowHeight="10420" tabRatio="607"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burning'!$A$1:$A$4002</definedName>
    <definedName name="_xlnm._FilterDatabase" localSheetId="5" hidden="1">'Fire Policy'!$A$1:$A$793</definedName>
    <definedName name="_xlnm._FilterDatabase" localSheetId="4" hidden="1">'Fire suppression'!$A$1:$A$708</definedName>
    <definedName name="_xlnm._FilterDatabase" localSheetId="1" hidden="1">'Land use'!$A$1:$A$1219</definedName>
    <definedName name="_xlnm._FilterDatabase" localSheetId="0" hidden="1">'Record info'!$A$1:$A$1219</definedName>
    <definedName name="_xlnm._FilterDatabase" localSheetId="2" hidden="1">'Reported burning'!$A$1:$A$2956</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2388" i="3" l="1"/>
  <c r="U2387" i="3"/>
  <c r="U2386" i="3"/>
  <c r="U2385" i="3"/>
  <c r="U2383" i="3"/>
  <c r="U2384" i="3"/>
  <c r="J2545" i="3" l="1"/>
  <c r="X2545" i="3"/>
  <c r="T2545" i="3"/>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A2528" i="10"/>
  <c r="B2528" i="10"/>
  <c r="C2528" i="10"/>
  <c r="D2528" i="10"/>
  <c r="E2528" i="10"/>
  <c r="F2528" i="10"/>
  <c r="G2528" i="10"/>
  <c r="H2528" i="10"/>
  <c r="A2529" i="10"/>
  <c r="B2529" i="10"/>
  <c r="C2529" i="10"/>
  <c r="D2529" i="10"/>
  <c r="E2529" i="10"/>
  <c r="F2529" i="10"/>
  <c r="G2529" i="10"/>
  <c r="H2529" i="10"/>
  <c r="J2518" i="3"/>
  <c r="J2516" i="3"/>
  <c r="J2514" i="3"/>
  <c r="J2512" i="3"/>
  <c r="J2509" i="3"/>
  <c r="P2508" i="3"/>
  <c r="X2508" i="3"/>
  <c r="J2508" i="3"/>
  <c r="P2536" i="3" l="1"/>
  <c r="P2540" i="3"/>
  <c r="P2537" i="3"/>
  <c r="P2539" i="3"/>
  <c r="Z2532" i="10" l="1"/>
  <c r="Z2533" i="10"/>
  <c r="Z2534" i="10"/>
  <c r="Z2535" i="10"/>
  <c r="X2532" i="10"/>
  <c r="Y2532" i="10"/>
  <c r="X2533" i="10"/>
  <c r="Y2533" i="10"/>
  <c r="X2534" i="10"/>
  <c r="Y2534" i="10"/>
  <c r="X2535" i="10"/>
  <c r="Y2535" i="10"/>
  <c r="A2535" i="10"/>
  <c r="B2535" i="10"/>
  <c r="C2535" i="10"/>
  <c r="D2535" i="10"/>
  <c r="E2535" i="10"/>
  <c r="F2535" i="10"/>
  <c r="G2535" i="10"/>
  <c r="H2535" i="10"/>
  <c r="E2534" i="10"/>
  <c r="E2531" i="10"/>
  <c r="A2532" i="10"/>
  <c r="B2532" i="10"/>
  <c r="C2532" i="10"/>
  <c r="D2532" i="10"/>
  <c r="E2532" i="10"/>
  <c r="F2532" i="10"/>
  <c r="G2532" i="10"/>
  <c r="H2532" i="10"/>
  <c r="X2540" i="3"/>
  <c r="X2539" i="3"/>
  <c r="X2537" i="3"/>
  <c r="X2536" i="3"/>
  <c r="T2540" i="3"/>
  <c r="T2539" i="3"/>
  <c r="T2536" i="3"/>
  <c r="T2537" i="3"/>
  <c r="R1054" i="4"/>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5" i="10"/>
  <c r="B2945" i="10"/>
  <c r="C2945" i="10"/>
  <c r="D2945" i="10"/>
  <c r="E2945" i="10"/>
  <c r="F2945" i="10"/>
  <c r="G2945" i="10"/>
  <c r="H2945" i="10"/>
  <c r="A2946" i="10"/>
  <c r="B2946" i="10"/>
  <c r="C2946" i="10"/>
  <c r="D2946" i="10"/>
  <c r="E2946" i="10"/>
  <c r="F2946" i="10"/>
  <c r="G2946" i="10"/>
  <c r="H2946" i="10"/>
  <c r="A2947" i="10"/>
  <c r="B2947" i="10"/>
  <c r="C2947" i="10"/>
  <c r="D2947" i="10"/>
  <c r="E2947" i="10"/>
  <c r="F2947" i="10"/>
  <c r="G2947" i="10"/>
  <c r="H2947" i="10"/>
  <c r="A2948" i="10"/>
  <c r="B2948" i="10"/>
  <c r="C2948" i="10"/>
  <c r="D2948" i="10"/>
  <c r="E2948" i="10"/>
  <c r="F2948" i="10"/>
  <c r="G2948" i="10"/>
  <c r="H2948" i="10"/>
  <c r="A2949" i="10"/>
  <c r="B2949" i="10"/>
  <c r="C2949" i="10"/>
  <c r="D2949" i="10"/>
  <c r="E2949" i="10"/>
  <c r="F2949" i="10"/>
  <c r="G2949" i="10"/>
  <c r="H2949" i="10"/>
  <c r="A2950" i="10"/>
  <c r="B2950" i="10"/>
  <c r="C2950" i="10"/>
  <c r="D2950" i="10"/>
  <c r="E2950" i="10"/>
  <c r="F2950" i="10"/>
  <c r="G2950" i="10"/>
  <c r="H2950" i="10"/>
  <c r="A2951" i="10"/>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89" i="10"/>
  <c r="B2989" i="10"/>
  <c r="C2989" i="10"/>
  <c r="D2989" i="10"/>
  <c r="E2989" i="10"/>
  <c r="F2989" i="10"/>
  <c r="G2989" i="10"/>
  <c r="H2989" i="10"/>
  <c r="A2990" i="10"/>
  <c r="B2990" i="10"/>
  <c r="C2990" i="10"/>
  <c r="D2990" i="10"/>
  <c r="E2990" i="10"/>
  <c r="F2990" i="10"/>
  <c r="G2990" i="10"/>
  <c r="H2990" i="10"/>
  <c r="A2991" i="10"/>
  <c r="B2991" i="10"/>
  <c r="C2991" i="10"/>
  <c r="D2991" i="10"/>
  <c r="E2991" i="10"/>
  <c r="F2991" i="10"/>
  <c r="G2991" i="10"/>
  <c r="H2991" i="10"/>
  <c r="A2992" i="10"/>
  <c r="B2992" i="10"/>
  <c r="C2992" i="10"/>
  <c r="D2992" i="10"/>
  <c r="E2992" i="10"/>
  <c r="F2992" i="10"/>
  <c r="G2992" i="10"/>
  <c r="H2992" i="10"/>
  <c r="A2993" i="10"/>
  <c r="B2993" i="10"/>
  <c r="C2993" i="10"/>
  <c r="D2993" i="10"/>
  <c r="E2993" i="10"/>
  <c r="F2993" i="10"/>
  <c r="G2993" i="10"/>
  <c r="H2993" i="10"/>
  <c r="A2994" i="10"/>
  <c r="B2994" i="10"/>
  <c r="C2994" i="10"/>
  <c r="D2994" i="10"/>
  <c r="E2994" i="10"/>
  <c r="F2994" i="10"/>
  <c r="G2994" i="10"/>
  <c r="H2994" i="10"/>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G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E3124" i="10"/>
  <c r="F3124" i="10"/>
  <c r="G3124" i="10"/>
  <c r="H3124" i="10"/>
  <c r="A3125" i="10"/>
  <c r="B3125" i="10"/>
  <c r="C3125" i="10"/>
  <c r="D3125" i="10"/>
  <c r="E3125" i="10"/>
  <c r="F3125" i="10"/>
  <c r="G3125" i="10"/>
  <c r="H3125" i="10"/>
  <c r="A3126" i="10"/>
  <c r="B3126" i="10"/>
  <c r="C3126" i="10"/>
  <c r="D3126" i="10"/>
  <c r="E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A3237" i="10"/>
  <c r="B3237" i="10"/>
  <c r="C3237" i="10"/>
  <c r="D3237" i="10"/>
  <c r="E3237" i="10"/>
  <c r="F3237" i="10"/>
  <c r="G3237" i="10"/>
  <c r="H3237" i="10"/>
  <c r="A3238" i="10"/>
  <c r="B3238" i="10"/>
  <c r="C3238" i="10"/>
  <c r="D3238" i="10"/>
  <c r="E3238" i="10"/>
  <c r="F3238" i="10"/>
  <c r="G3238" i="10"/>
  <c r="H3238" i="10"/>
  <c r="A3239"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5" i="10"/>
  <c r="B3365" i="10"/>
  <c r="C3365" i="10"/>
  <c r="D3365" i="10"/>
  <c r="E3365" i="10"/>
  <c r="F3365" i="10"/>
  <c r="G3365" i="10"/>
  <c r="H3365" i="10"/>
  <c r="A3366" i="10"/>
  <c r="B3366" i="10"/>
  <c r="C3366" i="10"/>
  <c r="D3366" i="10"/>
  <c r="E3366" i="10"/>
  <c r="F3366" i="10"/>
  <c r="G3366" i="10"/>
  <c r="H3366" i="10"/>
  <c r="A3367" i="10"/>
  <c r="B3367" i="10"/>
  <c r="C3367" i="10"/>
  <c r="D3367" i="10"/>
  <c r="E3367" i="10"/>
  <c r="F3367" i="10"/>
  <c r="G3367" i="10"/>
  <c r="H3367" i="10"/>
  <c r="A3368" i="10"/>
  <c r="B3368" i="10"/>
  <c r="C3368" i="10"/>
  <c r="D3368" i="10"/>
  <c r="E3368" i="10"/>
  <c r="F3368" i="10"/>
  <c r="G3368" i="10"/>
  <c r="H3368" i="10"/>
  <c r="A3369"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8" i="10"/>
  <c r="B3558" i="10"/>
  <c r="C3558" i="10"/>
  <c r="D3558" i="10"/>
  <c r="E3558" i="10"/>
  <c r="F3558" i="10"/>
  <c r="G3558" i="10"/>
  <c r="H3558" i="10"/>
  <c r="A3559" i="10"/>
  <c r="B3559" i="10"/>
  <c r="C3559" i="10"/>
  <c r="D3559" i="10"/>
  <c r="E3559" i="10"/>
  <c r="F3559" i="10"/>
  <c r="G3559" i="10"/>
  <c r="H3559"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A3575" i="10"/>
  <c r="B3575" i="10"/>
  <c r="C3575" i="10"/>
  <c r="D3575" i="10"/>
  <c r="E3575" i="10"/>
  <c r="F3575" i="10"/>
  <c r="G3575" i="10"/>
  <c r="H3575" i="10"/>
  <c r="A3576" i="10"/>
  <c r="B3576" i="10"/>
  <c r="C3576" i="10"/>
  <c r="D3576" i="10"/>
  <c r="E3576" i="10"/>
  <c r="F3576" i="10"/>
  <c r="G3576" i="10"/>
  <c r="H3576" i="10"/>
  <c r="A3577" i="10"/>
  <c r="B3577" i="10"/>
  <c r="C3577" i="10"/>
  <c r="D3577" i="10"/>
  <c r="E3577" i="10"/>
  <c r="F3577" i="10"/>
  <c r="G3577" i="10"/>
  <c r="H3577" i="10"/>
  <c r="A3578" i="10"/>
  <c r="B3578" i="10"/>
  <c r="C3578" i="10"/>
  <c r="D3578" i="10"/>
  <c r="E3578" i="10"/>
  <c r="F3578" i="10"/>
  <c r="G3578" i="10"/>
  <c r="H3578" i="10"/>
  <c r="A3579" i="10"/>
  <c r="B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D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26" i="10"/>
  <c r="B3626" i="10"/>
  <c r="C3626" i="10"/>
  <c r="D3626" i="10"/>
  <c r="E3626" i="10"/>
  <c r="F3626" i="10"/>
  <c r="G3626" i="10"/>
  <c r="H3626" i="10"/>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7" i="10"/>
  <c r="B3647" i="10"/>
  <c r="C3647" i="10"/>
  <c r="D3647" i="10"/>
  <c r="E3647" i="10"/>
  <c r="F3647" i="10"/>
  <c r="G3647" i="10"/>
  <c r="H3647" i="10"/>
  <c r="A3648" i="10"/>
  <c r="B3648" i="10"/>
  <c r="C3648" i="10"/>
  <c r="D3648" i="10"/>
  <c r="E3648" i="10"/>
  <c r="F3648" i="10"/>
  <c r="G3648" i="10"/>
  <c r="H3648"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F3658" i="10"/>
  <c r="G3658" i="10"/>
  <c r="H3658" i="10"/>
  <c r="A3659" i="10"/>
  <c r="B3659" i="10"/>
  <c r="C3659" i="10"/>
  <c r="D3659" i="10"/>
  <c r="E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704" i="10"/>
  <c r="B3704" i="10"/>
  <c r="C3704" i="10"/>
  <c r="D3704" i="10"/>
  <c r="E3704" i="10"/>
  <c r="F3704" i="10"/>
  <c r="G3704" i="10"/>
  <c r="H370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E3710" i="10"/>
  <c r="F3710" i="10"/>
  <c r="G3710" i="10"/>
  <c r="H3710" i="10"/>
  <c r="A3711" i="10"/>
  <c r="B3711" i="10"/>
  <c r="C3711" i="10"/>
  <c r="D3711" i="10"/>
  <c r="E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A3781" i="10"/>
  <c r="B3781" i="10"/>
  <c r="C3781" i="10"/>
  <c r="D3781" i="10"/>
  <c r="E3781" i="10"/>
  <c r="F3781" i="10"/>
  <c r="G3781" i="10"/>
  <c r="H3781" i="10"/>
  <c r="A3782" i="10"/>
  <c r="B3782" i="10"/>
  <c r="C3782" i="10"/>
  <c r="D3782" i="10"/>
  <c r="E3782" i="10"/>
  <c r="F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7" i="10"/>
  <c r="B3867" i="10"/>
  <c r="C3867" i="10"/>
  <c r="D3867" i="10"/>
  <c r="E3867" i="10"/>
  <c r="F3867" i="10"/>
  <c r="G3867" i="10"/>
  <c r="H3867"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C3908" i="10"/>
  <c r="D3908" i="10"/>
  <c r="E3908" i="10"/>
  <c r="F3908" i="10"/>
  <c r="G3908" i="10"/>
  <c r="H3908" i="10"/>
  <c r="A3909" i="10"/>
  <c r="B3909" i="10"/>
  <c r="C3909" i="10"/>
  <c r="D3909" i="10"/>
  <c r="E3909" i="10"/>
  <c r="F3909" i="10"/>
  <c r="G3909" i="10"/>
  <c r="H3909" i="10"/>
  <c r="A3910" i="10"/>
  <c r="B3910" i="10"/>
  <c r="C3910" i="10"/>
  <c r="D3910" i="10"/>
  <c r="E3910" i="10"/>
  <c r="F3910" i="10"/>
  <c r="G3910" i="10"/>
  <c r="H3910" i="10"/>
  <c r="A3911" i="10"/>
  <c r="B3911" i="10"/>
  <c r="C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0" i="10"/>
  <c r="B3920" i="10"/>
  <c r="C3920" i="10"/>
  <c r="D3920" i="10"/>
  <c r="E3920" i="10"/>
  <c r="F3920" i="10"/>
  <c r="G3920" i="10"/>
  <c r="H3920"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C3930" i="10"/>
  <c r="D3930" i="10"/>
  <c r="E3930" i="10"/>
  <c r="F3930" i="10"/>
  <c r="G3930" i="10"/>
  <c r="H3930" i="10"/>
  <c r="A3931" i="10"/>
  <c r="B3931" i="10"/>
  <c r="C3931" i="10"/>
  <c r="D3931" i="10"/>
  <c r="E3931" i="10"/>
  <c r="F3931" i="10"/>
  <c r="G3931" i="10"/>
  <c r="H3931" i="10"/>
  <c r="A3932" i="10"/>
  <c r="B3932" i="10"/>
  <c r="C3932" i="10"/>
  <c r="D3932" i="10"/>
  <c r="E3932" i="10"/>
  <c r="F3932" i="10"/>
  <c r="G3932" i="10"/>
  <c r="H3932" i="10"/>
  <c r="A3933" i="10"/>
  <c r="B3933" i="10"/>
  <c r="C3933" i="10"/>
  <c r="D3933" i="10"/>
  <c r="E3933" i="10"/>
  <c r="F3933" i="10"/>
  <c r="G3933" i="10"/>
  <c r="H3933" i="10"/>
  <c r="A3934" i="10"/>
  <c r="B3934" i="10"/>
  <c r="C3934" i="10"/>
  <c r="D3934" i="10"/>
  <c r="E3934" i="10"/>
  <c r="F3934" i="10"/>
  <c r="G3934" i="10"/>
  <c r="H3934"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965" i="10"/>
  <c r="B3965" i="10"/>
  <c r="C3965" i="10"/>
  <c r="D3965" i="10"/>
  <c r="E3965" i="10"/>
  <c r="F3965" i="10"/>
  <c r="G3965" i="10"/>
  <c r="H3965" i="10"/>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B3974" i="10"/>
  <c r="C3974" i="10"/>
  <c r="D3974" i="10"/>
  <c r="E3974" i="10"/>
  <c r="F3974" i="10"/>
  <c r="G3974" i="10"/>
  <c r="H3974" i="10"/>
  <c r="A3975" i="10"/>
  <c r="B3975" i="10"/>
  <c r="C3975" i="10"/>
  <c r="D3975" i="10"/>
  <c r="E3975" i="10"/>
  <c r="F3975" i="10"/>
  <c r="G3975" i="10"/>
  <c r="H3975" i="10"/>
  <c r="A3976" i="10"/>
  <c r="B3976" i="10"/>
  <c r="C3976" i="10"/>
  <c r="D3976" i="10"/>
  <c r="E3976" i="10"/>
  <c r="F3976" i="10"/>
  <c r="G3976" i="10"/>
  <c r="H3976" i="10"/>
  <c r="A3977" i="10"/>
  <c r="B3977" i="10"/>
  <c r="C3977" i="10"/>
  <c r="D3977" i="10"/>
  <c r="E3977" i="10"/>
  <c r="F3977" i="10"/>
  <c r="G3977" i="10"/>
  <c r="H3977" i="10"/>
  <c r="A3978" i="10"/>
  <c r="B3978" i="10"/>
  <c r="C3978" i="10"/>
  <c r="D3978" i="10"/>
  <c r="E3978" i="10"/>
  <c r="F3978" i="10"/>
  <c r="G3978" i="10"/>
  <c r="H3978" i="10"/>
  <c r="A3979" i="10"/>
  <c r="B3979" i="10"/>
  <c r="C3979" i="10"/>
  <c r="D3979" i="10"/>
  <c r="E3979" i="10"/>
  <c r="F3979" i="10"/>
  <c r="G3979" i="10"/>
  <c r="H3979" i="10"/>
  <c r="A3980" i="10"/>
  <c r="B3980" i="10"/>
  <c r="C3980" i="10"/>
  <c r="D3980" i="10"/>
  <c r="E3980" i="10"/>
  <c r="F3980" i="10"/>
  <c r="G3980" i="10"/>
  <c r="H3980" i="10"/>
  <c r="A3981" i="10"/>
  <c r="B3981" i="10"/>
  <c r="C3981" i="10"/>
  <c r="D3981" i="10"/>
  <c r="E3981" i="10"/>
  <c r="F3981" i="10"/>
  <c r="G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T2889" i="3"/>
  <c r="T2888" i="3"/>
  <c r="X2888" i="3" s="1"/>
  <c r="X2889" i="3" l="1"/>
  <c r="J1150" i="2"/>
  <c r="I1150" i="2"/>
  <c r="K1217" i="2"/>
  <c r="K1216" i="2"/>
  <c r="K1215" i="2"/>
  <c r="K1214" i="2"/>
  <c r="K1213" i="2"/>
  <c r="K1212"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211" i="2"/>
  <c r="C2877" i="10"/>
  <c r="D2877" i="10"/>
  <c r="E2877" i="10"/>
  <c r="F2877" i="10"/>
  <c r="G2877" i="10"/>
  <c r="H2877" i="10"/>
  <c r="A2877" i="10"/>
  <c r="B2877" i="10"/>
  <c r="A2875" i="10"/>
  <c r="B2875" i="10"/>
  <c r="C2875" i="10"/>
  <c r="D2875" i="10"/>
  <c r="E2875" i="10"/>
  <c r="F2875" i="10"/>
  <c r="G2875" i="10"/>
  <c r="H2875" i="10"/>
  <c r="A2876" i="10"/>
  <c r="B2876" i="10"/>
  <c r="C2876" i="10"/>
  <c r="D2876" i="10"/>
  <c r="E2876" i="10"/>
  <c r="F2876" i="10"/>
  <c r="G2876" i="10"/>
  <c r="H2876" i="10"/>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X2881" i="3"/>
  <c r="X2851" i="3"/>
  <c r="X2850" i="3"/>
  <c r="X2849" i="3"/>
  <c r="X2833" i="3"/>
  <c r="X2832" i="3"/>
  <c r="X2831" i="3"/>
  <c r="X2815" i="3"/>
  <c r="X2814" i="3"/>
  <c r="X2813" i="3"/>
  <c r="X2797" i="3"/>
  <c r="X2796" i="3"/>
  <c r="X2795" i="3"/>
  <c r="X2779" i="3"/>
  <c r="X2778" i="3"/>
  <c r="X2777" i="3"/>
  <c r="X2761" i="3"/>
  <c r="X2760" i="3"/>
  <c r="X2759" i="3"/>
  <c r="X2743" i="3"/>
  <c r="X2742" i="3"/>
  <c r="X2741" i="3"/>
  <c r="X2689" i="3"/>
  <c r="X2688" i="3"/>
  <c r="X2687" i="3"/>
  <c r="X2725" i="3"/>
  <c r="X2724" i="3"/>
  <c r="X2723" i="3"/>
  <c r="X2863" i="3"/>
  <c r="X2864" i="3"/>
  <c r="X2865" i="3"/>
  <c r="X2866" i="3"/>
  <c r="X2867" i="3"/>
  <c r="X2868" i="3"/>
  <c r="X2869" i="3"/>
  <c r="X2870" i="3"/>
  <c r="X2871" i="3"/>
  <c r="X2707" i="3"/>
  <c r="X2706" i="3"/>
  <c r="X2705" i="3"/>
  <c r="X2872" i="3"/>
  <c r="X2873" i="3"/>
  <c r="X2874" i="3"/>
  <c r="X2875" i="3"/>
  <c r="X2876" i="3"/>
  <c r="X2877" i="3"/>
  <c r="X2878" i="3"/>
  <c r="X2879" i="3"/>
  <c r="X2880" i="3"/>
  <c r="T2862" i="3"/>
  <c r="X2862" i="3" s="1"/>
  <c r="T2861" i="3"/>
  <c r="X2861" i="3" s="1"/>
  <c r="T2860" i="3"/>
  <c r="X2860" i="3" s="1"/>
  <c r="T2859" i="3"/>
  <c r="X2859" i="3" s="1"/>
  <c r="T2858" i="3"/>
  <c r="X2858" i="3" s="1"/>
  <c r="T2857" i="3"/>
  <c r="X2857" i="3" s="1"/>
  <c r="T2856" i="3"/>
  <c r="X2856" i="3" s="1"/>
  <c r="T2855" i="3"/>
  <c r="X2855" i="3" s="1"/>
  <c r="T2854" i="3"/>
  <c r="X2854" i="3" s="1"/>
  <c r="T2853" i="3"/>
  <c r="X2853" i="3" s="1"/>
  <c r="T2852" i="3"/>
  <c r="X2852" i="3" s="1"/>
  <c r="T2848" i="3"/>
  <c r="X2848" i="3" s="1"/>
  <c r="T2847" i="3"/>
  <c r="X2847" i="3" s="1"/>
  <c r="T2846" i="3"/>
  <c r="X2846" i="3" s="1"/>
  <c r="T2845" i="3"/>
  <c r="X2845" i="3" s="1"/>
  <c r="T2844" i="3"/>
  <c r="X2844" i="3" s="1"/>
  <c r="T2843" i="3"/>
  <c r="X2843" i="3" s="1"/>
  <c r="T2842" i="3"/>
  <c r="X2842" i="3" s="1"/>
  <c r="T2841" i="3"/>
  <c r="X2841" i="3" s="1"/>
  <c r="T2840" i="3"/>
  <c r="X2840" i="3" s="1"/>
  <c r="T2839" i="3"/>
  <c r="X2839" i="3" s="1"/>
  <c r="T2838" i="3"/>
  <c r="X2838" i="3" s="1"/>
  <c r="T2837" i="3"/>
  <c r="X2837" i="3" s="1"/>
  <c r="T2836" i="3"/>
  <c r="X2836" i="3" s="1"/>
  <c r="T2835" i="3"/>
  <c r="X2835" i="3" s="1"/>
  <c r="T2834" i="3"/>
  <c r="X2834" i="3" s="1"/>
  <c r="T2830" i="3"/>
  <c r="X2830" i="3" s="1"/>
  <c r="T2829" i="3"/>
  <c r="X2829" i="3" s="1"/>
  <c r="T2828" i="3"/>
  <c r="X2828" i="3" s="1"/>
  <c r="T2827" i="3"/>
  <c r="X2827" i="3" s="1"/>
  <c r="T2826" i="3"/>
  <c r="X2826" i="3" s="1"/>
  <c r="T2825" i="3"/>
  <c r="X2825" i="3" s="1"/>
  <c r="T2824" i="3"/>
  <c r="X2824" i="3" s="1"/>
  <c r="T2823" i="3"/>
  <c r="X2823" i="3" s="1"/>
  <c r="T2822" i="3"/>
  <c r="X2822" i="3" s="1"/>
  <c r="T2821" i="3"/>
  <c r="X2821" i="3" s="1"/>
  <c r="T2820" i="3"/>
  <c r="X2820" i="3" s="1"/>
  <c r="T2819" i="3"/>
  <c r="X2819" i="3" s="1"/>
  <c r="T2818" i="3"/>
  <c r="X2818" i="3" s="1"/>
  <c r="T2817" i="3"/>
  <c r="X2817" i="3" s="1"/>
  <c r="T2816" i="3"/>
  <c r="X2816" i="3" s="1"/>
  <c r="T2812" i="3"/>
  <c r="X2812" i="3" s="1"/>
  <c r="T2811" i="3"/>
  <c r="X2811" i="3" s="1"/>
  <c r="T2810" i="3"/>
  <c r="X2810" i="3" s="1"/>
  <c r="T2809" i="3"/>
  <c r="X2809" i="3" s="1"/>
  <c r="T2808" i="3"/>
  <c r="X2808" i="3" s="1"/>
  <c r="T2807" i="3"/>
  <c r="X2807" i="3" s="1"/>
  <c r="T2806" i="3"/>
  <c r="X2806" i="3" s="1"/>
  <c r="T2805" i="3"/>
  <c r="X2805" i="3" s="1"/>
  <c r="T2804" i="3"/>
  <c r="X2804" i="3" s="1"/>
  <c r="T2803" i="3"/>
  <c r="X2803" i="3" s="1"/>
  <c r="T2802" i="3"/>
  <c r="X2802" i="3" s="1"/>
  <c r="T2801" i="3"/>
  <c r="X2801" i="3" s="1"/>
  <c r="T2800" i="3"/>
  <c r="X2800" i="3" s="1"/>
  <c r="T2799" i="3"/>
  <c r="X2799" i="3" s="1"/>
  <c r="T2798" i="3"/>
  <c r="X2798" i="3" s="1"/>
  <c r="T2794" i="3"/>
  <c r="X2794" i="3" s="1"/>
  <c r="T2793" i="3"/>
  <c r="X2793" i="3" s="1"/>
  <c r="T2792" i="3"/>
  <c r="X2792" i="3" s="1"/>
  <c r="T2791" i="3"/>
  <c r="X2791" i="3" s="1"/>
  <c r="T2790" i="3"/>
  <c r="X2790" i="3" s="1"/>
  <c r="T2789" i="3"/>
  <c r="X2789" i="3" s="1"/>
  <c r="T2788" i="3"/>
  <c r="X2788" i="3" s="1"/>
  <c r="T2787" i="3"/>
  <c r="X2787" i="3" s="1"/>
  <c r="T2786" i="3"/>
  <c r="X2786" i="3" s="1"/>
  <c r="T2785" i="3"/>
  <c r="X2785" i="3" s="1"/>
  <c r="T2784" i="3"/>
  <c r="X2784" i="3" s="1"/>
  <c r="T2783" i="3"/>
  <c r="X2783" i="3" s="1"/>
  <c r="T2782" i="3"/>
  <c r="X2782" i="3" s="1"/>
  <c r="T2781" i="3"/>
  <c r="X2781" i="3" s="1"/>
  <c r="T2780" i="3"/>
  <c r="X2780" i="3" s="1"/>
  <c r="T2776" i="3"/>
  <c r="X2776" i="3" s="1"/>
  <c r="T2775" i="3"/>
  <c r="X2775" i="3" s="1"/>
  <c r="T2774" i="3"/>
  <c r="X2774" i="3" s="1"/>
  <c r="T2773" i="3"/>
  <c r="X2773" i="3" s="1"/>
  <c r="T2772" i="3"/>
  <c r="X2772" i="3" s="1"/>
  <c r="T2771" i="3"/>
  <c r="X2771" i="3" s="1"/>
  <c r="T2770" i="3"/>
  <c r="X2770" i="3" s="1"/>
  <c r="T2769" i="3"/>
  <c r="X2769" i="3" s="1"/>
  <c r="T2768" i="3"/>
  <c r="X2768" i="3" s="1"/>
  <c r="T2767" i="3"/>
  <c r="X2767" i="3" s="1"/>
  <c r="T2766" i="3"/>
  <c r="X2766" i="3" s="1"/>
  <c r="T2765" i="3"/>
  <c r="X2765" i="3" s="1"/>
  <c r="T2764" i="3"/>
  <c r="X2764" i="3" s="1"/>
  <c r="T2763" i="3"/>
  <c r="X2763" i="3" s="1"/>
  <c r="T2762" i="3"/>
  <c r="X2762" i="3" s="1"/>
  <c r="T2758" i="3"/>
  <c r="X2758" i="3" s="1"/>
  <c r="T2757" i="3"/>
  <c r="X2757" i="3" s="1"/>
  <c r="T2756" i="3"/>
  <c r="X2756" i="3" s="1"/>
  <c r="T2755" i="3"/>
  <c r="X2755" i="3" s="1"/>
  <c r="T2754" i="3"/>
  <c r="X2754" i="3" s="1"/>
  <c r="T2753" i="3"/>
  <c r="X2753" i="3" s="1"/>
  <c r="T2752" i="3"/>
  <c r="X2752" i="3" s="1"/>
  <c r="T2751" i="3"/>
  <c r="X2751" i="3" s="1"/>
  <c r="T2750" i="3"/>
  <c r="X2750" i="3" s="1"/>
  <c r="T2749" i="3"/>
  <c r="X2749" i="3" s="1"/>
  <c r="T2748" i="3"/>
  <c r="X2748" i="3" s="1"/>
  <c r="T2747" i="3"/>
  <c r="X2747" i="3" s="1"/>
  <c r="T2746" i="3"/>
  <c r="X2746" i="3" s="1"/>
  <c r="T2745" i="3"/>
  <c r="X2745" i="3" s="1"/>
  <c r="T2744" i="3"/>
  <c r="X2744" i="3" s="1"/>
  <c r="T2740" i="3"/>
  <c r="X2740" i="3" s="1"/>
  <c r="T2739" i="3"/>
  <c r="X2739" i="3" s="1"/>
  <c r="T2738" i="3"/>
  <c r="X2738" i="3" s="1"/>
  <c r="T2737" i="3"/>
  <c r="X2737" i="3" s="1"/>
  <c r="T2736" i="3"/>
  <c r="X2736" i="3" s="1"/>
  <c r="T2735" i="3"/>
  <c r="X2735" i="3" s="1"/>
  <c r="T2734" i="3"/>
  <c r="X2734" i="3" s="1"/>
  <c r="T2733" i="3"/>
  <c r="X2733" i="3" s="1"/>
  <c r="T2732" i="3"/>
  <c r="X2732" i="3" s="1"/>
  <c r="T2731" i="3"/>
  <c r="X2731" i="3" s="1"/>
  <c r="T2730" i="3"/>
  <c r="X2730" i="3" s="1"/>
  <c r="T2729" i="3"/>
  <c r="X2729" i="3" s="1"/>
  <c r="T2728" i="3"/>
  <c r="X2728" i="3" s="1"/>
  <c r="T2727" i="3"/>
  <c r="X2727" i="3" s="1"/>
  <c r="T2726" i="3"/>
  <c r="X2726" i="3" s="1"/>
  <c r="T2722" i="3"/>
  <c r="X2722" i="3" s="1"/>
  <c r="T2721" i="3"/>
  <c r="X2721" i="3" s="1"/>
  <c r="T2720" i="3"/>
  <c r="X2720" i="3" s="1"/>
  <c r="T2719" i="3"/>
  <c r="X2719" i="3" s="1"/>
  <c r="T2718" i="3"/>
  <c r="X2718" i="3" s="1"/>
  <c r="T2717" i="3"/>
  <c r="X2717" i="3" s="1"/>
  <c r="T2716" i="3"/>
  <c r="X2716" i="3" s="1"/>
  <c r="T2715" i="3"/>
  <c r="X2715" i="3" s="1"/>
  <c r="T2714" i="3"/>
  <c r="X2714" i="3" s="1"/>
  <c r="T2713" i="3"/>
  <c r="X2713" i="3" s="1"/>
  <c r="T2712" i="3"/>
  <c r="X2712" i="3" s="1"/>
  <c r="T2711" i="3"/>
  <c r="X2711" i="3" s="1"/>
  <c r="T2710" i="3"/>
  <c r="X2710" i="3" s="1"/>
  <c r="T2709" i="3"/>
  <c r="X2709" i="3" s="1"/>
  <c r="T2708" i="3"/>
  <c r="X2708" i="3" s="1"/>
  <c r="T2704" i="3"/>
  <c r="X2704" i="3" s="1"/>
  <c r="T2703" i="3"/>
  <c r="X2703" i="3" s="1"/>
  <c r="T2702" i="3"/>
  <c r="X2702" i="3" s="1"/>
  <c r="T2701" i="3"/>
  <c r="X2701" i="3" s="1"/>
  <c r="T2700" i="3"/>
  <c r="X2700" i="3" s="1"/>
  <c r="T2699" i="3"/>
  <c r="X2699" i="3" s="1"/>
  <c r="T2698" i="3"/>
  <c r="X2698" i="3" s="1"/>
  <c r="T2697" i="3"/>
  <c r="X2697" i="3" s="1"/>
  <c r="T2696" i="3"/>
  <c r="X2696" i="3" s="1"/>
  <c r="T2695" i="3"/>
  <c r="X2695" i="3" s="1"/>
  <c r="T2694" i="3"/>
  <c r="X2694" i="3" s="1"/>
  <c r="T2693" i="3"/>
  <c r="X2693" i="3" s="1"/>
  <c r="T2692" i="3"/>
  <c r="X2692" i="3" s="1"/>
  <c r="T2691" i="3"/>
  <c r="X2691" i="3" s="1"/>
  <c r="T2690" i="3"/>
  <c r="X2690" i="3" s="1"/>
  <c r="T2686" i="3"/>
  <c r="X2686" i="3" s="1"/>
  <c r="T2685" i="3"/>
  <c r="X2685" i="3" s="1"/>
  <c r="T2684" i="3"/>
  <c r="X2684" i="3" s="1"/>
  <c r="T2683" i="3"/>
  <c r="X2683" i="3" s="1"/>
  <c r="I2591" i="10"/>
  <c r="I2592"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I2671" i="10"/>
  <c r="I2672" i="10"/>
  <c r="I2673" i="10"/>
  <c r="I2674" i="10"/>
  <c r="I2675" i="10"/>
  <c r="I2676" i="10"/>
  <c r="T2682" i="3"/>
  <c r="X2682" i="3" s="1"/>
  <c r="T2681" i="3"/>
  <c r="X2681" i="3" s="1"/>
  <c r="T2680" i="3"/>
  <c r="X2680" i="3" s="1"/>
  <c r="T2679" i="3"/>
  <c r="X2679" i="3" s="1"/>
  <c r="T2678" i="3"/>
  <c r="X2678" i="3" s="1"/>
  <c r="T2677" i="3"/>
  <c r="X2677" i="3" s="1"/>
  <c r="T2676" i="3"/>
  <c r="X2676" i="3" s="1"/>
  <c r="T2675" i="3"/>
  <c r="X2675" i="3" s="1"/>
  <c r="T2674" i="3"/>
  <c r="X2674" i="3" s="1"/>
  <c r="T2673" i="3"/>
  <c r="X2673" i="3" s="1"/>
  <c r="T2672" i="3"/>
  <c r="X2672" i="3" s="1"/>
  <c r="T2671" i="3"/>
  <c r="X2671" i="3" s="1"/>
  <c r="T2670" i="3"/>
  <c r="X2670" i="3" s="1"/>
  <c r="T2669" i="3"/>
  <c r="X2669" i="3" s="1"/>
  <c r="T2668" i="3"/>
  <c r="X2668" i="3" s="1"/>
  <c r="T2663" i="3"/>
  <c r="X2663" i="3" s="1"/>
  <c r="T2667" i="3"/>
  <c r="X2667" i="3" s="1"/>
  <c r="T2666" i="3"/>
  <c r="X2666" i="3" s="1"/>
  <c r="T2665" i="3"/>
  <c r="X2665" i="3" s="1"/>
  <c r="T2664" i="3"/>
  <c r="X2664" i="3" s="1"/>
  <c r="T2662" i="3"/>
  <c r="X2662" i="3" s="1"/>
  <c r="T2661" i="3"/>
  <c r="X2661" i="3" s="1"/>
  <c r="T2660" i="3"/>
  <c r="X2660" i="3" s="1"/>
  <c r="T2659" i="3"/>
  <c r="X2659" i="3" s="1"/>
  <c r="T2658" i="3"/>
  <c r="X2658" i="3" s="1"/>
  <c r="T2657" i="3"/>
  <c r="X2657" i="3" s="1"/>
  <c r="T2656" i="3"/>
  <c r="X2656" i="3" s="1"/>
  <c r="T2655" i="3"/>
  <c r="X2655" i="3" s="1"/>
  <c r="T2654" i="3"/>
  <c r="X2654" i="3" s="1"/>
  <c r="T2653" i="3"/>
  <c r="X2653" i="3" s="1"/>
  <c r="T2652" i="3"/>
  <c r="X2652" i="3" s="1"/>
  <c r="T2651" i="3"/>
  <c r="X2651" i="3" s="1"/>
  <c r="T2650" i="3"/>
  <c r="X2650" i="3" s="1"/>
  <c r="T2649" i="3"/>
  <c r="X2649" i="3" s="1"/>
  <c r="T2648" i="3"/>
  <c r="X2648" i="3" s="1"/>
  <c r="T2647" i="3"/>
  <c r="X2647" i="3" s="1"/>
  <c r="T2646" i="3"/>
  <c r="X2646" i="3" s="1"/>
  <c r="T2645" i="3"/>
  <c r="X2645" i="3" s="1"/>
  <c r="T2644" i="3"/>
  <c r="X2644" i="3" s="1"/>
  <c r="T2643" i="3"/>
  <c r="X2643" i="3" s="1"/>
  <c r="T2642" i="3"/>
  <c r="X2642" i="3" s="1"/>
  <c r="T2641" i="3"/>
  <c r="X2641" i="3" s="1"/>
  <c r="T2640" i="3"/>
  <c r="X2640" i="3" s="1"/>
  <c r="T2639" i="3"/>
  <c r="X2639" i="3" s="1"/>
  <c r="T2638" i="3"/>
  <c r="X2638" i="3" s="1"/>
  <c r="T2637" i="3"/>
  <c r="X2637" i="3" s="1"/>
  <c r="T2636" i="3"/>
  <c r="X2636" i="3" s="1"/>
  <c r="T2635" i="3"/>
  <c r="X2635" i="3" s="1"/>
  <c r="T2634" i="3"/>
  <c r="X2634" i="3" s="1"/>
  <c r="T2633" i="3"/>
  <c r="X2633" i="3" s="1"/>
  <c r="T2629" i="3"/>
  <c r="X2629" i="3" s="1"/>
  <c r="T2624" i="3"/>
  <c r="X2624" i="3" s="1"/>
  <c r="T2619" i="3"/>
  <c r="X2619" i="3" s="1"/>
  <c r="T2614" i="3"/>
  <c r="X2614" i="3" s="1"/>
  <c r="T2609" i="3"/>
  <c r="X2609" i="3" s="1"/>
  <c r="T2632" i="3"/>
  <c r="X2632" i="3" s="1"/>
  <c r="T2631" i="3"/>
  <c r="X2631" i="3" s="1"/>
  <c r="T2630" i="3"/>
  <c r="X2630" i="3" s="1"/>
  <c r="T2628" i="3"/>
  <c r="X2628" i="3" s="1"/>
  <c r="T2627" i="3"/>
  <c r="X2627" i="3" s="1"/>
  <c r="T2626" i="3"/>
  <c r="X2626" i="3" s="1"/>
  <c r="T2625" i="3"/>
  <c r="X2625" i="3" s="1"/>
  <c r="T2623" i="3"/>
  <c r="X2623" i="3" s="1"/>
  <c r="T2622" i="3"/>
  <c r="X2622" i="3" s="1"/>
  <c r="T2621" i="3"/>
  <c r="X2621" i="3" s="1"/>
  <c r="T2620" i="3"/>
  <c r="X2620" i="3" s="1"/>
  <c r="T2618" i="3"/>
  <c r="X2618" i="3" s="1"/>
  <c r="T2617" i="3"/>
  <c r="X2617" i="3" s="1"/>
  <c r="T2616" i="3"/>
  <c r="X2616" i="3" s="1"/>
  <c r="T2615" i="3"/>
  <c r="X2615" i="3" s="1"/>
  <c r="T2613" i="3"/>
  <c r="X2613" i="3" s="1"/>
  <c r="T2612" i="3"/>
  <c r="X2612" i="3" s="1"/>
  <c r="T2611" i="3"/>
  <c r="X2611" i="3" s="1"/>
  <c r="T2610" i="3"/>
  <c r="X2610" i="3" s="1"/>
  <c r="T2608" i="3"/>
  <c r="X2608" i="3" s="1"/>
  <c r="W2595" i="3"/>
  <c r="X2590" i="3"/>
  <c r="K1110" i="2"/>
  <c r="A2577" i="10"/>
  <c r="B2577" i="10"/>
  <c r="C2577" i="10"/>
  <c r="D2577" i="10"/>
  <c r="E2577" i="10"/>
  <c r="F2577" i="10"/>
  <c r="G2577" i="10"/>
  <c r="H2577" i="10"/>
  <c r="H1079" i="4"/>
  <c r="H1078" i="4"/>
  <c r="K1070" i="2"/>
  <c r="J1069" i="2"/>
  <c r="I1069" i="2"/>
  <c r="K1069" i="2"/>
  <c r="I1064" i="2" l="1"/>
  <c r="J1064" i="2"/>
  <c r="K1064" i="2"/>
  <c r="X2560" i="3"/>
  <c r="V2560" i="3"/>
  <c r="K1063" i="2"/>
  <c r="K1062" i="2"/>
  <c r="X2553" i="3"/>
  <c r="K1060" i="2"/>
  <c r="X2552" i="3" s="1"/>
  <c r="J1060" i="2"/>
  <c r="I1060" i="2"/>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G2561" i="10"/>
  <c r="H2561" i="10"/>
  <c r="A2562" i="10"/>
  <c r="B2562" i="10"/>
  <c r="C2562" i="10"/>
  <c r="D2562" i="10"/>
  <c r="E2562" i="10"/>
  <c r="F2562" i="10"/>
  <c r="G2562" i="10"/>
  <c r="H2562" i="10"/>
  <c r="A2563" i="10"/>
  <c r="B2563" i="10"/>
  <c r="C2563" i="10"/>
  <c r="D2563" i="10"/>
  <c r="E2563" i="10"/>
  <c r="G2563" i="10"/>
  <c r="H2563" i="10"/>
  <c r="A2564" i="10"/>
  <c r="B2564" i="10"/>
  <c r="C2564" i="10"/>
  <c r="D2564" i="10"/>
  <c r="E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H2567" i="10"/>
  <c r="A2568" i="10"/>
  <c r="B2568" i="10"/>
  <c r="C2568" i="10"/>
  <c r="D2568" i="10"/>
  <c r="E2568" i="10"/>
  <c r="F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A2873" i="10"/>
  <c r="B2873" i="10"/>
  <c r="C2873" i="10"/>
  <c r="D2873" i="10"/>
  <c r="E2873" i="10"/>
  <c r="F2873" i="10"/>
  <c r="G2873" i="10"/>
  <c r="H2873" i="10"/>
  <c r="A2874" i="10"/>
  <c r="B2874" i="10"/>
  <c r="C2874" i="10"/>
  <c r="D2874" i="10"/>
  <c r="E2874" i="10"/>
  <c r="F2874" i="10"/>
  <c r="G2874" i="10"/>
  <c r="H2874" i="10"/>
  <c r="K1059" i="2"/>
  <c r="Q1059" i="4" s="1"/>
  <c r="J1058" i="2"/>
  <c r="I1058" i="2"/>
  <c r="Z2500" i="10"/>
  <c r="Z2501" i="10"/>
  <c r="Z2502" i="10"/>
  <c r="Z2503" i="10"/>
  <c r="Z2504" i="10"/>
  <c r="Z2505" i="10"/>
  <c r="Z2506" i="10"/>
  <c r="Z2507" i="10"/>
  <c r="Z2508" i="10"/>
  <c r="Z2509" i="10"/>
  <c r="Z2510" i="10"/>
  <c r="Z2511" i="10"/>
  <c r="Z2512" i="10"/>
  <c r="Z2513" i="10"/>
  <c r="Z2514" i="10"/>
  <c r="Z2515" i="10"/>
  <c r="Z2530" i="10"/>
  <c r="Z2531" i="10"/>
  <c r="Z2536" i="10"/>
  <c r="Z2537" i="10"/>
  <c r="Z2538" i="10"/>
  <c r="Z2539" i="10"/>
  <c r="Z2540" i="10"/>
  <c r="Z2541" i="10"/>
  <c r="X2501" i="10"/>
  <c r="Y2501" i="10"/>
  <c r="X2502" i="10"/>
  <c r="Y2502" i="10"/>
  <c r="X2503" i="10"/>
  <c r="Y2503" i="10"/>
  <c r="X2504" i="10"/>
  <c r="Y2504" i="10"/>
  <c r="X2505" i="10"/>
  <c r="Y2505" i="10"/>
  <c r="X2506" i="10"/>
  <c r="Y2506" i="10"/>
  <c r="X2507" i="10"/>
  <c r="Y2507" i="10"/>
  <c r="X2508" i="10"/>
  <c r="Y2508" i="10"/>
  <c r="X2509" i="10"/>
  <c r="Y2509" i="10"/>
  <c r="X2510" i="10"/>
  <c r="Y2510" i="10"/>
  <c r="X2511" i="10"/>
  <c r="Y2511" i="10"/>
  <c r="X2512" i="10"/>
  <c r="Y2512" i="10"/>
  <c r="X2513" i="10"/>
  <c r="Y2513" i="10"/>
  <c r="X2514" i="10"/>
  <c r="Y2514" i="10"/>
  <c r="X2515" i="10"/>
  <c r="Y2515" i="10"/>
  <c r="X2530" i="10"/>
  <c r="Y2530" i="10"/>
  <c r="X2531" i="10"/>
  <c r="Y2531" i="10"/>
  <c r="X2536" i="10"/>
  <c r="Y2536" i="10"/>
  <c r="X2537" i="10"/>
  <c r="Y2537" i="10"/>
  <c r="X2538" i="10"/>
  <c r="Y2538" i="10"/>
  <c r="X2539" i="10"/>
  <c r="Y2539" i="10"/>
  <c r="X2540" i="10"/>
  <c r="Y2540" i="10"/>
  <c r="X2541" i="10"/>
  <c r="Y2541" i="10"/>
  <c r="Y2500" i="10"/>
  <c r="X2500"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V2329" i="3"/>
  <c r="K991" i="2"/>
  <c r="K992" i="2"/>
  <c r="J2338" i="3" s="1"/>
  <c r="J2346" i="3" s="1"/>
  <c r="K993" i="2"/>
  <c r="J2347" i="3" s="1"/>
  <c r="J2353" i="3" s="1"/>
  <c r="K994" i="2"/>
  <c r="J2356" i="3" s="1"/>
  <c r="J2364" i="3" s="1"/>
  <c r="K995" i="2"/>
  <c r="J2365" i="3" s="1"/>
  <c r="K996" i="2"/>
  <c r="J2374" i="3" s="1"/>
  <c r="J2382" i="3" s="1"/>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T2329" i="3"/>
  <c r="O1060" i="4" l="1"/>
  <c r="R1060" i="4" s="1"/>
  <c r="V2554" i="3" s="1"/>
  <c r="K990" i="2"/>
  <c r="J2316" i="3" s="1"/>
  <c r="J2318" i="3" s="1"/>
  <c r="X2554" i="3"/>
  <c r="S1060" i="4"/>
  <c r="J2369" i="3"/>
  <c r="J2368" i="3"/>
  <c r="O1059" i="4"/>
  <c r="R1059" i="4" s="1"/>
  <c r="J2329" i="3"/>
  <c r="J2334" i="3" s="1"/>
  <c r="J2371" i="3"/>
  <c r="J2367" i="3"/>
  <c r="J2355" i="3"/>
  <c r="J2376" i="3"/>
  <c r="J2377" i="3"/>
  <c r="J2350" i="3"/>
  <c r="J2363" i="3"/>
  <c r="J2379" i="3"/>
  <c r="J2345" i="3"/>
  <c r="J2341" i="3"/>
  <c r="J2358" i="3"/>
  <c r="J2342" i="3"/>
  <c r="J2349" i="3"/>
  <c r="J2359" i="3"/>
  <c r="J2370" i="3"/>
  <c r="J2378" i="3"/>
  <c r="J2344" i="3"/>
  <c r="J2351" i="3"/>
  <c r="J2361" i="3"/>
  <c r="J2372" i="3"/>
  <c r="J2380" i="3"/>
  <c r="J2352" i="3"/>
  <c r="J2362" i="3"/>
  <c r="J2373" i="3"/>
  <c r="J2381" i="3"/>
  <c r="J2340" i="3"/>
  <c r="J2343" i="3"/>
  <c r="J2360" i="3"/>
  <c r="J2354" i="3"/>
  <c r="X2316" i="3" l="1"/>
  <c r="J2336" i="3"/>
  <c r="J2366" i="3"/>
  <c r="J2337" i="3"/>
  <c r="J2331" i="3"/>
  <c r="J2330" i="3" s="1"/>
  <c r="J2319" i="3"/>
  <c r="J2333" i="3"/>
  <c r="J2335" i="3"/>
  <c r="J2317" i="3"/>
  <c r="J2332" i="3"/>
  <c r="J2375" i="3"/>
  <c r="J2357" i="3"/>
  <c r="J2348" i="3"/>
  <c r="J2339" i="3"/>
  <c r="J2320" i="3" l="1"/>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6" i="10"/>
  <c r="B2406" i="10"/>
  <c r="C2406" i="10"/>
  <c r="D2406" i="10"/>
  <c r="E2406" i="10"/>
  <c r="F2406" i="10"/>
  <c r="G2406" i="10"/>
  <c r="H2406"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H2413" i="10"/>
  <c r="A2414" i="10"/>
  <c r="B2414" i="10"/>
  <c r="C2414" i="10"/>
  <c r="D2414" i="10"/>
  <c r="E2414" i="10"/>
  <c r="F2414" i="10"/>
  <c r="G2414" i="10"/>
  <c r="H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H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H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6" i="10"/>
  <c r="B2446" i="10"/>
  <c r="C2446" i="10"/>
  <c r="D2446" i="10"/>
  <c r="E2446" i="10"/>
  <c r="F2446" i="10"/>
  <c r="G2446" i="10"/>
  <c r="H2446"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92" i="10"/>
  <c r="B2492" i="10"/>
  <c r="C2492" i="10"/>
  <c r="D2492" i="10"/>
  <c r="E2492" i="10"/>
  <c r="F2492" i="10"/>
  <c r="G2492" i="10"/>
  <c r="H2492" i="10"/>
  <c r="A2493" i="10"/>
  <c r="B2493" i="10"/>
  <c r="C2493" i="10"/>
  <c r="D2493" i="10"/>
  <c r="E2493" i="10"/>
  <c r="F2493" i="10"/>
  <c r="G2493" i="10"/>
  <c r="H2493"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30" i="10"/>
  <c r="B2530" i="10"/>
  <c r="C2530" i="10"/>
  <c r="D2530" i="10"/>
  <c r="E2530" i="10"/>
  <c r="F2530" i="10"/>
  <c r="G2530" i="10"/>
  <c r="H2530" i="10"/>
  <c r="A2531" i="10"/>
  <c r="B2531" i="10"/>
  <c r="C2531" i="10"/>
  <c r="D2531" i="10"/>
  <c r="F2531" i="10"/>
  <c r="G2531" i="10"/>
  <c r="H2531" i="10"/>
  <c r="A2533" i="10"/>
  <c r="B2533" i="10"/>
  <c r="C2533" i="10"/>
  <c r="D2533" i="10"/>
  <c r="E2533" i="10"/>
  <c r="F2533" i="10"/>
  <c r="G2533" i="10"/>
  <c r="H2533" i="10"/>
  <c r="A2534" i="10"/>
  <c r="B2534" i="10"/>
  <c r="C2534" i="10"/>
  <c r="D2534" i="10"/>
  <c r="F2534" i="10"/>
  <c r="G2534" i="10"/>
  <c r="H2534"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P984" i="4"/>
  <c r="P983" i="4"/>
  <c r="O984" i="4"/>
  <c r="P985" i="4"/>
  <c r="O985" i="4"/>
  <c r="O983" i="4"/>
  <c r="P979" i="4"/>
  <c r="P978" i="4"/>
  <c r="O978" i="4"/>
  <c r="K978" i="2"/>
  <c r="K977" i="2"/>
  <c r="K976" i="2"/>
  <c r="K975" i="2"/>
  <c r="K974" i="2"/>
  <c r="K973" i="2"/>
  <c r="K972" i="2"/>
  <c r="K971" i="2"/>
  <c r="K970" i="2"/>
  <c r="K969" i="2"/>
  <c r="K968" i="2"/>
  <c r="K967" i="2"/>
  <c r="K966" i="2"/>
  <c r="K965" i="2"/>
  <c r="K964" i="2"/>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A2311" i="10"/>
  <c r="B2311" i="10"/>
  <c r="C2311" i="10"/>
  <c r="D2311" i="10"/>
  <c r="E2311" i="10"/>
  <c r="F2311" i="10"/>
  <c r="G2311" i="10"/>
  <c r="H2311" i="10"/>
  <c r="A2312" i="10"/>
  <c r="B2312" i="10"/>
  <c r="C2312" i="10"/>
  <c r="D2312" i="10"/>
  <c r="E2312" i="10"/>
  <c r="F2312" i="10"/>
  <c r="G2312" i="10"/>
  <c r="H2312" i="10"/>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E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55"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A2306" i="10"/>
  <c r="A2310" i="10"/>
  <c r="A2313"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B2306" i="10"/>
  <c r="C2306" i="10"/>
  <c r="D2306" i="10"/>
  <c r="E2306" i="10"/>
  <c r="F2306" i="10"/>
  <c r="B2310" i="10"/>
  <c r="C2310" i="10"/>
  <c r="D2310" i="10"/>
  <c r="E2310" i="10"/>
  <c r="F2310" i="10"/>
  <c r="B2313" i="10"/>
  <c r="C2313" i="10"/>
  <c r="D2313" i="10"/>
  <c r="E2313" i="10"/>
  <c r="F2313"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G2306" i="10"/>
  <c r="H2306" i="10"/>
  <c r="G2310" i="10"/>
  <c r="H2310" i="10"/>
  <c r="G2313" i="10"/>
  <c r="H2313"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 r="F2563" i="10" l="1"/>
  <c r="F2564" i="10"/>
  <c r="G2567" i="10"/>
  <c r="G2568" i="10"/>
</calcChain>
</file>

<file path=xl/sharedStrings.xml><?xml version="1.0" encoding="utf-8"?>
<sst xmlns="http://schemas.openxmlformats.org/spreadsheetml/2006/main" count="179819" uniqueCount="7944">
  <si>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</si>
  <si>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</si>
  <si>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</si>
  <si>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</si>
  <si>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</si>
  <si>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</si>
  <si>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</si>
  <si>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</si>
  <si>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</si>
  <si>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</si>
  <si>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</si>
  <si>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</si>
  <si>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</si>
  <si>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</si>
  <si>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</si>
  <si>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</si>
  <si>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</si>
  <si>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</si>
  <si>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</si>
  <si>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</si>
  <si>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</si>
  <si>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</si>
  <si>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</si>
  <si>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</si>
  <si>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</si>
  <si>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</si>
  <si>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</si>
  <si>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</si>
  <si>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</si>
  <si>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</si>
  <si>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</si>
  <si>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</si>
  <si>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</si>
  <si>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</si>
  <si>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</si>
  <si>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</si>
  <si>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</si>
  <si>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</si>
  <si>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</si>
  <si>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</si>
  <si>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</si>
  <si>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</si>
  <si>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</si>
  <si>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</si>
  <si>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</si>
  <si>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</si>
  <si>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</si>
  <si>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</si>
  <si>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</si>
  <si>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</si>
  <si>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</si>
  <si>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</si>
  <si>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</si>
  <si>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</si>
  <si>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</si>
  <si>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</si>
  <si>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</si>
  <si>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</si>
  <si>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</si>
  <si>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</si>
  <si>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</si>
  <si>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</si>
  <si>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</si>
  <si>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</si>
  <si>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</si>
  <si>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</si>
  <si>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</si>
  <si>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</si>
  <si>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</si>
  <si>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</si>
  <si>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</si>
  <si>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</si>
  <si>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</si>
  <si>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</si>
  <si>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</si>
  <si>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</si>
  <si>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</si>
  <si>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</si>
  <si>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</si>
  <si>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</si>
  <si>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</si>
  <si>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</si>
  <si>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</si>
  <si>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</si>
  <si>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</si>
  <si>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</si>
  <si>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</si>
  <si>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</si>
  <si>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</si>
  <si>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</si>
  <si>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</si>
  <si>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</si>
  <si>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</si>
  <si>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</si>
  <si>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</si>
  <si>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</si>
  <si>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</si>
  <si>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</si>
  <si>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</si>
  <si>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</si>
  <si>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</si>
  <si>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</si>
  <si>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</si>
  <si>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</si>
  <si>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</si>
  <si>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</si>
  <si>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</si>
  <si>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</si>
  <si>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</si>
  <si>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</si>
  <si>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</si>
  <si>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</si>
  <si>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</si>
  <si>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</si>
  <si>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</si>
  <si>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</si>
  <si>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</si>
  <si>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</si>
  <si>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</si>
  <si>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</si>
  <si>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</si>
  <si>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</si>
  <si>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</si>
  <si>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</si>
  <si>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</si>
  <si>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</si>
  <si>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</si>
  <si>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</si>
  <si>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</si>
  <si>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</si>
  <si>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</si>
  <si>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</si>
  <si>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</si>
  <si>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</si>
  <si>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</si>
  <si>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</si>
  <si>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</si>
  <si>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</si>
  <si>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</si>
  <si>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</si>
  <si>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</si>
  <si>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</si>
  <si>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</si>
  <si>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</si>
  <si>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</si>
  <si>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</si>
  <si>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</si>
  <si>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</si>
  <si>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</si>
  <si>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</si>
  <si>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</si>
  <si>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</si>
  <si>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</si>
  <si>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</si>
  <si>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</si>
  <si>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</si>
  <si>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</si>
  <si>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</si>
  <si>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</si>
  <si>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</si>
  <si>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</si>
  <si>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</si>
  <si>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</si>
  <si>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</si>
  <si>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</si>
  <si>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</si>
  <si>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</si>
  <si>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</si>
  <si>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</si>
  <si>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</si>
  <si>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</si>
  <si>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</si>
  <si>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</si>
  <si>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</si>
  <si>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</si>
  <si>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</si>
  <si>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</si>
  <si>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</si>
  <si>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</si>
  <si>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</si>
  <si>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</si>
  <si>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</si>
  <si>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</si>
  <si>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</si>
  <si>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</si>
  <si>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</si>
  <si>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</si>
  <si>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</si>
  <si>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</si>
  <si>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</si>
  <si>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</si>
  <si>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</si>
  <si>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</si>
  <si>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</si>
  <si>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</si>
  <si>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</si>
  <si>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</si>
  <si>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</si>
  <si>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</si>
  <si>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</si>
  <si>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</si>
  <si>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</si>
  <si>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</si>
  <si>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</si>
  <si>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</si>
  <si>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</si>
  <si>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</si>
  <si>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</si>
  <si>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</si>
  <si>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</si>
  <si>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</si>
  <si>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</si>
  <si>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</si>
  <si>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</si>
  <si>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</si>
  <si>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</si>
  <si>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</si>
  <si>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</si>
  <si>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</si>
  <si>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</si>
  <si>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</si>
  <si>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</si>
  <si>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</si>
  <si>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</si>
  <si>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</si>
  <si>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</si>
  <si>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</si>
  <si>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</si>
  <si>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</si>
  <si>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</si>
  <si>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</si>
  <si>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</si>
  <si>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</si>
  <si>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</si>
  <si>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</si>
  <si>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</si>
  <si>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</si>
  <si>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</si>
  <si>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</si>
  <si>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</si>
  <si>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</si>
  <si>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</si>
  <si>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</si>
  <si>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</si>
  <si>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</si>
  <si>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</si>
  <si>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</si>
  <si>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</si>
  <si>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</si>
  <si>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</si>
  <si>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</si>
  <si>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</si>
  <si>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</si>
  <si>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</si>
  <si>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</si>
  <si>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</si>
  <si>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</si>
  <si>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</si>
  <si>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</si>
  <si>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</si>
  <si>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</si>
  <si>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</si>
  <si>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</si>
  <si>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</si>
  <si>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</si>
  <si>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</si>
  <si>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</si>
  <si>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</si>
  <si>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</si>
  <si>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</si>
  <si>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</si>
  <si>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</si>
  <si>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</si>
  <si>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</si>
  <si>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</si>
  <si>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</si>
  <si>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</si>
  <si>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</si>
  <si>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</si>
  <si>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</si>
  <si>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</si>
  <si>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</si>
  <si>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</si>
  <si>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</si>
  <si>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</si>
  <si>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</si>
  <si>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</si>
  <si>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</si>
  <si>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</si>
  <si>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</si>
  <si>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</si>
  <si>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</si>
  <si>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</si>
  <si>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</si>
  <si>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</si>
  <si>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</si>
  <si>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</si>
  <si>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</si>
  <si>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</si>
  <si>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</si>
  <si>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</si>
  <si>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</si>
  <si>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</si>
  <si>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</si>
  <si>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</si>
  <si>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</si>
  <si>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</si>
  <si>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</si>
  <si>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</si>
  <si>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</si>
  <si>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</si>
  <si>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</si>
  <si>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</si>
  <si>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</si>
  <si>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</si>
  <si>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</si>
  <si>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</si>
  <si>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</si>
  <si>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</si>
  <si>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</si>
  <si>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</si>
  <si>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</si>
  <si>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</si>
  <si>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</si>
  <si>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</si>
  <si>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</si>
  <si>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</si>
  <si>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</si>
  <si>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</si>
  <si>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</si>
  <si>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</si>
  <si>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</si>
  <si>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</si>
  <si>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</si>
  <si>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</si>
  <si>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</si>
  <si>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</si>
  <si>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</si>
  <si>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</si>
  <si>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</si>
  <si>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</si>
  <si>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</si>
  <si>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</si>
  <si>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</si>
  <si>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</si>
  <si>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</si>
  <si>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</si>
  <si>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</si>
  <si>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</si>
  <si>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</si>
  <si>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</si>
  <si>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</si>
  <si>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</si>
  <si>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</si>
  <si>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</si>
  <si>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</si>
  <si>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</si>
  <si>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</si>
  <si>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</si>
  <si>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</si>
  <si>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</si>
  <si>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</si>
  <si>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</si>
  <si>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</si>
  <si>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</si>
  <si>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</si>
  <si>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</si>
  <si>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</si>
  <si>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</si>
  <si>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</si>
  <si>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</si>
  <si>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</si>
  <si>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</si>
  <si>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</si>
  <si>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</si>
  <si>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</si>
  <si>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</si>
  <si>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</si>
  <si>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</si>
  <si>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</si>
  <si>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</si>
  <si>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</si>
  <si>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</si>
  <si>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</si>
  <si>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</si>
  <si>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</si>
  <si>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</si>
  <si>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</si>
  <si>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</si>
  <si>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</si>
  <si>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</si>
  <si>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</si>
  <si>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</si>
  <si>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</si>
  <si>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</si>
  <si>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</si>
  <si>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</si>
  <si>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</si>
  <si>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</si>
  <si>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</si>
  <si>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</si>
  <si>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</si>
  <si>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</si>
  <si>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</si>
  <si>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</si>
  <si>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</si>
  <si>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</si>
  <si>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</si>
  <si>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</si>
  <si>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</si>
  <si>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</si>
  <si>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</si>
  <si>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</si>
  <si>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</si>
  <si>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</si>
  <si>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</si>
  <si>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</si>
  <si>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</si>
  <si>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</si>
  <si>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</si>
  <si>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</si>
  <si>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</si>
  <si>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</si>
  <si>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</si>
  <si>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</si>
  <si>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</si>
  <si>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</si>
  <si>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</si>
  <si>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</si>
  <si>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</si>
  <si>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</si>
  <si>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</si>
  <si>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</si>
  <si>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</si>
  <si>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</si>
  <si>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</si>
  <si>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</si>
  <si>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</si>
  <si>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</si>
  <si>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</si>
  <si>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</si>
  <si>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</si>
  <si>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</si>
  <si>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</si>
  <si>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</si>
  <si>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</si>
  <si>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</si>
  <si>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</si>
  <si>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</si>
  <si>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</si>
  <si>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</si>
  <si>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</si>
  <si>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</si>
  <si>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</si>
  <si>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</si>
  <si>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</si>
  <si>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</si>
  <si>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</si>
  <si>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</si>
  <si>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</si>
  <si>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</si>
  <si>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</si>
  <si>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</si>
  <si>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</si>
  <si>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</si>
  <si>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</si>
  <si>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</si>
  <si>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</si>
  <si>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</si>
  <si>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</si>
  <si>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</si>
  <si>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</si>
  <si>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</si>
  <si>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</si>
  <si>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</si>
  <si>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</si>
  <si>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</si>
  <si>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</si>
  <si>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</si>
  <si>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</si>
  <si>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</si>
  <si>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</si>
  <si>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</si>
  <si>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</si>
  <si>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</si>
  <si>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</si>
  <si>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</si>
  <si>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</si>
  <si>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</si>
  <si>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</si>
  <si>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</si>
  <si>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</si>
  <si>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</si>
  <si>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</si>
  <si>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</si>
  <si>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</si>
  <si>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</si>
  <si>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</si>
  <si>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</si>
  <si>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</si>
  <si>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</si>
  <si>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</si>
  <si>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</si>
  <si>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</si>
  <si>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</si>
  <si>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</si>
  <si>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</si>
  <si>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</si>
  <si>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</si>
  <si>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</si>
  <si>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</si>
  <si>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</si>
  <si>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</si>
  <si>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</si>
  <si>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</si>
  <si>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</si>
  <si>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</si>
  <si>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</si>
  <si>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</si>
  <si>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</si>
  <si>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</si>
  <si>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</si>
  <si>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</si>
  <si>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</si>
  <si>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</si>
  <si>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</si>
  <si>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</si>
  <si>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</si>
  <si>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</si>
  <si>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</si>
  <si>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</si>
  <si>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</si>
  <si>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</si>
  <si>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</si>
  <si>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</si>
  <si>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</si>
  <si>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</si>
  <si>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</si>
  <si>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</si>
  <si>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</si>
  <si>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</si>
  <si>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</si>
  <si>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</si>
  <si>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</si>
  <si>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</si>
  <si>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</si>
  <si>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</si>
  <si>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</si>
  <si>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</si>
  <si>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</si>
  <si>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</si>
  <si>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</si>
  <si>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</si>
  <si>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</si>
  <si>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</si>
  <si>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</si>
  <si>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</si>
  <si>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</si>
  <si>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</si>
  <si>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</si>
  <si>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</si>
  <si>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</si>
  <si>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</si>
  <si>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</si>
  <si>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</si>
  <si>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</si>
  <si>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</si>
  <si>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</si>
  <si>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</si>
  <si>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</si>
  <si>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</si>
  <si>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</si>
  <si>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</si>
  <si>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</si>
  <si>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</si>
  <si>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</si>
  <si>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</si>
  <si>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</si>
  <si>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</si>
  <si>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</si>
  <si>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</si>
  <si>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</si>
  <si>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</si>
  <si>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</si>
  <si>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</si>
  <si>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</si>
  <si>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</si>
  <si>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</si>
  <si>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</si>
  <si>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</si>
  <si>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</si>
  <si>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</si>
  <si>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</si>
  <si>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</si>
  <si>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</si>
  <si>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</si>
  <si>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</si>
  <si>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</si>
  <si>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</si>
  <si>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</si>
  <si>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</si>
  <si>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</si>
  <si>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</si>
  <si>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</si>
  <si>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</si>
  <si>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</si>
  <si>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</si>
  <si>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</si>
  <si>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</si>
  <si>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</si>
  <si>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</si>
  <si>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</si>
  <si>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</si>
  <si>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</si>
  <si>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</si>
  <si>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</si>
  <si>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</si>
  <si>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</si>
  <si>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</si>
  <si>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</si>
  <si>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</si>
  <si>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</si>
  <si>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</si>
  <si>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</si>
  <si>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</si>
  <si>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</si>
  <si>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</si>
  <si>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</si>
  <si>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</si>
  <si>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</si>
  <si>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</si>
  <si>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</si>
  <si>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</si>
  <si>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</si>
  <si>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</si>
  <si>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</si>
  <si>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</si>
  <si>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</si>
  <si>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</si>
  <si>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</si>
  <si>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</si>
  <si>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</si>
  <si>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</si>
  <si>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</si>
  <si>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</si>
  <si>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</si>
  <si>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</si>
  <si>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</si>
  <si>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</si>
  <si>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</si>
  <si>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</si>
  <si>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</si>
  <si>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</si>
  <si>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</si>
  <si>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</si>
  <si>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</si>
  <si>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</si>
  <si>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</si>
  <si>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</si>
  <si>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</si>
  <si>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</si>
  <si>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</si>
  <si>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</si>
  <si>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</si>
  <si>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</si>
  <si>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</si>
  <si>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</si>
  <si>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</si>
  <si>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</si>
  <si>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</si>
  <si>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</si>
  <si>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</si>
  <si>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</si>
  <si>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</si>
  <si>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</si>
  <si>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</si>
  <si>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</si>
  <si>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</si>
  <si>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</si>
  <si>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</si>
  <si>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</si>
  <si>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</si>
  <si>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</si>
  <si>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</si>
  <si>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</si>
  <si>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</si>
  <si>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</si>
  <si>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</si>
  <si>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</si>
  <si>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</si>
  <si>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</si>
  <si>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</si>
  <si>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</si>
  <si>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</si>
  <si>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</si>
  <si>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</si>
  <si>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</si>
  <si>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</si>
  <si>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</si>
  <si>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</si>
  <si>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</si>
  <si>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</si>
  <si>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</si>
  <si>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</si>
  <si>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</si>
  <si>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</si>
  <si>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</si>
  <si>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</si>
  <si>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</si>
  <si>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</si>
  <si>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</si>
  <si>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</si>
  <si>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</si>
  <si>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</si>
  <si>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</si>
  <si>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</si>
  <si>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</si>
  <si>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</si>
  <si>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</si>
  <si>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</si>
  <si>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</si>
  <si>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</si>
  <si>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</si>
  <si>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</si>
  <si>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</si>
  <si>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</si>
  <si>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</si>
  <si>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</si>
  <si>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</si>
  <si>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</si>
  <si>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</si>
  <si>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</si>
  <si>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</si>
  <si>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</si>
  <si>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</si>
  <si>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</si>
  <si>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</si>
  <si>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</si>
  <si>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</si>
  <si>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</si>
  <si>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</si>
  <si>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</si>
  <si>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</si>
  <si>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</si>
  <si>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</si>
  <si>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</si>
  <si>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</si>
  <si>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</si>
  <si>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</si>
  <si>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</si>
  <si>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</si>
  <si>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</si>
  <si>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</si>
  <si>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</si>
  <si>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</si>
  <si>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</si>
  <si>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</si>
  <si>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</si>
  <si>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</si>
  <si>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</si>
  <si>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</si>
  <si>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</si>
  <si>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</si>
  <si>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</si>
  <si>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</si>
  <si>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</si>
  <si>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</si>
  <si>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</si>
  <si>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</si>
  <si>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</si>
  <si>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</si>
  <si>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</si>
  <si>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</si>
  <si>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</si>
  <si>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</si>
  <si>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</si>
  <si>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</si>
  <si>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</si>
  <si>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</si>
  <si>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</si>
  <si>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</si>
  <si>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</si>
  <si>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</si>
  <si>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</si>
  <si>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</si>
  <si>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</si>
  <si>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</si>
  <si>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</si>
  <si>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</si>
  <si>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</si>
  <si>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</si>
  <si>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</si>
  <si>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</si>
  <si>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</si>
  <si>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</si>
  <si>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</si>
  <si>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</si>
  <si>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</si>
  <si>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</si>
  <si>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</si>
  <si>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</si>
  <si>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</si>
  <si>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</si>
  <si>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</si>
  <si>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</si>
  <si>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</si>
  <si>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</si>
  <si>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</si>
  <si>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</si>
  <si>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</si>
  <si>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</si>
  <si>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</si>
  <si>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</si>
  <si>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</si>
  <si>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</si>
  <si>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</si>
  <si>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</si>
  <si>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</si>
  <si>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</si>
  <si>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</si>
  <si>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</si>
  <si>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</si>
  <si>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</si>
  <si>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</si>
  <si>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</si>
  <si>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</si>
  <si>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</si>
  <si>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</si>
  <si>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</si>
  <si>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</si>
  <si>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</si>
  <si>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</si>
  <si>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</si>
  <si>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</si>
  <si>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</si>
  <si>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</si>
  <si>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</si>
  <si>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</si>
  <si>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</si>
  <si>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</si>
  <si>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</si>
  <si>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</si>
  <si>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</si>
  <si>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</si>
  <si>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</si>
  <si>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</si>
  <si>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</si>
  <si>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</si>
  <si>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</si>
  <si>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</si>
  <si>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</si>
  <si>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</si>
  <si>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</si>
  <si>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</si>
  <si>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</si>
  <si>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</si>
  <si>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</si>
  <si>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</si>
  <si>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</si>
  <si>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</si>
  <si>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</si>
  <si>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</si>
  <si>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</si>
  <si>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</si>
  <si>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</si>
  <si>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</si>
  <si>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</si>
  <si>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</si>
  <si>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</si>
  <si>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</si>
  <si>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</si>
  <si>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</si>
  <si>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</si>
  <si>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</si>
  <si>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</si>
  <si>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</si>
  <si>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</si>
  <si>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</si>
  <si>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</si>
  <si>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</si>
  <si>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</si>
  <si>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</si>
  <si>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</si>
  <si>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</si>
  <si>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</si>
  <si>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</si>
  <si>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</si>
  <si>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</si>
  <si>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</si>
  <si>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</si>
  <si>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</si>
  <si>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</si>
  <si>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</si>
  <si>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</si>
  <si>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</si>
  <si>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</si>
  <si>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</si>
  <si>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</si>
  <si>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</si>
  <si>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</si>
  <si>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</si>
  <si>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</si>
  <si>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</si>
  <si>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</si>
  <si>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</si>
  <si>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</si>
  <si>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</si>
  <si>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</si>
  <si>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</si>
  <si>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</si>
  <si>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</si>
  <si>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</si>
  <si>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</si>
  <si>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</si>
  <si>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</si>
  <si>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</si>
  <si>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</si>
  <si>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</si>
  <si>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</si>
  <si>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</si>
  <si>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</si>
  <si>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</si>
  <si>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</si>
  <si>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</si>
  <si>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</si>
  <si>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</si>
  <si>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</si>
  <si>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</si>
  <si>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</si>
  <si>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</si>
  <si>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</si>
  <si>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</si>
  <si>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</si>
  <si>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</si>
  <si>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</si>
  <si>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</si>
  <si>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</si>
  <si>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</si>
  <si>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</si>
  <si>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</si>
  <si>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</si>
  <si>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</si>
  <si>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</si>
  <si>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</si>
  <si>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</si>
  <si>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</si>
  <si>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</si>
  <si>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</si>
  <si>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</si>
  <si>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</si>
  <si>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</si>
  <si>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</si>
  <si>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</si>
  <si>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</si>
  <si>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</si>
  <si>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</si>
  <si>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</si>
  <si>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</si>
  <si>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</si>
  <si>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</si>
  <si>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</si>
  <si>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</si>
  <si>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</si>
  <si>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</si>
  <si>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</si>
  <si>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</si>
  <si>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</si>
  <si>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</si>
  <si>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</si>
  <si>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</si>
  <si>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</si>
  <si>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</si>
  <si>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</si>
  <si>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</si>
  <si>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</si>
  <si>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</si>
  <si>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</si>
  <si>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</si>
  <si>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</si>
  <si>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</si>
  <si>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</si>
  <si>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</si>
  <si>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</si>
  <si>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</si>
  <si>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</si>
  <si>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</si>
  <si>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</si>
  <si>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</si>
  <si>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</si>
  <si>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</si>
  <si>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</si>
  <si>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</si>
  <si>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</si>
  <si>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</si>
  <si>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</si>
  <si>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</si>
  <si>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</si>
  <si>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</si>
  <si>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</si>
  <si>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</si>
  <si>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</si>
  <si>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</si>
  <si>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</si>
  <si>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</si>
  <si>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</si>
  <si>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</si>
  <si>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</si>
  <si>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</si>
  <si>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</si>
  <si>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</si>
  <si>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</si>
  <si>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</si>
  <si>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</si>
  <si>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</si>
  <si>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</si>
  <si>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</si>
  <si>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</si>
  <si>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</si>
  <si>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</si>
  <si>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</si>
  <si>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</si>
  <si>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</si>
  <si>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</si>
  <si>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</si>
  <si>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</si>
  <si>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</si>
  <si>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</si>
  <si>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</si>
  <si>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</si>
  <si>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</si>
  <si>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</si>
  <si>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</si>
  <si>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</si>
  <si>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</si>
  <si>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</si>
  <si>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</si>
  <si>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</si>
  <si>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</si>
  <si>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</si>
  <si>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</si>
  <si>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</si>
  <si>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</si>
  <si>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</si>
  <si>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</si>
  <si>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</si>
  <si>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</si>
  <si>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</si>
  <si>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</si>
  <si>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</si>
  <si>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</si>
  <si>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</si>
  <si>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</si>
  <si>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</si>
  <si>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</si>
  <si>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</si>
  <si>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</si>
  <si>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</si>
  <si>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</si>
  <si>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</si>
  <si>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</si>
  <si>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</si>
  <si>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</si>
  <si>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</si>
  <si>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</si>
  <si>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</si>
  <si>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</si>
  <si>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</si>
  <si>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</si>
  <si>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</si>
  <si>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</si>
  <si>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</si>
  <si>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</si>
  <si>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</si>
  <si>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</si>
  <si>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</si>
  <si>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</si>
  <si>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</si>
  <si>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</si>
  <si>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</si>
  <si>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</si>
  <si>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</si>
  <si>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</si>
  <si>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</si>
  <si>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</si>
  <si>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</si>
  <si>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</si>
  <si>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</si>
  <si>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</si>
  <si>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</si>
  <si>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</si>
  <si>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</si>
  <si>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</si>
  <si>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</si>
  <si>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</si>
  <si>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</si>
  <si>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</si>
  <si>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</si>
  <si>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</si>
  <si>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</si>
  <si>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</si>
  <si>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</si>
  <si>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</si>
  <si>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</si>
  <si>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</si>
  <si>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</si>
  <si>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</si>
  <si>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</si>
  <si>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</si>
  <si>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</si>
  <si>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</si>
  <si>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</si>
  <si>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</si>
  <si>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</si>
  <si>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</si>
  <si>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</si>
  <si>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</si>
  <si>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</si>
  <si>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</si>
  <si>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</si>
  <si>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</si>
  <si>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</si>
  <si>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</si>
  <si>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</si>
  <si>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</si>
  <si>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</si>
  <si>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</si>
  <si>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</si>
  <si>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</si>
  <si>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</si>
  <si>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</si>
  <si>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</si>
  <si>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</si>
  <si>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</si>
  <si>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</si>
  <si>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</si>
  <si>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</si>
  <si>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</si>
  <si>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</si>
  <si>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</si>
  <si>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</si>
  <si>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</si>
  <si>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</si>
  <si>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</si>
  <si>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</si>
  <si>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</si>
  <si>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</si>
  <si>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</si>
  <si>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</si>
  <si>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</si>
  <si>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</si>
  <si>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</si>
  <si>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</si>
  <si>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</si>
  <si>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</si>
  <si>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</si>
  <si>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</si>
  <si>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</si>
  <si>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</si>
  <si>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</si>
  <si>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</si>
  <si>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</si>
  <si>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</si>
  <si>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</si>
  <si>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</si>
  <si>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</si>
  <si>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</si>
  <si>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</si>
  <si>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</si>
  <si>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</si>
  <si>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</si>
  <si>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</si>
  <si>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</si>
  <si>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</si>
  <si>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</si>
  <si>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</si>
  <si>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</si>
  <si>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</si>
  <si>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</si>
  <si>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</si>
  <si>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</si>
  <si>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</si>
  <si>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</si>
  <si>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</si>
  <si>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</si>
  <si>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</si>
  <si>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</si>
  <si>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</si>
  <si>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</si>
  <si>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</si>
  <si>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</si>
  <si>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</si>
  <si>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</si>
  <si>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</si>
  <si>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</si>
  <si>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</si>
  <si>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</si>
  <si>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</si>
  <si>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</si>
  <si>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</si>
  <si>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</si>
  <si>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</si>
  <si>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</si>
  <si>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</si>
  <si>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</si>
  <si>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</si>
  <si>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</si>
  <si>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</si>
  <si>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</si>
  <si>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</si>
  <si>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</si>
  <si>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</si>
  <si>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</si>
  <si>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</si>
  <si>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</si>
  <si>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</si>
  <si>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</si>
  <si>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</si>
  <si>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</si>
  <si>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</si>
  <si>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</si>
  <si>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</si>
  <si>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</si>
  <si>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</si>
  <si>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</si>
  <si>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</si>
  <si>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</si>
  <si>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</si>
  <si>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</si>
  <si>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</si>
  <si>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</si>
  <si>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</si>
  <si>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</si>
  <si>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</si>
  <si>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</si>
  <si>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</si>
  <si>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</si>
  <si>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</si>
  <si>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</si>
  <si>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</si>
  <si>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</si>
  <si>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</si>
  <si>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</si>
  <si>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</si>
  <si>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</si>
  <si>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</si>
  <si>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</si>
  <si>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</si>
  <si>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</si>
  <si>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</si>
  <si>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</si>
  <si>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</si>
  <si>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</si>
  <si>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</si>
  <si>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</si>
  <si>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</si>
  <si>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</si>
  <si>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</si>
  <si>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</si>
  <si>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</si>
  <si>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</si>
  <si>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</si>
  <si>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</si>
  <si>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</si>
  <si>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</si>
  <si>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</si>
  <si>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</si>
  <si>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</si>
  <si>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</si>
  <si>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</si>
  <si>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</si>
  <si>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</si>
  <si>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</si>
  <si>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</si>
  <si>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</si>
  <si>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</si>
  <si>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</si>
  <si>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</si>
  <si>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</si>
  <si>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</si>
  <si>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</si>
  <si>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</si>
  <si>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</si>
  <si>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</si>
  <si>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</si>
  <si>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</si>
  <si>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</si>
  <si>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</si>
  <si>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</si>
  <si>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</si>
  <si>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</si>
  <si>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</si>
  <si>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</si>
  <si>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</si>
  <si>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</si>
  <si>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</si>
  <si>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</si>
  <si>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</si>
  <si>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</si>
  <si>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</si>
  <si>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</si>
  <si>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</si>
  <si>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</si>
  <si>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</si>
  <si>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</si>
  <si>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</si>
  <si>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</si>
  <si>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</si>
  <si>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</si>
  <si>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</si>
  <si>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</si>
  <si>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</si>
  <si>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</si>
  <si>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</si>
  <si>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</si>
  <si>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</si>
  <si>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</si>
  <si>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</si>
  <si>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</si>
  <si>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</si>
  <si>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</si>
  <si>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</si>
  <si>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</si>
  <si>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</si>
  <si>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</si>
  <si>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</si>
  <si>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</si>
  <si>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</si>
  <si>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</si>
  <si>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</si>
  <si>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</si>
  <si>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</si>
  <si>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</si>
  <si>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</si>
  <si>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</si>
  <si>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</si>
  <si>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</si>
  <si>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</si>
  <si>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</si>
  <si>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</si>
  <si>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</si>
  <si>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</si>
  <si>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</si>
  <si>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</si>
  <si>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</si>
  <si>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</si>
  <si>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</si>
  <si>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</si>
  <si>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</si>
  <si>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</si>
  <si>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</si>
  <si>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</si>
  <si>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</si>
  <si>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</si>
  <si>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</si>
  <si>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</si>
  <si>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</si>
  <si>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</si>
  <si>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</si>
  <si>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</si>
  <si>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</si>
  <si>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</si>
  <si>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</si>
  <si>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</si>
  <si>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</si>
  <si>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</si>
  <si>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</si>
  <si>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</si>
  <si>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</si>
  <si>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</si>
  <si>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</si>
  <si>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</si>
  <si>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</si>
  <si>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</si>
  <si>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</si>
  <si>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</si>
  <si>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</si>
  <si>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</si>
  <si>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</si>
  <si>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</si>
  <si>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</si>
  <si>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</si>
  <si>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</si>
  <si>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</si>
  <si>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</si>
  <si>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</si>
  <si>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</si>
  <si>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</si>
  <si>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</si>
  <si>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</si>
  <si>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</si>
  <si>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</si>
  <si>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</si>
  <si>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</si>
  <si>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</si>
  <si>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</si>
  <si>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</si>
  <si>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</si>
  <si>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</si>
  <si>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</si>
  <si>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</si>
  <si>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</si>
  <si>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</si>
  <si>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</si>
  <si>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</si>
  <si>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</si>
  <si>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</si>
  <si>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</si>
  <si>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</si>
  <si>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</si>
  <si>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</si>
  <si>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</si>
  <si>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</si>
  <si>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</si>
  <si>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</si>
  <si>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</si>
  <si>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</si>
  <si>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</si>
  <si>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</si>
  <si>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</si>
  <si>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</si>
  <si>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</si>
  <si>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</si>
  <si>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</si>
  <si>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</si>
  <si>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</si>
  <si>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</si>
  <si>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</si>
  <si>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</si>
  <si>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</si>
  <si>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</si>
  <si>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</si>
  <si>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</si>
  <si>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</si>
  <si>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</si>
  <si>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</si>
  <si>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</si>
  <si>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</si>
  <si>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</si>
  <si>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</si>
  <si>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</si>
  <si>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</si>
  <si>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</si>
  <si>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</si>
  <si>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</si>
  <si>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</si>
  <si>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</si>
  <si>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</si>
  <si>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</si>
  <si>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</si>
  <si>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</si>
  <si>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</si>
  <si>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</si>
  <si>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</si>
  <si>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</si>
  <si>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</si>
  <si>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</si>
  <si>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</si>
  <si>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</si>
  <si>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</si>
  <si>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</si>
  <si>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</si>
  <si>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</si>
  <si>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</si>
  <si>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</si>
  <si>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</si>
  <si>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</si>
  <si>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</si>
  <si>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</si>
  <si>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</si>
  <si>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</si>
  <si>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</si>
  <si>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</si>
  <si>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</si>
  <si>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</si>
  <si>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</si>
  <si>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</si>
  <si>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</si>
  <si>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</si>
  <si>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</si>
  <si>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</si>
  <si>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</si>
  <si>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</si>
  <si>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</si>
  <si>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</si>
  <si>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</si>
  <si>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</si>
  <si>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</si>
  <si>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</si>
  <si>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</si>
  <si>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</si>
  <si>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</si>
  <si>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</si>
  <si>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</si>
  <si>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</si>
  <si>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</si>
  <si>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</si>
  <si>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</si>
  <si>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</si>
  <si>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</si>
  <si>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</si>
  <si>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</si>
  <si>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</si>
  <si>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</si>
  <si>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</si>
  <si>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</si>
  <si>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</si>
  <si>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</si>
  <si>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</si>
  <si>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</si>
  <si>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</si>
  <si>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</si>
  <si>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</si>
  <si>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</si>
  <si>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</si>
  <si>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</si>
  <si>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</si>
  <si>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</si>
  <si>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</si>
  <si>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</si>
  <si>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</si>
  <si>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</si>
  <si>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</si>
  <si>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</si>
  <si>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</si>
  <si>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</si>
  <si>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</si>
  <si>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</si>
  <si>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</si>
  <si>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</si>
  <si>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</si>
  <si>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</si>
  <si>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</si>
  <si>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</si>
  <si>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</si>
  <si>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</si>
  <si>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</si>
  <si>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</si>
  <si>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</si>
  <si>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</si>
  <si>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</si>
  <si>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</si>
  <si>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</si>
  <si>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</si>
  <si>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</si>
  <si>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</si>
  <si>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</si>
  <si>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</si>
  <si>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</si>
  <si>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</si>
  <si>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</si>
  <si>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</si>
  <si>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</si>
  <si>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</si>
  <si>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</si>
  <si>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</si>
  <si>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</si>
  <si>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</si>
  <si>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</si>
  <si>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</si>
  <si>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</si>
  <si>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</si>
  <si>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</si>
  <si>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</si>
  <si>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</si>
  <si>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</si>
  <si>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</si>
  <si>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</si>
  <si>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</si>
  <si>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</si>
  <si>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</si>
  <si>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</si>
  <si>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</si>
  <si>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</si>
  <si>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</si>
  <si>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</si>
  <si>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</si>
  <si>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</si>
  <si>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</si>
  <si>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</si>
  <si>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</si>
  <si>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</si>
  <si>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</si>
  <si>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</si>
  <si>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</si>
  <si>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</si>
  <si>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</si>
  <si>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</si>
  <si>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</si>
  <si>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</si>
  <si>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</si>
  <si>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</si>
  <si>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</si>
  <si>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</si>
  <si>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</si>
  <si>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</si>
  <si>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</si>
  <si>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</si>
  <si>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</si>
  <si>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</si>
  <si>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</si>
  <si>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</si>
  <si>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</si>
  <si>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</si>
  <si>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</si>
  <si>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</si>
  <si>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</si>
  <si>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</si>
  <si>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</si>
  <si>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</si>
  <si>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</si>
  <si>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</si>
  <si>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</si>
  <si>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</si>
  <si>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</si>
  <si>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</si>
  <si>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</si>
  <si>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</si>
  <si>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</si>
  <si>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</si>
  <si>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</si>
  <si>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</si>
  <si>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</si>
  <si>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</si>
  <si>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</si>
  <si>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</si>
  <si>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</si>
  <si>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</si>
  <si>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</si>
  <si>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</si>
  <si>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</si>
  <si>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</si>
  <si>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</si>
  <si>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</si>
  <si>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</si>
  <si>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</si>
  <si>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</si>
  <si>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</si>
  <si>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</si>
  <si>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</si>
  <si>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</si>
  <si>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</si>
  <si>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</si>
  <si>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</si>
  <si>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</si>
  <si>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</si>
  <si>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</si>
  <si>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</si>
  <si>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</si>
  <si>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</si>
  <si>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</si>
  <si>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</si>
  <si>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</si>
  <si>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</si>
  <si>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</si>
  <si>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</si>
  <si>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</si>
  <si>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</si>
  <si>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</si>
  <si>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</si>
  <si>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</si>
  <si>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</si>
  <si>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</si>
  <si>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</si>
  <si>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</si>
  <si>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</si>
  <si>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</si>
  <si>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</si>
  <si>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</si>
  <si>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</si>
  <si>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</si>
  <si>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</si>
  <si>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</si>
  <si>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</si>
  <si>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</si>
  <si>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</si>
  <si>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</si>
  <si>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</si>
  <si>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</si>
  <si>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</si>
  <si>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</si>
  <si>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</si>
  <si>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</si>
  <si>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</si>
  <si>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</si>
  <si>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</si>
  <si>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</si>
  <si>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</si>
  <si>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</si>
  <si>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</si>
  <si>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</si>
  <si>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</si>
  <si>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</si>
  <si>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</si>
  <si>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</si>
  <si>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</si>
  <si>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</si>
  <si>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</si>
  <si>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</si>
  <si>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</si>
  <si>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</si>
  <si>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</si>
  <si>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</si>
  <si>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</si>
  <si>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</si>
  <si>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</si>
  <si>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</si>
  <si>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</si>
  <si>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</si>
  <si>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</si>
  <si>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</si>
  <si>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</si>
  <si>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</si>
  <si>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</si>
  <si>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</si>
  <si>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</si>
  <si>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</si>
  <si>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</si>
  <si>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</si>
  <si>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</si>
  <si>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</si>
  <si>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</si>
  <si>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</si>
  <si>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</si>
  <si>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</si>
  <si>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</si>
  <si>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</si>
  <si>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</si>
  <si>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</si>
  <si>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</si>
  <si>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</si>
  <si>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</si>
  <si>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</si>
  <si>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</si>
  <si>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</si>
  <si>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</si>
  <si>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</si>
  <si>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</si>
  <si>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</si>
  <si>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</si>
  <si>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</si>
  <si>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</si>
  <si>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</si>
  <si>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</si>
  <si>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</si>
  <si>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</si>
  <si>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</si>
  <si>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</si>
  <si>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</si>
  <si>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</si>
  <si>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</si>
  <si>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</si>
  <si>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</si>
  <si>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</si>
  <si>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</si>
  <si>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</si>
  <si>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</si>
  <si>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</si>
  <si>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</si>
  <si>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</si>
  <si>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</si>
  <si>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</si>
  <si>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</si>
  <si>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</si>
  <si>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</si>
  <si>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</si>
  <si>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</si>
  <si>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</si>
  <si>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</si>
  <si>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</si>
  <si>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</si>
  <si>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</si>
  <si>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</si>
  <si>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</si>
  <si>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</si>
  <si>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</si>
  <si>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</si>
  <si>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</si>
  <si>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</si>
  <si>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</si>
  <si>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</si>
  <si>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</si>
  <si>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</si>
  <si>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</si>
  <si>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</si>
  <si>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</si>
  <si>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</si>
  <si>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</si>
  <si>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</si>
  <si>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</si>
  <si>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</si>
  <si>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</si>
  <si>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</si>
  <si>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</si>
  <si>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</si>
  <si>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</si>
  <si>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</si>
  <si>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</si>
  <si>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</si>
  <si>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</si>
  <si>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</si>
  <si>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</si>
  <si>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</si>
  <si>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</si>
  <si>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</si>
  <si>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</si>
  <si>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</si>
  <si>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</si>
  <si>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</si>
  <si>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</si>
  <si>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</si>
  <si>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</si>
  <si>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</si>
  <si>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</si>
  <si>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</si>
  <si>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</si>
  <si>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</si>
  <si>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</si>
  <si>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</si>
  <si>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</si>
  <si>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</si>
  <si>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</si>
  <si>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</si>
  <si>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</si>
  <si>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</si>
  <si>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</si>
  <si>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</si>
  <si>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</si>
  <si>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</si>
  <si>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</si>
  <si>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</si>
  <si>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</si>
  <si>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</si>
  <si>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</si>
  <si>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</si>
  <si>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</si>
  <si>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</si>
  <si>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</si>
  <si>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</si>
  <si>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</si>
  <si>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</si>
  <si>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</si>
  <si>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</si>
  <si>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</si>
  <si>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</si>
  <si>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</si>
  <si>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</si>
  <si>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</si>
  <si>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</si>
  <si>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</si>
  <si>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</si>
  <si>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</si>
  <si>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</si>
  <si>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</si>
  <si>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</si>
  <si>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</si>
  <si>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</si>
  <si>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</si>
  <si>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</si>
  <si>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</si>
  <si>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</si>
  <si>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</si>
  <si>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</si>
  <si>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</si>
  <si>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</si>
  <si>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</si>
  <si>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</si>
  <si>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</si>
  <si>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</si>
  <si>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</si>
  <si>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</si>
  <si>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</si>
  <si>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</si>
  <si>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</si>
  <si>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</si>
  <si>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</si>
  <si>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</si>
  <si>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</si>
  <si>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</si>
  <si>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</si>
  <si>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</si>
  <si>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</si>
  <si>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</si>
  <si>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</si>
  <si>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</si>
  <si>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</si>
  <si>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</si>
  <si>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</si>
  <si>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</si>
  <si>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</si>
  <si>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</si>
  <si>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</si>
  <si>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</si>
  <si>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</si>
  <si>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</si>
  <si>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</si>
  <si>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</si>
  <si>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</si>
  <si>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</si>
  <si>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</si>
  <si>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</si>
  <si>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</si>
  <si>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</si>
  <si>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</si>
  <si>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</si>
  <si>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</si>
  <si>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</si>
  <si>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</si>
  <si>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</si>
  <si>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</si>
  <si>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</si>
  <si>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</si>
  <si>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</si>
  <si>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</si>
  <si>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</si>
  <si>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</si>
  <si>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</si>
  <si>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</si>
  <si>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</si>
  <si>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</si>
  <si>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</si>
  <si>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</si>
  <si>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</si>
  <si>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</si>
  <si>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</si>
  <si>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</si>
  <si>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</si>
  <si>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</si>
  <si>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</si>
  <si>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</si>
  <si>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</si>
  <si>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</si>
  <si>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</si>
  <si>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</si>
  <si>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</si>
  <si>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</si>
  <si>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</si>
  <si>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</si>
  <si>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</si>
  <si>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</si>
  <si>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</si>
  <si>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</si>
  <si>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</si>
  <si>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</si>
  <si>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</si>
  <si>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</si>
  <si>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</si>
  <si>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</si>
  <si>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</si>
  <si>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</si>
  <si>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</si>
  <si>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</si>
  <si>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</si>
  <si>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</si>
  <si>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</si>
  <si>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</si>
  <si>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</si>
  <si>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</si>
  <si>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</si>
  <si>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</si>
  <si>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</si>
  <si>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</si>
  <si>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</si>
  <si>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</si>
  <si>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</si>
  <si>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</si>
  <si>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</si>
  <si>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</si>
  <si>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</si>
  <si>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</si>
  <si>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</si>
  <si>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</si>
  <si>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</si>
  <si>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</si>
  <si>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</si>
  <si>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</si>
  <si>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</si>
  <si>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</si>
  <si>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</si>
  <si>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</si>
  <si>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</si>
  <si>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</si>
  <si>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</si>
  <si>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</si>
  <si>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</si>
  <si>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</si>
  <si>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</si>
  <si>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</si>
  <si>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</si>
  <si>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</si>
  <si>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</si>
  <si>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</si>
  <si>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</si>
  <si>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</si>
  <si>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</si>
  <si>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</si>
  <si>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</si>
  <si>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</si>
  <si>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</si>
  <si>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</si>
  <si>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</si>
  <si>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</si>
  <si>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</si>
  <si>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</si>
  <si>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</si>
  <si>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</si>
  <si>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</si>
  <si>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</si>
  <si>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</si>
  <si>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</si>
  <si>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</si>
  <si>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</si>
  <si>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</si>
  <si>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</si>
  <si>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</si>
  <si>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</si>
  <si>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</si>
  <si>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</si>
  <si>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</si>
  <si>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</si>
  <si>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</si>
  <si>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</si>
  <si>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</si>
  <si>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</si>
  <si>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</si>
  <si>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</si>
  <si>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</si>
  <si>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</si>
  <si>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</si>
  <si>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</si>
  <si>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</si>
  <si>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</si>
  <si>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</si>
  <si>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</si>
  <si>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</si>
  <si>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</si>
  <si>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</si>
  <si>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</si>
  <si>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</si>
  <si>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</si>
  <si>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</si>
  <si>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</si>
  <si>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</si>
  <si>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</si>
  <si>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</si>
  <si>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</si>
  <si>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</si>
  <si>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</si>
  <si>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</si>
  <si>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</si>
  <si>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</si>
  <si>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</si>
  <si>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</si>
  <si>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</si>
  <si>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</si>
  <si>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</si>
  <si>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</si>
  <si>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</si>
  <si>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</si>
  <si>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</si>
  <si>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</si>
  <si>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</si>
  <si>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</si>
  <si>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</si>
  <si>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</si>
  <si>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</si>
  <si>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</si>
  <si>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</si>
  <si>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</si>
  <si>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</si>
  <si>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</si>
  <si>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</si>
  <si>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</si>
  <si>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</si>
  <si>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</si>
  <si>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</si>
  <si>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</si>
  <si>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</si>
  <si>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</si>
  <si>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</si>
  <si>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</si>
  <si>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</si>
  <si>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</si>
  <si>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</si>
  <si>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</si>
  <si>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</si>
  <si>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</si>
  <si>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</si>
  <si>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</si>
  <si>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</si>
  <si>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</si>
  <si>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</si>
  <si>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</si>
  <si>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</si>
  <si>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</si>
  <si>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</si>
  <si>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</si>
  <si>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</si>
  <si>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</si>
  <si>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</si>
  <si>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</si>
  <si>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</si>
  <si>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</si>
  <si>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</si>
  <si>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</si>
  <si>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</si>
  <si>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</si>
  <si>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</si>
  <si>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</si>
  <si>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</si>
  <si>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</si>
  <si>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</si>
  <si>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</si>
  <si>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</si>
  <si>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</si>
  <si>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</si>
  <si>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</si>
  <si>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</si>
  <si>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</si>
  <si>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</si>
  <si>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</si>
  <si>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</si>
  <si>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</si>
  <si>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</si>
  <si>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</si>
  <si>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</si>
  <si>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</si>
  <si>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</si>
  <si>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</si>
  <si>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</si>
  <si>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</si>
  <si>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</si>
  <si>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</si>
  <si>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</si>
  <si>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</si>
  <si>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</si>
  <si>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</si>
  <si>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</si>
  <si>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</si>
  <si>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</si>
  <si>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</si>
  <si>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</si>
  <si>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</si>
  <si>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</si>
  <si>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</si>
  <si>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</si>
  <si>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</si>
  <si>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</si>
  <si>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</si>
  <si>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</si>
  <si>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</si>
  <si>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</si>
  <si>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</si>
  <si>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</si>
  <si>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</si>
  <si>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</si>
  <si>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</si>
  <si>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</si>
  <si>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</si>
  <si>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</si>
  <si>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</si>
  <si>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</si>
  <si>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</si>
  <si>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</si>
  <si>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</si>
  <si>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</si>
  <si>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</si>
  <si>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</si>
  <si>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</si>
  <si>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</si>
  <si>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</si>
  <si>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</si>
  <si>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</si>
  <si>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</si>
  <si>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</si>
  <si>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</si>
  <si>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</si>
  <si>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</si>
  <si>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</si>
  <si>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</si>
  <si>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</si>
  <si>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</si>
  <si>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</si>
  <si>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</si>
  <si>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</si>
  <si>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</si>
  <si>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</si>
  <si>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</si>
  <si>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</si>
  <si>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</si>
  <si>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</si>
  <si>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</si>
  <si>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</si>
  <si>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</si>
  <si>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</si>
  <si>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</si>
  <si>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</si>
  <si>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</si>
  <si>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</si>
  <si>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</si>
  <si>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</si>
  <si>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</si>
  <si>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</si>
  <si>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</si>
  <si>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</si>
  <si>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</si>
  <si>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</si>
  <si>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</si>
  <si>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</si>
  <si>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</si>
  <si>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</si>
  <si>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</si>
  <si>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</si>
  <si>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</si>
  <si>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</si>
  <si>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</si>
  <si>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</si>
  <si>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</si>
  <si>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</si>
  <si>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</si>
  <si>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</si>
  <si>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</si>
  <si>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</si>
  <si>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</si>
  <si>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</si>
  <si>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</si>
  <si>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</si>
  <si>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</si>
  <si>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</si>
  <si>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</si>
  <si>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</si>
  <si>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</si>
  <si>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</si>
  <si>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</si>
  <si>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</si>
  <si>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</si>
  <si>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</si>
  <si>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</si>
  <si>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</si>
  <si>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</si>
  <si>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</si>
  <si>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</si>
  <si>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</si>
  <si>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</si>
  <si>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</si>
  <si>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</si>
  <si>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</si>
  <si>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</si>
  <si>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</si>
  <si>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</si>
  <si>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</si>
  <si>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</si>
  <si>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</si>
  <si>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</si>
  <si>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</si>
  <si>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</si>
  <si>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</si>
  <si>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</si>
  <si>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</si>
  <si>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</si>
  <si>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</si>
  <si>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</si>
  <si>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</si>
  <si>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</si>
  <si>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</si>
  <si>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</si>
  <si>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</si>
  <si>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</si>
  <si>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</si>
  <si>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</si>
  <si>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</si>
  <si>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</si>
  <si>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</si>
  <si>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</si>
  <si>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</si>
  <si>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</si>
  <si>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</si>
  <si>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</si>
  <si>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</si>
  <si>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</si>
  <si>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</si>
  <si>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</si>
  <si>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</si>
  <si>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</si>
  <si>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</si>
  <si>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</si>
  <si>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</si>
  <si>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</si>
  <si>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</si>
  <si>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</si>
  <si>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</si>
  <si>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</si>
  <si>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</si>
  <si>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</si>
  <si>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</si>
  <si>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</si>
  <si>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</si>
  <si>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</si>
  <si>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</si>
  <si>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</si>
  <si>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</si>
  <si>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</si>
  <si>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</si>
  <si>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</si>
  <si>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</si>
  <si>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</si>
  <si>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</si>
  <si>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</si>
  <si>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</si>
  <si>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</si>
  <si>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</si>
  <si>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</si>
  <si>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</si>
  <si>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</si>
  <si>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</si>
  <si>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</si>
  <si>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</si>
  <si>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</si>
  <si>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</si>
  <si>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</si>
  <si>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</si>
  <si>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</si>
  <si>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</si>
  <si>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</si>
  <si>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</si>
  <si>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</si>
  <si>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</si>
  <si>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</si>
  <si>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</si>
  <si>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</si>
  <si>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</si>
  <si>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</si>
  <si>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</si>
  <si>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</si>
  <si>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</si>
  <si>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</si>
  <si>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</si>
  <si>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</si>
  <si>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</si>
  <si>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</si>
  <si>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</si>
  <si>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</si>
  <si>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</si>
  <si>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</si>
  <si>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</si>
  <si>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</si>
  <si>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</si>
  <si>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</si>
  <si>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</si>
  <si>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</si>
  <si>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</si>
  <si>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</si>
  <si>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</si>
  <si>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</si>
  <si>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</si>
  <si>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</si>
  <si>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</si>
  <si>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</si>
  <si>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</si>
  <si>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</si>
  <si>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</si>
  <si>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</si>
  <si>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</si>
  <si>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</si>
  <si>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</si>
  <si>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</si>
  <si>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</si>
  <si>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</si>
  <si>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</si>
  <si>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</si>
  <si>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</si>
  <si>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</si>
  <si>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</si>
  <si>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</si>
  <si>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</si>
  <si>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</si>
  <si>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</si>
  <si>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</si>
  <si>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</si>
  <si>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</si>
  <si>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</si>
  <si>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</si>
  <si>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</si>
  <si>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</si>
  <si>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</si>
  <si>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</si>
  <si>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</si>
  <si>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</si>
  <si>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</si>
  <si>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</si>
  <si>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</si>
  <si>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</si>
  <si>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</si>
  <si>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</si>
  <si>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</si>
  <si>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</si>
  <si>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</si>
  <si>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</si>
  <si>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</si>
  <si>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</si>
  <si>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</si>
  <si>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</si>
  <si>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</si>
  <si>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</si>
  <si>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</si>
  <si>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</si>
  <si>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</si>
  <si>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</si>
  <si>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</si>
  <si>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</si>
  <si>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</si>
  <si>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</si>
  <si>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</si>
  <si>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</si>
  <si>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</si>
  <si>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</si>
  <si>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</si>
  <si>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</si>
  <si>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</si>
  <si>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</si>
  <si>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</si>
  <si>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</si>
  <si>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</si>
  <si>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</si>
  <si>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</si>
  <si>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</si>
  <si>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</si>
  <si>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</si>
  <si>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</si>
  <si>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</si>
  <si>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</si>
  <si>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</si>
  <si>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</si>
  <si>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</si>
  <si>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</si>
  <si>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</si>
  <si>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</si>
  <si>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</si>
  <si>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</si>
  <si>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</si>
  <si>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</si>
  <si>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</si>
  <si>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</si>
  <si>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</si>
  <si>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</si>
  <si>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</si>
  <si>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</si>
  <si>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</si>
  <si>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</si>
  <si>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</si>
  <si>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</si>
  <si>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</si>
  <si>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</si>
  <si>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</si>
  <si>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</si>
  <si>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</si>
  <si>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</si>
  <si>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</si>
  <si>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</si>
  <si>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</si>
  <si>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</si>
  <si>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</si>
  <si>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</si>
  <si>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</si>
  <si>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</si>
  <si>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</si>
  <si>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</si>
  <si>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</si>
  <si>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</si>
  <si>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</si>
  <si>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</si>
  <si>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</si>
  <si>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</si>
  <si>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</si>
  <si>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</si>
  <si>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</si>
  <si>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</si>
  <si>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</si>
  <si>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</si>
  <si>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</si>
  <si>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</si>
  <si>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</si>
  <si>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</si>
  <si>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</si>
  <si>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</si>
  <si>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</si>
  <si>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</si>
  <si>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</si>
  <si>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</si>
  <si>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</si>
  <si>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</si>
  <si>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</si>
  <si>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</si>
  <si>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</si>
  <si>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</si>
  <si>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</si>
  <si>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</si>
  <si>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</si>
  <si>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</si>
  <si>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</si>
  <si>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</si>
  <si>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</si>
  <si>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</si>
  <si>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</si>
  <si>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</si>
  <si>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</si>
  <si>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</si>
  <si>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</si>
  <si>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</si>
  <si>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</si>
  <si>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</si>
  <si>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</si>
  <si>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</si>
  <si>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</si>
  <si>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</si>
  <si>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</si>
  <si>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</si>
  <si>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</si>
  <si>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</si>
  <si>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</si>
  <si>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</si>
  <si>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</si>
  <si>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</si>
  <si>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</si>
  <si>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</si>
  <si>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</si>
  <si>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</si>
  <si>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</si>
  <si>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</si>
  <si>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</si>
  <si>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</si>
  <si>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</si>
  <si>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</si>
  <si>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</si>
  <si>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</si>
  <si>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</si>
  <si>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</si>
  <si>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</si>
  <si>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</si>
  <si>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</si>
  <si>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</si>
  <si>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</si>
  <si>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</si>
  <si>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</si>
  <si>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</si>
  <si>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</si>
  <si>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</si>
  <si>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</si>
  <si>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</si>
  <si>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</si>
  <si>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</si>
  <si>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</si>
  <si>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</si>
  <si>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</si>
  <si>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</si>
  <si>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</si>
  <si>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</si>
  <si>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</si>
  <si>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</si>
  <si>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</si>
  <si>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</si>
  <si>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</si>
  <si>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</si>
  <si>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</si>
  <si>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</si>
  <si>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</si>
  <si>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</si>
  <si>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</si>
  <si>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</si>
  <si>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</si>
  <si>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</si>
  <si>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</si>
  <si>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</si>
  <si>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</si>
  <si>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</si>
  <si>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</si>
  <si>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</si>
  <si>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</si>
  <si>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</si>
  <si>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</si>
  <si>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</si>
  <si>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</si>
  <si>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</si>
  <si>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</si>
  <si>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</si>
  <si>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</si>
  <si>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</si>
  <si>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</si>
  <si>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</si>
  <si>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</si>
  <si>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</si>
  <si>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</si>
  <si>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</si>
  <si>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</si>
  <si>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</si>
  <si>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</si>
  <si>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</si>
  <si>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</si>
  <si>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</si>
  <si>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</si>
  <si>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</si>
  <si>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</si>
  <si>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</si>
  <si>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</si>
  <si>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</si>
  <si>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</si>
  <si>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</si>
  <si>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</si>
  <si>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</si>
  <si>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</si>
  <si>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</si>
  <si>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</si>
  <si>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</si>
  <si>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</si>
  <si>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</si>
  <si>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</si>
  <si>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</si>
  <si>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</si>
  <si>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</si>
  <si>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</si>
  <si>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</si>
  <si>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</si>
  <si>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</si>
  <si>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</si>
  <si>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</si>
  <si>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</si>
  <si>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</si>
  <si>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</si>
  <si>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</si>
  <si>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</si>
  <si>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</si>
  <si>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</si>
  <si>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</si>
  <si>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</si>
  <si>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</si>
  <si>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</si>
  <si>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</si>
  <si>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</si>
  <si>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</si>
  <si>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</si>
  <si>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</si>
  <si>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</si>
  <si>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</si>
  <si>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</si>
  <si>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</si>
  <si>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</si>
  <si>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</si>
  <si>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</si>
  <si>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</si>
  <si>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</si>
  <si>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</si>
  <si>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</si>
  <si>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</si>
  <si>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</si>
  <si>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</si>
  <si>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</si>
  <si>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</si>
  <si>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</si>
  <si>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</si>
  <si>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</si>
  <si>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</si>
  <si>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</si>
  <si>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</si>
  <si>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</si>
  <si>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</si>
  <si>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</si>
  <si>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</si>
  <si>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</si>
  <si>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</si>
  <si>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</si>
  <si>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</si>
  <si>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</si>
  <si>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</si>
  <si>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</si>
  <si>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</si>
  <si>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</si>
  <si>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</si>
  <si>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</si>
  <si>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</si>
  <si>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</si>
  <si>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</si>
  <si>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</si>
  <si>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</si>
  <si>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</si>
  <si>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</si>
  <si>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</si>
  <si>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</si>
  <si>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</si>
  <si>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</si>
  <si>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</si>
  <si>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</si>
  <si>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</si>
  <si>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</si>
  <si>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</si>
  <si>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</si>
  <si>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</si>
  <si>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</si>
  <si>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</si>
  <si>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</si>
  <si>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</si>
  <si>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</si>
  <si>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</si>
  <si>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</si>
  <si>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</si>
  <si>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</si>
  <si>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</si>
  <si>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</si>
  <si>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</si>
  <si>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</si>
  <si>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</si>
  <si>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</si>
  <si>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</si>
  <si>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</si>
  <si>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</si>
  <si>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</si>
  <si>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</si>
  <si>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</si>
  <si>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</si>
  <si>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</si>
  <si>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</si>
  <si>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</si>
  <si>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</si>
  <si>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</si>
  <si>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</si>
  <si>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</si>
  <si>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</si>
  <si>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</si>
  <si>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</si>
  <si>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</si>
  <si>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</si>
  <si>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</si>
  <si>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</si>
  <si>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</si>
  <si>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</si>
  <si>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</si>
  <si>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</si>
  <si>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</si>
  <si>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</si>
  <si>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</si>
  <si>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</si>
  <si>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</si>
  <si>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</si>
  <si>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</si>
  <si>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</si>
  <si>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</si>
  <si>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</si>
  <si>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</si>
  <si>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</si>
  <si>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</si>
  <si>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</si>
  <si>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</si>
  <si>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</si>
  <si>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</si>
  <si>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</si>
  <si>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</si>
  <si>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</si>
  <si>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</si>
  <si>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</si>
  <si>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</si>
  <si>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</si>
  <si>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</si>
  <si>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</si>
  <si>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</si>
  <si>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</si>
  <si>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</si>
  <si>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</si>
  <si>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</si>
  <si>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</si>
  <si>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</si>
  <si>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</si>
  <si>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</si>
  <si>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</si>
  <si>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</si>
  <si>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</si>
  <si>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</si>
  <si>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</si>
  <si>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</si>
  <si>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</si>
  <si>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</si>
  <si>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</si>
  <si>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</si>
  <si>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</si>
  <si>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</si>
  <si>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</si>
  <si>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</si>
  <si>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</si>
  <si>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</si>
  <si>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</si>
  <si>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</si>
  <si>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</si>
  <si>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</si>
  <si>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</si>
  <si>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</si>
  <si>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</si>
  <si>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</si>
  <si>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</si>
  <si>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</si>
  <si>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</si>
  <si>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</si>
  <si>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</si>
  <si>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</si>
  <si>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</si>
  <si>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</si>
  <si>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</si>
  <si>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</si>
  <si>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</si>
  <si>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</si>
  <si>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</si>
  <si>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</si>
  <si>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</si>
  <si>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</si>
  <si>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</si>
  <si>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</si>
  <si>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</si>
  <si>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</si>
  <si>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</si>
  <si>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</si>
  <si>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</si>
  <si>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</si>
  <si>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</si>
  <si>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</si>
  <si>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</si>
  <si>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</si>
  <si>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</si>
  <si>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</si>
  <si>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</si>
  <si>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</si>
  <si>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</si>
  <si>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</si>
  <si>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</si>
  <si>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</si>
  <si>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</si>
  <si>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</si>
  <si>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</si>
  <si>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</si>
  <si>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</si>
  <si>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</si>
  <si>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</si>
  <si>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</si>
  <si>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</si>
  <si>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</si>
  <si>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</si>
  <si>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</si>
  <si>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</si>
  <si>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</si>
  <si>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</si>
  <si>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</si>
  <si>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</si>
  <si>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</si>
  <si>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</si>
  <si>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</si>
  <si>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</si>
  <si>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</si>
  <si>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</si>
  <si>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</si>
  <si>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</si>
  <si>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</si>
  <si>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</si>
  <si>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</si>
  <si>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</si>
  <si>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</si>
  <si>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</si>
  <si>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</si>
  <si>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</si>
  <si>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</si>
  <si>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</si>
  <si>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</si>
  <si>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</si>
  <si>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</si>
  <si>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</si>
  <si>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</si>
  <si>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</si>
  <si>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</si>
  <si>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</si>
  <si>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</si>
  <si>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</si>
  <si>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</si>
  <si>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</si>
  <si>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</si>
  <si>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</si>
  <si>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</si>
  <si>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</si>
  <si>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</si>
  <si>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</si>
  <si>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</si>
  <si>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</si>
  <si>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</si>
  <si>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</si>
  <si>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</si>
  <si>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</si>
  <si>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</si>
  <si>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</si>
  <si>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</si>
  <si>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</si>
  <si>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</si>
  <si>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</si>
  <si>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</si>
  <si>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</si>
  <si>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</si>
  <si>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</si>
  <si>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</si>
  <si>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</si>
  <si>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</si>
  <si>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</si>
  <si>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</si>
  <si>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</si>
  <si>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</si>
  <si>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</si>
  <si>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</si>
  <si>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</si>
  <si>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</si>
  <si>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</si>
  <si>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</si>
  <si>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</si>
  <si>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</si>
  <si>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</si>
  <si>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</si>
  <si>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</si>
  <si>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</si>
  <si>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</si>
  <si>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</si>
  <si>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</si>
  <si>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</si>
  <si>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</si>
  <si>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</si>
  <si>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</si>
  <si>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</si>
  <si>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</si>
  <si>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</si>
  <si>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</si>
  <si>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</si>
  <si>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</si>
  <si>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</si>
  <si>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</si>
  <si>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</si>
  <si>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</si>
  <si>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</si>
  <si>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</si>
  <si>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</si>
  <si>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</si>
  <si>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</si>
  <si>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</si>
  <si>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</si>
  <si>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</si>
  <si>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</si>
  <si>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</si>
  <si>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</si>
  <si>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</si>
  <si>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</si>
  <si>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</si>
  <si>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</si>
  <si>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</si>
  <si>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</si>
  <si>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</si>
  <si>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</si>
  <si>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</si>
  <si>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</si>
  <si>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</si>
  <si>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</si>
  <si>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</si>
  <si>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</si>
  <si>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</si>
  <si>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</si>
  <si>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</si>
  <si>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</si>
  <si>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</si>
  <si>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</si>
  <si>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</si>
  <si>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</si>
  <si>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</si>
  <si>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</si>
  <si>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</si>
  <si>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</si>
  <si>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</si>
  <si>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</si>
  <si>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</si>
  <si>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</si>
  <si>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</si>
  <si>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</si>
  <si>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</si>
  <si>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</si>
  <si>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</si>
  <si>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</si>
  <si>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</si>
  <si>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</si>
  <si>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</si>
  <si>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</si>
  <si>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</si>
  <si>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</si>
  <si>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</si>
  <si>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</si>
  <si>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</si>
  <si>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</si>
  <si>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</si>
  <si>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</si>
  <si>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</si>
  <si>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</si>
  <si>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</si>
  <si>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</si>
  <si>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</si>
  <si>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</si>
  <si>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</si>
  <si>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</si>
  <si>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</si>
  <si>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</si>
  <si>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</si>
  <si>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</si>
  <si>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</si>
  <si>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</si>
  <si>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</si>
  <si>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</si>
  <si>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</si>
  <si>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</si>
  <si>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</si>
  <si>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</si>
  <si>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</si>
  <si>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</si>
  <si>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</si>
  <si>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</si>
  <si>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</si>
  <si>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</si>
  <si>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</si>
  <si>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</si>
  <si>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</si>
  <si>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</si>
  <si>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</si>
  <si>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</si>
  <si>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</si>
  <si>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</si>
  <si>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</si>
  <si>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</si>
  <si>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</si>
  <si>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</si>
  <si>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</si>
  <si>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</si>
  <si>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</si>
  <si>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</si>
  <si>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</si>
  <si>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</si>
  <si>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</si>
  <si>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</si>
  <si>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</si>
  <si>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</si>
  <si>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</si>
  <si>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</si>
  <si>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</si>
  <si>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</si>
  <si>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</si>
  <si>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</si>
  <si>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</si>
  <si>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</si>
  <si>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</si>
  <si>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</si>
  <si>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</si>
  <si>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</si>
  <si>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</si>
  <si>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</si>
  <si>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</si>
  <si>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</si>
  <si>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</si>
  <si>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</si>
  <si>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</si>
  <si>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</si>
  <si>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</si>
  <si>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</si>
  <si>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</si>
  <si>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</si>
  <si>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</si>
  <si>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</si>
  <si>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</si>
  <si>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</si>
  <si>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</si>
  <si>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</si>
  <si>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</si>
  <si>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</si>
  <si>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</si>
  <si>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</si>
  <si>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</si>
  <si>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</si>
  <si>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</si>
  <si>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</si>
  <si>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</si>
  <si>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</si>
  <si>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</si>
  <si>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</si>
  <si>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</si>
  <si>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</si>
  <si>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</si>
  <si>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</si>
  <si>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</si>
  <si>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</si>
  <si>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</si>
  <si>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</si>
  <si>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</si>
  <si>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</si>
  <si>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</si>
  <si>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</si>
  <si>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</si>
  <si>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</si>
  <si>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</si>
  <si>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</si>
  <si>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</si>
  <si>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</si>
  <si>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</si>
  <si>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</si>
  <si>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</si>
  <si>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</si>
  <si>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</si>
  <si>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</si>
  <si>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</si>
  <si>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</si>
  <si>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</si>
  <si>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</si>
  <si>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</si>
  <si>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</si>
  <si>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</si>
  <si>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</si>
  <si>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</si>
  <si>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</si>
  <si>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</si>
  <si>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</si>
  <si>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</si>
  <si>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</si>
  <si>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</si>
  <si>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</si>
  <si>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</si>
  <si>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</si>
  <si>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</si>
  <si>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</si>
  <si>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</si>
  <si>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</si>
  <si>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</si>
  <si>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</si>
  <si>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</si>
  <si>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</si>
  <si>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</si>
  <si>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</si>
  <si>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</si>
  <si>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</si>
  <si>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</si>
  <si>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</si>
  <si>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</si>
  <si>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</si>
  <si>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</si>
  <si>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</si>
  <si>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</si>
  <si>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</si>
  <si>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</si>
  <si>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</si>
  <si>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</si>
  <si>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</si>
  <si>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</si>
  <si>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</si>
  <si>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</si>
  <si>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</si>
  <si>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</si>
  <si>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</si>
  <si>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</si>
  <si>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</si>
  <si>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</si>
  <si>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</si>
  <si>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</si>
  <si>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</si>
  <si>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</si>
  <si>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</si>
  <si>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</si>
  <si>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</si>
  <si>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</si>
  <si>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</si>
  <si>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</si>
  <si>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</si>
  <si>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</si>
  <si>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</si>
  <si>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</si>
  <si>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</si>
  <si>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</si>
  <si>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</si>
  <si>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</si>
  <si>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</si>
  <si>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</si>
  <si>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</si>
  <si>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</si>
  <si>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</si>
  <si>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</si>
  <si>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</si>
  <si>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</si>
  <si>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</si>
  <si>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</si>
  <si>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</si>
  <si>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</si>
  <si>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</si>
  <si>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</si>
  <si>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</si>
  <si>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</si>
  <si>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</si>
  <si>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</si>
  <si>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</si>
  <si>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</si>
  <si>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</si>
  <si>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</si>
  <si>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</si>
  <si>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</si>
  <si>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</si>
  <si>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</si>
  <si>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</si>
  <si>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</si>
  <si>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</si>
  <si>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</si>
  <si>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</si>
  <si>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</si>
  <si>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</si>
  <si>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</si>
  <si>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</si>
  <si>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</si>
  <si>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</si>
  <si>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</si>
  <si>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</si>
  <si>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</si>
  <si>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</si>
  <si>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</si>
  <si>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</si>
  <si>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</si>
  <si>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</si>
  <si>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</si>
  <si>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</si>
  <si>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</si>
  <si>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</si>
  <si>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</si>
  <si>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</si>
  <si>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</si>
  <si>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</si>
  <si>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</si>
  <si>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</si>
  <si>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</si>
  <si>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</si>
  <si>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</si>
  <si>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</si>
  <si>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</si>
  <si>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</si>
  <si>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</si>
  <si>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</si>
  <si>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</si>
  <si>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</si>
  <si>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</si>
  <si>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</si>
  <si>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</si>
  <si>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</si>
  <si>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</si>
  <si>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</si>
  <si>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</si>
  <si>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</si>
  <si>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</si>
  <si>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</si>
  <si>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</si>
  <si>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</si>
  <si>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</si>
  <si>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</si>
  <si>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</si>
  <si>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</si>
  <si>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</si>
  <si>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</si>
  <si>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</si>
  <si>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</si>
  <si>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</si>
  <si>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</si>
  <si>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</si>
  <si>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</si>
  <si>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</si>
  <si>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</si>
  <si>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</si>
  <si>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</si>
  <si>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</si>
  <si>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</si>
  <si>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</si>
  <si>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</si>
  <si>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</si>
  <si>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</si>
  <si>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</si>
  <si>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</si>
  <si>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</si>
  <si>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</si>
  <si>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</si>
  <si>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</si>
  <si>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</si>
  <si>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</si>
  <si>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</si>
  <si>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</si>
  <si>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</si>
  <si>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</si>
  <si>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</si>
  <si>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</si>
  <si>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</si>
  <si>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</si>
  <si>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</si>
  <si>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</si>
  <si>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</si>
  <si>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</si>
  <si>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</si>
  <si>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</si>
  <si>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</si>
  <si>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</si>
  <si>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</si>
  <si>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</si>
  <si>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</si>
  <si>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</si>
  <si>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</si>
  <si>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</si>
  <si>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</si>
  <si>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</si>
  <si>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</si>
  <si>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</si>
  <si>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</si>
  <si>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</si>
  <si>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</si>
  <si>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</si>
  <si>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</si>
  <si>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</si>
  <si>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</si>
  <si>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</si>
  <si>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</si>
  <si>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</si>
  <si>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</si>
  <si>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</si>
  <si>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</si>
  <si>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</si>
  <si>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</si>
  <si>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</si>
  <si>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</si>
  <si>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</si>
  <si>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</si>
  <si>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</si>
  <si>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</si>
  <si>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</si>
  <si>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</si>
  <si>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</si>
  <si>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</si>
  <si>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</si>
  <si>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</si>
  <si>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</si>
  <si>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</si>
  <si>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</si>
  <si>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</si>
  <si>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</si>
  <si>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</si>
  <si>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</si>
  <si>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</si>
  <si>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</si>
  <si>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</si>
  <si>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</si>
  <si>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</si>
  <si>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</si>
  <si>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</si>
  <si>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</si>
  <si>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</si>
  <si>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</si>
  <si>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</si>
  <si>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</si>
  <si>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</si>
  <si>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</si>
  <si>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</si>
  <si>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</si>
  <si>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</si>
  <si>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</si>
  <si>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</si>
  <si>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</si>
  <si>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</si>
  <si>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</si>
  <si>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</si>
  <si>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</si>
  <si>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</si>
  <si>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</si>
  <si>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</si>
  <si>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</si>
  <si>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</si>
  <si>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</si>
  <si>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</si>
  <si>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</si>
  <si>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</si>
  <si>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</si>
  <si>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</si>
  <si>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</si>
  <si>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</si>
  <si>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</si>
  <si>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</si>
  <si>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</si>
  <si>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</si>
  <si>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</si>
  <si>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</si>
  <si>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</si>
  <si>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</si>
  <si>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</si>
  <si>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</si>
  <si>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</si>
  <si>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</si>
  <si>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</si>
  <si>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</si>
  <si>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</si>
  <si>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</si>
  <si>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</si>
  <si>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</si>
  <si>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</si>
  <si>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</si>
  <si>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</si>
  <si>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</si>
  <si>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</si>
  <si>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</si>
  <si>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</si>
  <si>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</si>
  <si>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</si>
  <si>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</si>
  <si>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</si>
  <si>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</si>
  <si>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</si>
  <si>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</si>
  <si>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</si>
  <si>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</si>
  <si>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</si>
  <si>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</si>
  <si>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</si>
  <si>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</si>
  <si>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</si>
  <si>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</si>
  <si>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</si>
  <si>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</si>
  <si>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</si>
  <si>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</si>
  <si>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</si>
  <si>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</si>
  <si>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</si>
  <si>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</si>
  <si>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</si>
  <si>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</si>
  <si>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</si>
  <si>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</si>
  <si>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</si>
  <si>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</si>
  <si>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</si>
  <si>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</si>
  <si>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</si>
  <si>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</si>
  <si>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</si>
  <si>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</si>
  <si>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</si>
  <si>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</si>
  <si>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</si>
  <si>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</si>
  <si>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</si>
  <si>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</si>
  <si>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</si>
  <si>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</si>
  <si>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</si>
  <si>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</si>
  <si>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</si>
  <si>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</si>
  <si>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</si>
  <si>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</si>
  <si>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</si>
  <si>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</si>
  <si>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</si>
  <si>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</si>
  <si>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</si>
  <si>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</si>
  <si>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</si>
  <si>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</si>
  <si>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</si>
  <si>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</si>
  <si>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</si>
  <si>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</si>
  <si>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</si>
  <si>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</si>
  <si>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</si>
  <si>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</si>
  <si>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</si>
  <si>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</si>
  <si>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</si>
  <si>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</si>
  <si>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</si>
  <si>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</si>
  <si>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</si>
  <si>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</si>
  <si>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</si>
  <si>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</si>
  <si>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</si>
  <si>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</si>
  <si>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</si>
  <si>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</si>
  <si>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</si>
  <si>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</si>
  <si>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</si>
  <si>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</si>
  <si>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</si>
  <si>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</si>
  <si>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</si>
  <si>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</si>
  <si>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</si>
  <si>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</si>
  <si>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</si>
  <si>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</si>
  <si>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</si>
  <si>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</si>
  <si>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</si>
  <si>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</si>
  <si>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</si>
  <si>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</si>
  <si>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</si>
  <si>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</si>
  <si>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</si>
  <si>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</si>
  <si>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</si>
  <si>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</si>
  <si>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</si>
  <si>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</si>
  <si>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</si>
  <si>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</si>
  <si>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</si>
  <si>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</si>
  <si>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</si>
  <si>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</si>
  <si>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</si>
  <si>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</si>
  <si>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</si>
  <si>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</si>
  <si>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</si>
  <si>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</si>
  <si>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</si>
  <si>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</si>
  <si>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</si>
  <si>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</si>
  <si>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</si>
  <si>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</si>
  <si>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</si>
  <si>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</si>
  <si>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</si>
  <si>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</si>
  <si>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</si>
  <si>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</si>
  <si>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</si>
  <si>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</si>
  <si>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</si>
  <si>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</si>
  <si>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</si>
  <si>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</si>
  <si>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</si>
  <si>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</si>
  <si>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</si>
  <si>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</si>
  <si>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</si>
  <si>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</si>
  <si>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</si>
  <si>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</si>
  <si>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</si>
  <si>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</si>
  <si>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</si>
  <si>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</si>
  <si>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</si>
  <si>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</si>
  <si>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</si>
  <si>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</si>
  <si>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</si>
  <si>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</si>
  <si>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</si>
  <si>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</si>
  <si>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</si>
  <si>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</si>
  <si>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</si>
  <si>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</si>
  <si>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</si>
  <si>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</si>
  <si>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</si>
  <si>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</si>
  <si>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</si>
  <si>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</si>
  <si>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</si>
  <si>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</si>
  <si>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</si>
  <si>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</si>
  <si>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</si>
  <si>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</si>
  <si>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</si>
  <si>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</si>
  <si>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</si>
  <si>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</si>
  <si>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</si>
  <si>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</si>
  <si>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</si>
  <si>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</si>
  <si>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</si>
  <si>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</si>
  <si>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</si>
  <si>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</si>
  <si>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</si>
  <si>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</si>
  <si>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</si>
  <si>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</si>
  <si>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</si>
  <si>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</si>
  <si>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</si>
  <si>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</si>
  <si>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</si>
  <si>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</si>
  <si>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</si>
  <si>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</si>
  <si>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</si>
  <si>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</si>
  <si>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</si>
  <si>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</si>
  <si>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</si>
  <si>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</si>
  <si>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</si>
  <si>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</si>
  <si>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</si>
  <si>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</si>
  <si>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</si>
  <si>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</si>
  <si>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</si>
  <si>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</si>
  <si>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</si>
  <si>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</si>
  <si>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</si>
  <si>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</si>
  <si>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</si>
  <si>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</si>
  <si>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</si>
  <si>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</si>
  <si>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</si>
  <si>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</si>
  <si>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</si>
  <si>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</si>
  <si>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</si>
  <si>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</si>
  <si>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</si>
  <si>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</si>
  <si>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</si>
  <si>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</si>
  <si>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</si>
  <si>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</si>
  <si>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</si>
  <si>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</si>
  <si>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</si>
  <si>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</si>
  <si>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</si>
  <si>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</si>
  <si>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</si>
  <si>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</si>
  <si>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</si>
  <si>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</si>
  <si>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</si>
  <si>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</si>
  <si>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</si>
  <si>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</si>
  <si>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</si>
  <si>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</si>
  <si>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</si>
  <si>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</si>
  <si>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</si>
  <si>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</si>
  <si>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</si>
  <si>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</si>
  <si>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</si>
  <si>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</si>
  <si>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</si>
  <si>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</si>
  <si>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</si>
  <si>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</si>
  <si>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</si>
  <si>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</si>
  <si>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</si>
  <si>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</si>
  <si>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</si>
  <si>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</si>
  <si>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</si>
  <si>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</si>
  <si>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</si>
  <si>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</si>
  <si>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</si>
  <si>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</si>
  <si>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</si>
  <si>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</si>
  <si>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</si>
  <si>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</si>
  <si>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</si>
  <si>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</si>
  <si>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</si>
  <si>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</si>
  <si>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</si>
  <si>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</si>
  <si>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</si>
  <si>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</si>
  <si>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</si>
  <si>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</si>
  <si>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</si>
  <si>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</si>
  <si>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</si>
  <si>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</si>
  <si>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</si>
  <si>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</si>
  <si>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</si>
  <si>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</si>
  <si>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</si>
  <si>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</si>
  <si>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</si>
  <si>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</si>
  <si>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</si>
  <si>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</si>
  <si>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</si>
  <si>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</si>
  <si>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</si>
  <si>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</si>
  <si>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</si>
  <si>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</si>
  <si>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</si>
  <si>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</si>
  <si>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</si>
  <si>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</si>
  <si>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</si>
  <si>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</si>
  <si>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</si>
  <si>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</si>
  <si>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</si>
  <si>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</si>
  <si>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</si>
  <si>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</si>
  <si>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</si>
  <si>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</si>
  <si>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</si>
  <si>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</si>
  <si>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</si>
  <si>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</si>
  <si>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</si>
  <si>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</si>
  <si>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</si>
  <si>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</si>
  <si>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</si>
  <si>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</si>
  <si>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</si>
  <si>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</si>
  <si>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</si>
  <si>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</si>
  <si>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</si>
  <si>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</si>
  <si>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</si>
  <si>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</si>
  <si>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</si>
  <si>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</si>
  <si>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</si>
  <si>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</si>
  <si>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</si>
  <si>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</si>
  <si>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</si>
  <si>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</si>
  <si>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</si>
  <si>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</si>
  <si>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</si>
  <si>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</si>
  <si>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</si>
  <si>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</si>
  <si>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</si>
  <si>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</si>
  <si>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</si>
  <si>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</si>
  <si>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</si>
  <si>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</si>
  <si>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</si>
  <si>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</si>
  <si>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</si>
  <si>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</si>
  <si>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</si>
  <si>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</si>
  <si>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</si>
  <si>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</si>
  <si>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</si>
  <si>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</si>
  <si>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</si>
  <si>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</si>
  <si>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</si>
  <si>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</si>
  <si>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</si>
  <si>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</si>
  <si>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</si>
  <si>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</si>
  <si>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</si>
  <si>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</si>
  <si>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</si>
  <si>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</si>
  <si>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</si>
  <si>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</si>
  <si>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</si>
  <si>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</si>
  <si>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</si>
  <si>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</si>
  <si>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</si>
  <si>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</si>
  <si>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</si>
  <si>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</si>
  <si>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</si>
  <si>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</si>
  <si>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</si>
  <si>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</si>
  <si>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</si>
  <si>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</si>
  <si>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</si>
  <si>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</si>
  <si>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</si>
  <si>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</si>
  <si>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</si>
  <si>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</si>
  <si>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</si>
  <si>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</si>
  <si>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</si>
  <si>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</si>
  <si>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</si>
  <si>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</si>
  <si>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</si>
  <si>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</si>
  <si>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</si>
  <si>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</si>
  <si>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</si>
  <si>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</si>
  <si>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</si>
  <si>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</si>
  <si>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</si>
  <si>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</si>
  <si>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</si>
  <si>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</si>
  <si>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</si>
  <si>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</si>
  <si>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</si>
  <si>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</si>
  <si>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</si>
  <si>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</si>
  <si>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</si>
  <si>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</si>
  <si>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</si>
  <si>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</si>
  <si>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</si>
  <si>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</si>
  <si>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</si>
  <si>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</si>
  <si>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</si>
  <si>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</si>
  <si>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</si>
  <si>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</si>
  <si>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</si>
  <si>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</si>
  <si>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</si>
  <si>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</si>
  <si>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</si>
  <si>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</si>
  <si>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</si>
  <si>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</si>
  <si>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</si>
  <si>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</si>
  <si>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</si>
  <si>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</si>
  <si>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</si>
  <si>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</si>
  <si>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</si>
  <si>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</si>
  <si>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</si>
  <si>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</si>
  <si>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</si>
  <si>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</si>
  <si>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</si>
  <si>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</si>
  <si>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</si>
  <si>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</si>
  <si>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</si>
  <si>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</si>
  <si>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</si>
  <si>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</si>
  <si>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</si>
  <si>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</si>
  <si>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</si>
  <si>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</si>
  <si>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</si>
  <si>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</si>
  <si>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</si>
  <si>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</si>
  <si>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</si>
  <si>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</si>
  <si>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</si>
  <si>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</si>
  <si>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</si>
  <si>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</si>
  <si>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</si>
  <si>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</si>
  <si>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</si>
  <si>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</si>
  <si>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</si>
  <si>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</si>
  <si>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</si>
  <si>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</si>
  <si>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</si>
  <si>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</si>
  <si>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</si>
  <si>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</si>
  <si>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</si>
  <si>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</si>
  <si>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</si>
  <si>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</si>
  <si>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</si>
  <si>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</si>
  <si>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</si>
  <si>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</si>
  <si>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</si>
  <si>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</si>
  <si>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</si>
  <si>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</si>
  <si>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</si>
  <si>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</si>
  <si>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</si>
  <si>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</si>
  <si>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</si>
  <si>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</si>
  <si>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</si>
  <si>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</si>
  <si>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</si>
  <si>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</si>
  <si>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</si>
  <si>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</si>
  <si>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</si>
  <si>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</si>
  <si>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</si>
  <si>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</si>
  <si>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</si>
  <si>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</si>
  <si>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</si>
  <si>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</si>
  <si>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</si>
  <si>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</si>
  <si>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</si>
  <si>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</si>
  <si>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</si>
  <si>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</si>
  <si>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</si>
  <si>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</si>
  <si>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</si>
  <si>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</si>
  <si>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</si>
  <si>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</si>
  <si>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</si>
  <si>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</si>
  <si>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</si>
  <si>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</si>
  <si>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</si>
  <si>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</si>
  <si>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</si>
  <si>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</si>
  <si>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</si>
  <si>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</si>
  <si>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</si>
  <si>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</si>
  <si>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</si>
  <si>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</si>
  <si>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</si>
  <si>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</si>
  <si>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</si>
  <si>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</si>
  <si>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</si>
  <si>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</si>
  <si>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</si>
  <si>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</si>
  <si>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</si>
  <si>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</si>
  <si>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</si>
  <si>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</si>
  <si>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</si>
  <si>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</si>
  <si>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</si>
  <si>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</si>
  <si>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</si>
  <si>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</si>
  <si>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</si>
  <si>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</si>
  <si>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</si>
  <si>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</si>
  <si>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</si>
  <si>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</si>
  <si>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</si>
  <si>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</si>
  <si>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</si>
  <si>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</si>
  <si>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</si>
  <si>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</si>
  <si>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</si>
  <si>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</si>
  <si>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</si>
  <si>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</si>
  <si>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</si>
  <si>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</si>
  <si>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</si>
  <si>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</si>
  <si>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</si>
  <si>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</si>
  <si>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</si>
  <si>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</si>
  <si>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</si>
  <si>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</si>
  <si>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</si>
  <si>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</si>
  <si>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</si>
  <si>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</si>
  <si>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</si>
  <si>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</si>
  <si>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</si>
  <si>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</si>
  <si>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</si>
  <si>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</si>
  <si>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</si>
  <si>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</si>
  <si>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</si>
  <si>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</si>
  <si>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</si>
  <si>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</si>
  <si>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</si>
  <si>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</si>
  <si>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</si>
  <si>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</si>
  <si>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</si>
  <si>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</si>
  <si>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</si>
  <si>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</si>
  <si>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</si>
  <si>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</si>
  <si>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</si>
  <si>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</si>
  <si>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</si>
  <si>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</si>
  <si>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</si>
  <si>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</si>
  <si>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</si>
  <si>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</si>
  <si>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</si>
  <si>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</si>
  <si>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</si>
  <si>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</si>
  <si>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</si>
  <si>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</si>
  <si>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</si>
  <si>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</si>
  <si>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</si>
  <si>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</si>
  <si>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</si>
  <si>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</si>
  <si>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</si>
  <si>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</si>
  <si>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</si>
  <si>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</si>
  <si>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</si>
  <si>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</si>
  <si>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</si>
  <si>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</si>
  <si>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</si>
  <si>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</si>
  <si>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</si>
  <si>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</si>
  <si>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</si>
  <si>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</si>
  <si>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</si>
  <si>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</si>
  <si>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</si>
  <si>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</si>
  <si>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</si>
  <si>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</si>
  <si>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</si>
  <si>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</si>
  <si>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</si>
  <si>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</si>
  <si>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</si>
  <si>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</si>
  <si>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</si>
  <si>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</si>
  <si>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</si>
  <si>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</si>
  <si>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</si>
  <si>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</si>
  <si>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</si>
  <si>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</si>
  <si>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</si>
  <si>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</si>
  <si>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</si>
  <si>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</si>
  <si>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</si>
  <si>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</si>
  <si>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</si>
  <si>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</si>
  <si>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</si>
  <si>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</si>
  <si>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</si>
  <si>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</si>
  <si>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</si>
  <si>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</si>
  <si>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</si>
  <si>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</si>
  <si>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</si>
  <si>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</si>
  <si>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</si>
  <si>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</si>
  <si>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</si>
  <si>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</si>
  <si>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</si>
  <si>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</si>
  <si>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</si>
  <si>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</si>
  <si>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</si>
  <si>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</si>
  <si>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</si>
  <si>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</si>
  <si>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</si>
  <si>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</si>
  <si>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</si>
  <si>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</si>
  <si>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</si>
  <si>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</si>
  <si>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</si>
  <si>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</si>
  <si>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</si>
  <si>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</si>
  <si>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</si>
  <si>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</si>
  <si>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</si>
  <si>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</si>
  <si>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</si>
  <si>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</si>
  <si>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</si>
  <si>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</si>
  <si>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</si>
  <si>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</si>
  <si>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</si>
  <si>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</si>
  <si>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</si>
  <si>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</si>
  <si>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</si>
  <si>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</si>
  <si>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</si>
  <si>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</si>
  <si>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</si>
  <si>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</si>
  <si>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</si>
  <si>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</si>
  <si>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</si>
  <si>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</si>
  <si>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</si>
  <si>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</si>
  <si>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</si>
  <si>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</si>
  <si>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</si>
  <si>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</si>
  <si>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</si>
  <si>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</si>
  <si>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</si>
  <si>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</si>
  <si>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</si>
  <si>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</si>
  <si>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</si>
  <si>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</si>
  <si>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</si>
  <si>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</si>
  <si>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</si>
  <si>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</si>
  <si>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</si>
  <si>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</si>
  <si>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</si>
  <si>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</si>
  <si>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</si>
  <si>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</si>
  <si>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</si>
  <si>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</si>
  <si>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</si>
  <si>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</si>
  <si>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</si>
  <si>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</si>
  <si>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</si>
  <si>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</si>
  <si>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</si>
  <si>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</si>
  <si>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</si>
  <si>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</si>
  <si>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</si>
  <si>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</si>
  <si>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</si>
  <si>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</si>
  <si>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</si>
  <si>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</si>
  <si>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</si>
  <si>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</si>
  <si>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</si>
  <si>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</si>
  <si>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</si>
  <si>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</si>
  <si>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</si>
  <si>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</si>
  <si>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</si>
  <si>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</si>
  <si>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</si>
  <si>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</si>
  <si>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</si>
  <si>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</si>
  <si>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</si>
  <si>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</si>
  <si>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</si>
  <si>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</si>
  <si>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</si>
  <si>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</si>
  <si>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</si>
  <si>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</si>
  <si>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</si>
  <si>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</si>
  <si>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</si>
  <si>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</si>
  <si>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</si>
  <si>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</si>
  <si>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</si>
  <si>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</si>
  <si>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</si>
  <si>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</si>
  <si>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</si>
  <si>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</si>
  <si>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</si>
  <si>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</si>
  <si>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</si>
  <si>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</si>
  <si>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</si>
  <si>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</si>
  <si>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</si>
  <si>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</si>
  <si>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</si>
  <si>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</si>
  <si>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</si>
  <si>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</si>
  <si>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</si>
  <si>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</si>
  <si>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</si>
  <si>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</si>
  <si>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</si>
  <si>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</si>
  <si>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</si>
  <si>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</si>
  <si>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</si>
  <si>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</si>
  <si>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</si>
  <si>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</si>
  <si>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</si>
  <si>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</si>
  <si>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</si>
  <si>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</si>
  <si>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</si>
  <si>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</si>
  <si>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</si>
  <si>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</si>
  <si>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</si>
  <si>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</si>
  <si>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</si>
  <si>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</si>
  <si>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</si>
  <si>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</si>
  <si>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</si>
  <si>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</si>
  <si>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</si>
  <si>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</si>
  <si>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</si>
  <si>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</si>
  <si>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</si>
  <si>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</si>
  <si>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</si>
  <si>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</si>
  <si>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</si>
  <si>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</si>
  <si>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</si>
  <si>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</si>
  <si>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</si>
  <si>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</si>
  <si>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</si>
  <si>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</si>
  <si>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</si>
  <si>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</si>
  <si>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</si>
  <si>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</si>
  <si>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</si>
  <si>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</si>
  <si>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</si>
  <si>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</si>
  <si>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</si>
  <si>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</si>
  <si>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</si>
  <si>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</si>
  <si>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</si>
  <si>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</si>
  <si>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</si>
  <si>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</si>
  <si>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</si>
  <si>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</si>
  <si>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</si>
  <si>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</si>
  <si>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</si>
  <si>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</si>
  <si>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</si>
  <si>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</si>
  <si>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</si>
  <si>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</si>
  <si>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</si>
  <si>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</si>
  <si>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</si>
  <si>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</si>
  <si>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</si>
  <si>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</si>
  <si>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</si>
  <si>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</si>
  <si>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</si>
  <si>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</si>
  <si>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</si>
  <si>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</si>
  <si>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</si>
  <si>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</si>
  <si>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</si>
  <si>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</si>
  <si>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</si>
  <si>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</si>
  <si>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</si>
  <si>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</si>
  <si>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</si>
  <si>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</si>
  <si>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</si>
  <si>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</si>
  <si>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</si>
  <si>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</si>
  <si>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</si>
  <si>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</si>
  <si>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</si>
  <si>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</si>
  <si>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</si>
  <si>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</si>
  <si>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</si>
  <si>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</si>
  <si>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</si>
  <si>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</si>
  <si>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</si>
  <si>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</si>
  <si>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</si>
  <si>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</si>
  <si>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</si>
  <si>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</si>
  <si>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</si>
  <si>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</si>
  <si>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</si>
  <si>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</si>
  <si>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</si>
  <si>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</si>
  <si>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</si>
  <si>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</si>
  <si>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</si>
  <si>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</si>
  <si>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</si>
  <si>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</si>
  <si>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</si>
  <si>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</si>
  <si>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</si>
  <si>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</si>
  <si>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</si>
  <si>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</si>
  <si>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</si>
  <si>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</si>
  <si>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</si>
  <si>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</si>
  <si>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</si>
  <si>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</si>
  <si>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</si>
  <si>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</si>
  <si>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</si>
  <si>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</si>
  <si>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</si>
  <si>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</si>
  <si>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</si>
  <si>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</si>
  <si>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</si>
  <si>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</si>
  <si>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</si>
  <si>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</si>
  <si>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</si>
  <si>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</si>
  <si>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</si>
  <si>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</si>
  <si>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</si>
  <si>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</si>
  <si>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</si>
  <si>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</si>
  <si>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</si>
  <si>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</si>
  <si>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</si>
  <si>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</si>
  <si>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</si>
  <si>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</si>
  <si>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</si>
  <si>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</si>
  <si>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</si>
  <si>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</si>
  <si>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</si>
  <si>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</si>
  <si>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</si>
  <si>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</si>
  <si>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</si>
  <si>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</si>
  <si>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</si>
  <si>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</si>
  <si>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</si>
  <si>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</si>
  <si>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</si>
  <si>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</si>
  <si>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</si>
  <si>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</si>
  <si>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</si>
  <si>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</si>
  <si>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</si>
  <si>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</si>
  <si>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</si>
  <si>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</si>
  <si>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</si>
  <si>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</si>
  <si>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</si>
  <si>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</si>
  <si>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</si>
  <si>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</si>
  <si>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</si>
  <si>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</si>
  <si>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</si>
  <si>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</si>
  <si>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</si>
  <si>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</si>
  <si>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</si>
  <si>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</si>
  <si>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</si>
  <si>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</si>
  <si>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</si>
  <si>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</si>
  <si>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</si>
  <si>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</si>
  <si>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</si>
  <si>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</si>
  <si>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</si>
  <si>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</si>
  <si>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</si>
  <si>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</si>
  <si>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</si>
  <si>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</si>
  <si>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</si>
  <si>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</si>
  <si>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</si>
  <si>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</si>
  <si>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</si>
  <si>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</si>
  <si>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</si>
  <si>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</si>
  <si>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</si>
  <si>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</si>
  <si>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</si>
  <si>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</si>
  <si>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</si>
  <si>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</si>
  <si>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</si>
  <si>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</si>
  <si>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</si>
  <si>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</si>
  <si>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</si>
  <si>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</si>
  <si>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</si>
  <si>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</si>
  <si>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</si>
  <si>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</si>
  <si>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</si>
  <si>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</si>
  <si>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</si>
  <si>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</si>
  <si>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</si>
  <si>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</si>
  <si>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</si>
  <si>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</si>
  <si>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</si>
  <si>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</si>
  <si>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</si>
  <si>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</si>
  <si>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</si>
  <si>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</si>
  <si>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</si>
  <si>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</si>
  <si>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</si>
  <si>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</si>
  <si>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</si>
  <si>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</si>
  <si>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</si>
  <si>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</si>
  <si>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</si>
  <si>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</si>
  <si>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</si>
  <si>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</si>
  <si>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</si>
  <si>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</si>
  <si>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</si>
  <si>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</si>
  <si>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</si>
  <si>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</si>
  <si>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</si>
  <si>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</si>
  <si>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</si>
  <si>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</si>
  <si>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</si>
  <si>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</si>
  <si>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</si>
  <si>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</si>
  <si>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</si>
  <si>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</si>
  <si>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</si>
  <si>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</si>
  <si>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</si>
  <si>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</si>
  <si>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</si>
  <si>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</si>
  <si>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</si>
  <si>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</si>
  <si>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</si>
  <si>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</si>
  <si>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</si>
  <si>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</si>
  <si>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</si>
  <si>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</si>
  <si>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</si>
  <si>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</si>
  <si>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</si>
  <si>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</si>
  <si>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</si>
  <si>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</si>
  <si>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</si>
  <si>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</si>
  <si>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</si>
  <si>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</si>
  <si>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</si>
  <si>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</si>
  <si>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</si>
  <si>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</si>
  <si>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</si>
  <si>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</si>
  <si>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</si>
  <si>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</si>
  <si>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</si>
  <si>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</si>
  <si>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</si>
  <si>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</si>
  <si>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</si>
  <si>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</si>
  <si>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</si>
  <si>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</si>
  <si>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</si>
  <si>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</si>
  <si>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</si>
  <si>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</si>
  <si>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</si>
  <si>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</si>
  <si>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</si>
  <si>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</si>
  <si>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</si>
  <si>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</si>
  <si>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</si>
  <si>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</si>
  <si>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</si>
  <si>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</si>
  <si>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</si>
  <si>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</si>
  <si>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</si>
  <si>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</si>
  <si>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</si>
  <si>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</si>
  <si>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</si>
  <si>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</si>
  <si>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</si>
  <si>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</si>
  <si>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</si>
  <si>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</si>
  <si>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</si>
  <si>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</si>
  <si>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</si>
  <si>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</si>
  <si>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</si>
  <si>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</si>
  <si>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</si>
  <si>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</si>
  <si>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</si>
  <si>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</si>
  <si>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</si>
  <si>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</si>
  <si>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</si>
  <si>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</si>
  <si>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</si>
  <si>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</si>
  <si>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</si>
  <si>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</si>
  <si>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</si>
  <si>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</si>
  <si>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</si>
  <si>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</si>
  <si>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</si>
  <si>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</si>
  <si>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</si>
  <si>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</si>
  <si>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</si>
  <si>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</si>
  <si>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</si>
  <si>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</si>
  <si>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</si>
  <si>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</si>
  <si>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</si>
  <si>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</si>
  <si>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</si>
  <si>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</si>
  <si>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</si>
  <si>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</si>
  <si>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</si>
  <si>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</si>
  <si>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</si>
  <si>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</si>
  <si>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</si>
  <si>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</si>
  <si>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</si>
  <si>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</si>
  <si>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</si>
  <si>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</si>
  <si>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</si>
  <si>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</si>
  <si>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</si>
  <si>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</si>
  <si>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</si>
  <si>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</si>
  <si>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</si>
  <si>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</si>
  <si>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</si>
  <si>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</si>
  <si>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</si>
  <si>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</si>
  <si>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</si>
  <si>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</si>
  <si>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</si>
  <si>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</si>
  <si>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</si>
  <si>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</si>
  <si>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</si>
  <si>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</si>
  <si>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</si>
  <si>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</si>
  <si>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</si>
  <si>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</si>
  <si>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</si>
  <si>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</si>
  <si>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</si>
  <si>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</si>
  <si>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</si>
  <si>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</si>
  <si>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</si>
  <si>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</si>
  <si>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</si>
  <si>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</si>
  <si>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</si>
  <si>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</si>
  <si>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</si>
  <si>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</si>
  <si>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</si>
  <si>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</si>
  <si>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</si>
  <si>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</si>
  <si>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</si>
  <si>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</si>
  <si>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</si>
  <si>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</si>
  <si>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</si>
  <si>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</si>
  <si>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</si>
  <si>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</si>
  <si>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</si>
  <si>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</si>
  <si>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</si>
  <si>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</si>
  <si>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</si>
  <si>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</si>
  <si>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</si>
  <si>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</si>
  <si>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</si>
  <si>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</si>
  <si>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</si>
  <si>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</si>
  <si>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</si>
  <si>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</si>
  <si>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</si>
  <si>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</si>
  <si>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</si>
  <si>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</si>
  <si>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</si>
  <si>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</si>
  <si>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</si>
  <si>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</si>
  <si>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</si>
  <si>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</si>
  <si>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</si>
  <si>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</si>
  <si>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</si>
  <si>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</si>
  <si>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</si>
  <si>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</si>
  <si>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</si>
  <si>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</si>
  <si>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</si>
  <si>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</si>
  <si>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</si>
  <si>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</si>
  <si>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</si>
  <si>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</si>
  <si>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</si>
  <si>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</si>
  <si>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</si>
  <si>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</si>
  <si>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</si>
  <si>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</si>
  <si>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</si>
  <si>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</si>
  <si>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</si>
  <si>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</si>
  <si>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</si>
  <si>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</si>
  <si>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</si>
  <si>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</si>
  <si>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</si>
  <si>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</si>
  <si>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</si>
  <si>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</si>
  <si>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</si>
  <si>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</si>
  <si>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</si>
  <si>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</si>
  <si>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</si>
  <si>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</si>
  <si>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</si>
  <si>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</si>
  <si>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</si>
  <si>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</si>
  <si>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</si>
  <si>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</si>
  <si>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</si>
  <si>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</si>
  <si>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</si>
  <si>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</si>
  <si>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</si>
  <si>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</si>
  <si>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</si>
  <si>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</si>
  <si>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</si>
  <si>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</si>
  <si>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</si>
  <si>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</si>
  <si>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</si>
  <si>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</si>
  <si>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</si>
  <si>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</si>
  <si>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</si>
  <si>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</si>
  <si>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</si>
  <si>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</si>
  <si>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</si>
  <si>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</si>
  <si>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</si>
  <si>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</si>
  <si>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</si>
  <si>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</si>
  <si>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</si>
  <si>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</si>
  <si>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</si>
  <si>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</si>
  <si>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</si>
  <si>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</si>
  <si>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</si>
  <si>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</si>
  <si>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</si>
  <si>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</si>
  <si>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</si>
  <si>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</si>
  <si>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</si>
  <si>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</si>
  <si>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</si>
  <si>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</si>
  <si>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</si>
  <si>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</si>
  <si>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</si>
  <si>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</si>
  <si>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</si>
  <si>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</si>
  <si>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</si>
  <si>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</si>
  <si>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</si>
  <si>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</si>
  <si>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</si>
  <si>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</si>
  <si>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</si>
  <si>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</si>
  <si>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</si>
  <si>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</si>
  <si>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</si>
  <si>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</si>
  <si>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</si>
  <si>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</si>
  <si>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</si>
  <si>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</si>
  <si>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</si>
  <si>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</si>
  <si>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</si>
  <si>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</si>
  <si>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</si>
  <si>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</si>
  <si>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</si>
  <si>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</si>
  <si>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</si>
  <si>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</si>
  <si>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</si>
  <si>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</si>
  <si>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</si>
  <si>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</si>
  <si>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</si>
  <si>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</si>
  <si>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</si>
  <si>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</si>
  <si>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</si>
  <si>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</si>
  <si>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</si>
  <si>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</si>
  <si>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</si>
  <si>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</si>
  <si>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</si>
  <si>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</si>
  <si>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</si>
  <si>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</si>
  <si>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</si>
  <si>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</si>
  <si>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</si>
  <si>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</si>
  <si>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</si>
  <si>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</si>
  <si>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</si>
  <si>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</si>
  <si>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</si>
  <si>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</si>
  <si>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</si>
  <si>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</si>
  <si>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</si>
  <si>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</si>
  <si>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</si>
  <si>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</si>
  <si>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</si>
  <si>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</si>
  <si>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</si>
  <si>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</si>
  <si>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</si>
  <si>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</si>
  <si>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</si>
  <si>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</si>
  <si>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</si>
  <si>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</si>
  <si>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</si>
  <si>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</si>
  <si>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</si>
  <si>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</si>
  <si>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</si>
  <si>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</si>
  <si>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</si>
  <si>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</si>
  <si>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</si>
  <si>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</si>
  <si>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</si>
  <si>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</si>
  <si>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</si>
  <si>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</si>
  <si>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</si>
  <si>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</si>
  <si>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</si>
  <si>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</si>
  <si>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</si>
  <si>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</si>
  <si>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</si>
  <si>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</si>
  <si>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</si>
  <si>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</si>
  <si>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</si>
  <si>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</si>
  <si>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</si>
  <si>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</si>
  <si>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</si>
  <si>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</si>
  <si>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</si>
  <si>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</si>
  <si>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</si>
  <si>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</si>
  <si>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</si>
  <si>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</si>
  <si>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</si>
  <si>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</si>
  <si>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</si>
  <si>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</si>
  <si>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</si>
  <si>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</si>
  <si>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</si>
  <si>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</si>
  <si>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</si>
  <si>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</si>
  <si>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</si>
  <si>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</si>
  <si>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</si>
  <si>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</si>
  <si>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</si>
  <si>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</si>
  <si>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</si>
  <si>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</si>
  <si>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</si>
  <si>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</si>
  <si>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</si>
  <si>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</si>
  <si>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</si>
  <si>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</si>
  <si>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</si>
  <si>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</si>
  <si>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</si>
  <si>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</si>
  <si>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</si>
  <si>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</si>
  <si>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</si>
  <si>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</si>
  <si>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</si>
  <si>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</si>
  <si>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</si>
  <si>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</si>
  <si>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</si>
  <si>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</si>
  <si>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</si>
  <si>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</si>
  <si>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</si>
  <si>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</si>
  <si>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</si>
  <si>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</si>
  <si>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</si>
  <si>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</si>
  <si>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</si>
  <si>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</si>
  <si>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</si>
  <si>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</si>
  <si>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</si>
  <si>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</si>
  <si>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</si>
  <si>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</si>
  <si>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</si>
  <si>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</si>
  <si>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</si>
  <si>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</si>
  <si>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</si>
  <si>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</si>
  <si>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</si>
  <si>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</si>
  <si>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</si>
  <si>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</si>
  <si>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</si>
  <si>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</si>
  <si>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</si>
  <si>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</si>
  <si>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</si>
  <si>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</si>
  <si>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</si>
  <si>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</si>
  <si>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</si>
  <si>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</si>
  <si>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</si>
  <si>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</si>
  <si>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</si>
  <si>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</si>
  <si>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</si>
  <si>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</si>
  <si>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</si>
  <si>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</si>
  <si>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</si>
  <si>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</si>
  <si>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</si>
  <si>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</si>
  <si>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</si>
  <si>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</si>
  <si>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</si>
  <si>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</si>
  <si>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</si>
  <si>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</si>
  <si>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</si>
  <si>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</si>
  <si>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</si>
  <si>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</si>
  <si>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</si>
  <si>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</si>
  <si>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</si>
  <si>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</si>
  <si>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</si>
  <si>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</si>
  <si>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</si>
  <si>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</si>
  <si>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</si>
  <si>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</si>
  <si>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</si>
  <si>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</si>
  <si>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</si>
  <si>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</si>
  <si>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</si>
  <si>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</si>
  <si>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</si>
  <si>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</si>
  <si>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</si>
  <si>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</si>
  <si>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</si>
  <si>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</si>
  <si>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</si>
  <si>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</si>
  <si>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</si>
  <si>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</si>
  <si>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</si>
  <si>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</si>
  <si>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</si>
  <si>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</si>
  <si>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</si>
  <si>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</si>
  <si>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</si>
  <si>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</si>
  <si>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</si>
  <si>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</si>
  <si>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</si>
  <si>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</si>
  <si>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</si>
  <si>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</si>
  <si>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</si>
  <si>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</si>
  <si>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</si>
  <si>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</si>
  <si>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</si>
  <si>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</si>
  <si>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</si>
  <si>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</si>
  <si>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</si>
  <si>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</si>
  <si>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</si>
  <si>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</si>
  <si>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</si>
  <si>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</si>
  <si>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</si>
  <si>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</si>
  <si>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</si>
  <si>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</si>
  <si>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</si>
  <si>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</si>
  <si>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</si>
  <si>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</si>
  <si>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</si>
  <si>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</si>
  <si>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</si>
  <si>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</si>
  <si>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</si>
  <si>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</si>
  <si>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</si>
  <si>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</si>
  <si>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</si>
  <si>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</si>
  <si>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</si>
  <si>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</si>
  <si>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</si>
  <si>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</si>
  <si>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</si>
  <si>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</si>
  <si>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</si>
  <si>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</si>
  <si>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</si>
  <si>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</si>
  <si>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</si>
  <si>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</si>
  <si>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</si>
  <si>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</si>
  <si>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</si>
  <si>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</si>
  <si>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</si>
  <si>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</si>
  <si>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</si>
  <si>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</si>
  <si>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</si>
  <si>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</si>
  <si>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</si>
  <si>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</si>
  <si>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</si>
  <si>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</si>
  <si>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</si>
  <si>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</si>
  <si>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</si>
  <si>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</si>
  <si>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</si>
  <si>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</si>
  <si>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</si>
  <si>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</si>
  <si>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</si>
  <si>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</si>
  <si>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</si>
  <si>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</si>
  <si>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</si>
  <si>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</si>
  <si>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</si>
  <si>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</si>
  <si>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</si>
  <si>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</si>
  <si>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</si>
  <si>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</si>
  <si>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</si>
  <si>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</si>
  <si>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</si>
  <si>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</si>
  <si>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</si>
  <si>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</si>
  <si>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</si>
  <si>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</si>
  <si>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</si>
  <si>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</si>
  <si>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</si>
  <si>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</si>
  <si>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</si>
  <si>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</si>
  <si>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</si>
  <si>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</si>
  <si>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</si>
  <si>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</si>
  <si>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</si>
  <si>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</si>
  <si>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</si>
  <si>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</si>
  <si>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</si>
  <si>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</si>
  <si>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</si>
  <si>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</si>
  <si>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</si>
  <si>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</si>
  <si>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</si>
  <si>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</si>
  <si>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</si>
  <si>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</si>
  <si>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</si>
  <si>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</si>
  <si>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</si>
  <si>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</si>
  <si>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</si>
  <si>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</si>
  <si>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</si>
  <si>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</si>
  <si>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</si>
  <si>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</si>
  <si>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</si>
  <si>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</si>
  <si>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</si>
  <si>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</si>
  <si>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</si>
  <si>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</si>
  <si>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</si>
  <si>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</si>
  <si>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</si>
  <si>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</si>
  <si>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</si>
  <si>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</si>
  <si>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</si>
  <si>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</si>
  <si>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</si>
  <si>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</si>
  <si>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</si>
  <si>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</si>
  <si>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</si>
  <si>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</si>
  <si>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</si>
  <si>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</si>
  <si>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</si>
  <si>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</si>
  <si>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</si>
  <si>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</si>
  <si>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</si>
  <si>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</si>
  <si>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</si>
  <si>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</si>
  <si>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</si>
  <si>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</si>
  <si>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</si>
  <si>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</si>
  <si>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</si>
  <si>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</si>
  <si>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</si>
  <si>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</si>
  <si>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</si>
  <si>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</si>
  <si>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</si>
  <si>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</si>
  <si>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</si>
  <si>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</si>
  <si>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</si>
  <si>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</si>
  <si>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</si>
  <si>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</si>
  <si>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</si>
  <si>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</si>
  <si>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</si>
  <si>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</si>
  <si>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</si>
  <si>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</si>
  <si>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</si>
  <si>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</si>
  <si>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</si>
  <si>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</si>
  <si>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</si>
  <si>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</si>
  <si>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</si>
  <si>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</si>
  <si>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</si>
  <si>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</si>
  <si>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</si>
  <si>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</si>
  <si>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</si>
  <si>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</si>
  <si>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</si>
  <si>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</si>
  <si>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</si>
  <si>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</si>
  <si>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</si>
  <si>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</si>
  <si>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</si>
  <si>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</si>
  <si>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</si>
  <si>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</si>
  <si>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</si>
  <si>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</si>
  <si>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</si>
  <si>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</si>
  <si>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</si>
  <si>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</si>
  <si>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</si>
  <si>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</si>
  <si>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</si>
  <si>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</si>
  <si>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</si>
  <si>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</si>
  <si>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</si>
  <si>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</si>
  <si>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</si>
  <si>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</si>
  <si>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</si>
  <si>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</si>
  <si>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</si>
  <si>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</si>
  <si>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</si>
  <si>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</si>
  <si>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</si>
  <si>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</si>
  <si>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</si>
  <si>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</si>
  <si>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</si>
  <si>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</si>
  <si>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</si>
  <si>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</si>
  <si>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</si>
  <si>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</si>
  <si>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</si>
  <si>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</si>
  <si>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</si>
  <si>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</si>
  <si>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</si>
  <si>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</si>
  <si>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</si>
  <si>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</si>
  <si>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</si>
  <si>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</si>
  <si>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</si>
  <si>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</si>
  <si>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</si>
  <si>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</si>
  <si>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</si>
  <si>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</si>
  <si>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</si>
  <si>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</si>
  <si>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</si>
  <si>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</si>
  <si>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</si>
  <si>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</si>
  <si>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</si>
  <si>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</si>
  <si>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</si>
  <si>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</si>
  <si>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</si>
  <si>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</si>
  <si>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</si>
  <si>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</si>
  <si>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</si>
  <si>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</si>
  <si>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</si>
  <si>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</si>
  <si>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</si>
  <si>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</si>
  <si>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</si>
  <si>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</si>
  <si>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</si>
  <si>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</si>
  <si>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</si>
  <si>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</si>
  <si>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</si>
  <si>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</si>
  <si>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</si>
  <si>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</si>
  <si>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</si>
  <si>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</si>
  <si>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</si>
  <si>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</si>
  <si>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</si>
  <si>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</si>
  <si>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</si>
  <si>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</si>
  <si>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</si>
  <si>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</si>
  <si>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</si>
  <si>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</si>
  <si>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</si>
  <si>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</si>
  <si>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</si>
  <si>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</si>
  <si>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</si>
  <si>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</si>
  <si>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</si>
  <si>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</si>
  <si>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</si>
  <si>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</si>
  <si>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</si>
  <si>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</si>
  <si>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</si>
  <si>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</si>
  <si>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</si>
  <si>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</si>
  <si>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</si>
  <si>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</si>
  <si>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</si>
  <si>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</si>
  <si>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</si>
  <si>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</si>
  <si>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</si>
  <si>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</si>
  <si>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</si>
  <si>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</si>
  <si>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</si>
  <si>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</si>
  <si>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</si>
  <si>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</si>
  <si>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</si>
  <si>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</si>
  <si>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</si>
  <si>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</si>
  <si>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</si>
  <si>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</si>
  <si>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</si>
  <si>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</si>
  <si>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</si>
  <si>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</si>
  <si>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</si>
  <si>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</si>
  <si>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</si>
  <si>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</si>
  <si>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</si>
  <si>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</si>
  <si>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</si>
  <si>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</si>
  <si>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</si>
  <si>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</si>
  <si>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</si>
  <si>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</si>
  <si>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</si>
  <si>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</si>
  <si>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</si>
  <si>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</si>
  <si>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</si>
  <si>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</si>
  <si>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</si>
  <si>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</si>
  <si>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</si>
  <si>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</si>
  <si>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</si>
  <si>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</si>
  <si>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</si>
  <si>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</si>
  <si>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</si>
  <si>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</si>
  <si>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</si>
  <si>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</si>
  <si>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</si>
  <si>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</si>
  <si>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</si>
  <si>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</si>
  <si>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</si>
  <si>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</si>
  <si>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</si>
  <si>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</si>
  <si>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</si>
  <si>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</si>
  <si>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</si>
  <si>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</si>
  <si>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</si>
  <si>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</si>
  <si>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</si>
  <si>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</si>
  <si>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</si>
  <si>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</si>
  <si>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</si>
  <si>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</si>
  <si>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</si>
  <si>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</si>
  <si>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</si>
  <si>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</si>
  <si>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</si>
  <si>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</si>
  <si>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</si>
  <si>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</si>
  <si>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</si>
  <si>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</si>
  <si>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</si>
  <si>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</si>
  <si>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</si>
  <si>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</si>
  <si>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</si>
  <si>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</si>
  <si>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</si>
  <si>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</si>
  <si>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</si>
  <si>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</si>
  <si>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</si>
  <si>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</si>
  <si>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</si>
  <si>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</si>
  <si>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</si>
  <si>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</si>
  <si>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</si>
  <si>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</si>
  <si>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</si>
  <si>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</si>
  <si>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</si>
  <si>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</si>
  <si>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</si>
  <si>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</si>
  <si>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</si>
  <si>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</si>
  <si>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</si>
  <si>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</si>
  <si>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</si>
  <si>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</si>
  <si>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</si>
  <si>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</si>
  <si>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</si>
  <si>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</si>
  <si>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</si>
  <si>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</si>
  <si>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</si>
  <si>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</si>
  <si>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</si>
  <si>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</si>
  <si>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</si>
  <si>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</si>
  <si>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</si>
  <si>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</si>
  <si>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</si>
  <si>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</si>
  <si>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</si>
  <si>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</si>
  <si>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</si>
  <si>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</si>
  <si>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</si>
  <si>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</si>
  <si>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</si>
  <si>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</si>
  <si>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</si>
  <si>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</si>
  <si>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</si>
  <si>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</si>
  <si>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</si>
  <si>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</si>
  <si>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</si>
  <si>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</si>
  <si>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</si>
  <si>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</si>
  <si>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</si>
  <si>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</si>
  <si>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</si>
  <si>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</si>
  <si>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</si>
  <si>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</si>
  <si>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</si>
  <si>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</si>
  <si>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</si>
  <si>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</si>
  <si>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</si>
  <si>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</si>
  <si>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</si>
  <si>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</si>
  <si>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</si>
  <si>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</si>
  <si>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</si>
  <si>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</si>
  <si>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</si>
  <si>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</si>
  <si>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</si>
  <si>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</si>
  <si>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</si>
  <si>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</si>
  <si>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</si>
  <si>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</si>
  <si>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</si>
  <si>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</si>
  <si>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</si>
  <si>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</si>
  <si>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</si>
  <si>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</si>
  <si>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</si>
  <si>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</si>
  <si>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</si>
  <si>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</si>
  <si>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</si>
  <si>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</si>
  <si>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</si>
  <si>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</si>
  <si>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</si>
  <si>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</si>
  <si>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</si>
  <si>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</si>
  <si>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</si>
  <si>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</si>
  <si>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</si>
  <si>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</si>
  <si>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</si>
  <si>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</si>
  <si>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</si>
  <si>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</si>
  <si>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</si>
  <si>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</si>
  <si>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</si>
  <si>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</si>
  <si>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</si>
  <si>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</si>
  <si>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</si>
  <si>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</si>
  <si>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</si>
  <si>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</si>
  <si>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</si>
  <si>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</si>
  <si>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</si>
  <si>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</si>
  <si>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</si>
  <si>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</si>
  <si>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</si>
  <si>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</si>
  <si>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</si>
  <si>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</si>
  <si>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</si>
  <si>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</si>
  <si>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</si>
  <si>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</si>
  <si>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</si>
  <si>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</si>
  <si>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</si>
  <si>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</si>
  <si>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</si>
  <si>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</si>
  <si>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</si>
  <si>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</si>
  <si>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</si>
  <si>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</si>
  <si>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</si>
  <si>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</si>
  <si>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</si>
  <si>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</si>
  <si>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</si>
  <si>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</si>
  <si>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</si>
  <si>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</si>
  <si>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</si>
  <si>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</si>
  <si>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</si>
  <si>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</si>
  <si>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</si>
  <si>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</si>
  <si>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</si>
  <si>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</si>
  <si>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</si>
  <si>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</si>
  <si>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</si>
  <si>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</si>
  <si>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</si>
  <si>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</si>
  <si>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</si>
  <si>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</si>
  <si>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</si>
  <si>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</si>
  <si>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</si>
  <si>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</si>
  <si>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</si>
  <si>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</si>
  <si>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</si>
  <si>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</si>
  <si>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</si>
  <si>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</si>
  <si>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</si>
  <si>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</si>
  <si>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</si>
  <si>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</si>
  <si>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</si>
  <si>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</si>
  <si>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</si>
  <si>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</si>
  <si>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</si>
  <si>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</si>
  <si>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</si>
  <si>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</si>
  <si>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</si>
  <si>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</si>
  <si>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</si>
  <si>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</si>
  <si>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</si>
  <si>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</si>
  <si>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</si>
  <si>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</si>
  <si>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</si>
  <si>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</si>
  <si>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</si>
  <si>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</si>
  <si>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</si>
  <si>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</si>
  <si>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</si>
  <si>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</si>
  <si>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</si>
  <si>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</si>
  <si>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</si>
  <si>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</si>
  <si>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</si>
  <si>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</si>
  <si>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</si>
  <si>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</si>
  <si>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</si>
  <si>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</si>
  <si>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</si>
  <si>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</si>
  <si>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</si>
  <si>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</si>
  <si>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</si>
  <si>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</si>
  <si>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</si>
  <si>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</si>
  <si>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</si>
  <si>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</si>
  <si>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</si>
  <si>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</si>
  <si>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</si>
  <si>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</si>
  <si>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</si>
  <si>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</si>
  <si>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</si>
  <si>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</si>
  <si>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</si>
  <si>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</si>
  <si>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</si>
  <si>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</si>
  <si>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</si>
  <si>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</si>
  <si>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</si>
  <si>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</si>
  <si>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</si>
  <si>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</si>
  <si>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</si>
  <si>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</si>
  <si>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</si>
  <si>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</si>
  <si>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</si>
  <si>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</si>
  <si>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</si>
  <si>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</si>
  <si>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</si>
  <si>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</si>
  <si>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</si>
  <si>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</si>
  <si>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</si>
  <si>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</si>
  <si>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</si>
  <si>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</si>
  <si>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</si>
  <si>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</si>
  <si>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</si>
  <si>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</si>
  <si>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</si>
  <si>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</si>
  <si>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</si>
  <si>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</si>
  <si>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</si>
  <si>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</si>
  <si>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</si>
  <si>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</si>
  <si>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</si>
  <si>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</si>
  <si>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</si>
  <si>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</si>
  <si>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</si>
  <si>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</si>
  <si>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</si>
  <si>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</si>
  <si>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</si>
  <si>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</si>
  <si>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</si>
  <si>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</si>
  <si>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</si>
  <si>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</si>
  <si>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</si>
  <si>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</si>
  <si>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</si>
  <si>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</si>
  <si>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</si>
  <si>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</si>
  <si>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</si>
  <si>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</si>
  <si>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</si>
  <si>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</si>
  <si>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</si>
  <si>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</si>
  <si>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</si>
  <si>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</si>
  <si>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</si>
  <si>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</si>
  <si>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</si>
  <si>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</si>
  <si>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</si>
  <si>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</si>
  <si>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</si>
  <si>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</si>
  <si>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</si>
  <si>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</si>
  <si>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</si>
  <si>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</si>
  <si>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</si>
  <si>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</si>
  <si>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</si>
  <si>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</si>
  <si>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</si>
  <si>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</si>
  <si>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</si>
  <si>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</si>
  <si>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</si>
  <si>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</si>
  <si>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</si>
  <si>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</si>
  <si>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</si>
  <si>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</si>
  <si>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</si>
  <si>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</si>
  <si>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</si>
  <si>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</si>
  <si>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</si>
  <si>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</si>
  <si>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</si>
  <si>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</si>
  <si>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</si>
  <si>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</si>
  <si>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</si>
  <si>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</si>
  <si>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</si>
  <si>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</si>
  <si>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</si>
  <si>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</si>
  <si>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</si>
  <si>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</si>
  <si>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</si>
  <si>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</si>
  <si>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</si>
  <si>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</si>
  <si>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</si>
  <si>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</si>
  <si>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</si>
  <si>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</si>
  <si>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</si>
  <si>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</si>
  <si>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</si>
  <si>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</si>
  <si>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</si>
  <si>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</si>
  <si>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</si>
  <si>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</si>
  <si>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</si>
  <si>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</si>
  <si>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</si>
  <si>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</si>
  <si>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</si>
  <si>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</si>
  <si>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</si>
  <si>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</si>
  <si>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</si>
  <si>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</si>
  <si>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</si>
  <si>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</si>
  <si>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</si>
  <si>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</si>
  <si>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</si>
  <si>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</si>
  <si>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</si>
  <si>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</si>
  <si>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</si>
  <si>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</si>
  <si>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</si>
  <si>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</si>
  <si>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</si>
  <si>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</si>
  <si>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</si>
  <si>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</si>
  <si>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</si>
  <si>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</si>
  <si>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</si>
  <si>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</si>
  <si>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</si>
  <si>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</si>
  <si>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</si>
  <si>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</si>
  <si>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</si>
  <si>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</si>
  <si>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</si>
  <si>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</si>
  <si>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</si>
  <si>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</si>
  <si>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</si>
  <si>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</si>
  <si>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</si>
  <si>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</si>
  <si>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</si>
  <si>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</si>
  <si>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</si>
  <si>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</si>
  <si>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</si>
  <si>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</si>
  <si>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</si>
  <si>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</si>
  <si>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</si>
  <si>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</si>
  <si>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</si>
  <si>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</si>
  <si>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</si>
  <si>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</si>
  <si>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</si>
  <si>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</si>
  <si>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</si>
  <si>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</si>
  <si>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</si>
  <si>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</si>
  <si>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</si>
  <si>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</si>
  <si>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</si>
  <si>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</si>
  <si>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</si>
  <si>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</si>
  <si>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</si>
  <si>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</si>
  <si>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</si>
  <si>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</si>
  <si>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</si>
  <si>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</si>
  <si>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</si>
  <si>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</si>
  <si>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</si>
  <si>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</si>
  <si>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</si>
  <si>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</si>
  <si>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</si>
  <si>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</si>
  <si>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</si>
  <si>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</si>
  <si>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</si>
  <si>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</si>
  <si>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</si>
  <si>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</si>
  <si>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</si>
  <si>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</si>
  <si>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</si>
  <si>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</si>
  <si>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</si>
  <si>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</si>
  <si>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</si>
  <si>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</si>
  <si>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</si>
  <si>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</si>
  <si>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</si>
  <si>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</si>
  <si>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</si>
  <si>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</si>
  <si>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</si>
  <si>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</si>
  <si>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</si>
  <si>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</si>
  <si>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</si>
  <si>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</si>
  <si>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</si>
  <si>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</si>
  <si>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</si>
  <si>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</si>
  <si>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</si>
  <si>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</si>
  <si>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</si>
  <si>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</si>
  <si>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</si>
  <si>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</si>
  <si>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</si>
  <si>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</si>
  <si>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</si>
  <si>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</si>
  <si>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</si>
  <si>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</si>
  <si>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</si>
  <si>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</si>
  <si>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</si>
  <si>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</si>
  <si>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</si>
  <si>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</si>
  <si>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</si>
  <si>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</si>
  <si>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</si>
  <si>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</si>
  <si>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</si>
  <si>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</si>
  <si>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</si>
  <si>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</si>
  <si>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</si>
  <si>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</si>
  <si>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</si>
  <si>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</si>
  <si>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</si>
  <si>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</si>
  <si>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</si>
  <si>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</si>
  <si>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</si>
  <si>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</si>
  <si>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</si>
  <si>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</si>
  <si>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</si>
  <si>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</si>
  <si>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</si>
  <si>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</si>
  <si>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</si>
  <si>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</si>
  <si>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</si>
  <si>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</si>
  <si>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</si>
  <si>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</si>
  <si>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</si>
  <si>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</si>
  <si>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</si>
  <si>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</si>
  <si>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</si>
  <si>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</si>
  <si>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</si>
  <si>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</si>
  <si>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</si>
  <si>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</si>
  <si>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</si>
  <si>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</si>
  <si>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</si>
  <si>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</si>
  <si>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</si>
  <si>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</si>
  <si>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</si>
  <si>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</si>
  <si>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</si>
  <si>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</si>
  <si>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</si>
  <si>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</si>
  <si>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</si>
  <si>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</si>
  <si>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</si>
  <si>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</si>
  <si>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</si>
  <si>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</si>
  <si>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</si>
  <si>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</si>
  <si>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</si>
  <si>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</si>
  <si>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</si>
  <si>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</si>
  <si>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</si>
  <si>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</si>
  <si>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</si>
  <si>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</si>
  <si>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</si>
  <si>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</si>
  <si>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</si>
  <si>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</si>
  <si>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</si>
  <si>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</si>
  <si>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</si>
  <si>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</si>
  <si>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</si>
  <si>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</si>
  <si>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</si>
  <si>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</si>
  <si>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</si>
  <si>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</si>
  <si>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</si>
  <si>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</si>
  <si>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</si>
  <si>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</si>
  <si>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</si>
  <si>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</si>
  <si>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</si>
  <si>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</si>
  <si>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</si>
  <si>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</si>
  <si>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</si>
  <si>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</si>
  <si>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</si>
  <si>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</si>
  <si>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</si>
  <si>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</si>
  <si>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</si>
  <si>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</si>
  <si>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</si>
  <si>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</si>
  <si>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</si>
  <si>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</si>
  <si>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</si>
  <si>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</si>
  <si>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</si>
  <si>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</si>
  <si>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</si>
  <si>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</si>
  <si>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</si>
  <si>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</si>
  <si>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</si>
  <si>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</si>
  <si>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</si>
  <si>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</si>
  <si>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</si>
  <si>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</si>
  <si>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</si>
  <si>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</si>
  <si>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</si>
  <si>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</si>
  <si>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</si>
  <si>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</si>
  <si>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</si>
  <si>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</si>
  <si>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</si>
  <si>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</si>
  <si>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</si>
  <si>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</si>
  <si>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</si>
  <si>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</si>
  <si>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</si>
  <si>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</si>
  <si>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</si>
  <si>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</si>
  <si>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</si>
  <si>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</si>
  <si>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</si>
  <si>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</si>
  <si>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</si>
  <si>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</si>
  <si>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</si>
  <si>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</si>
  <si>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</si>
  <si>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</si>
  <si>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</si>
  <si>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</si>
  <si>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</si>
  <si>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</si>
  <si>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</si>
  <si>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</si>
  <si>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</si>
  <si>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</si>
  <si>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</si>
  <si>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</si>
  <si>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</si>
  <si>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</si>
  <si>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</si>
  <si>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</si>
  <si>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</si>
  <si>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</si>
  <si>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</si>
  <si>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</si>
  <si>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</si>
  <si>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</si>
  <si>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</si>
  <si>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</si>
  <si>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</si>
  <si>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</si>
  <si>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</si>
  <si>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</si>
  <si>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</si>
  <si>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</si>
  <si>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</si>
  <si>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</si>
  <si>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</si>
  <si>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</si>
  <si>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</si>
  <si>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</si>
  <si>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</si>
  <si>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</si>
  <si>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</si>
  <si>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</si>
  <si>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</si>
  <si>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</si>
  <si>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</si>
  <si>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</si>
  <si>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</si>
  <si>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</si>
  <si>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</si>
  <si>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</si>
  <si>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</si>
  <si>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</si>
  <si>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</si>
  <si>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</si>
  <si>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</si>
  <si>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</si>
  <si>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</si>
  <si>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</si>
  <si>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</si>
  <si>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</si>
  <si>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</si>
  <si>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</si>
  <si>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</si>
  <si>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</si>
  <si>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</si>
  <si>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</si>
  <si>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</si>
  <si>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</si>
  <si>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</si>
  <si>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</si>
  <si>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</si>
  <si>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</si>
  <si>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</si>
  <si>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</si>
  <si>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</si>
  <si>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</si>
  <si>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</si>
  <si>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</si>
  <si>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</si>
  <si>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</si>
  <si>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</si>
  <si>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</si>
  <si>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</si>
  <si>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</si>
  <si>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</si>
  <si>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</si>
  <si>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</si>
  <si>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</si>
  <si>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</si>
  <si>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</si>
  <si>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</si>
  <si>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</si>
  <si>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</si>
  <si>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</si>
  <si>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</si>
  <si>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</si>
  <si>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</si>
  <si>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</si>
  <si>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</si>
  <si>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</si>
  <si>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</si>
  <si>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</si>
  <si>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</si>
  <si>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</si>
  <si>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</si>
  <si>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</si>
  <si>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</si>
  <si>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</si>
  <si>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</si>
  <si>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</si>
  <si>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</si>
  <si>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</si>
  <si>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</si>
  <si>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</si>
  <si>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</si>
  <si>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</si>
  <si>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</si>
  <si>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</si>
  <si>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</si>
  <si>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</si>
  <si>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</si>
  <si>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</si>
  <si>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</si>
  <si>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</si>
  <si>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</si>
  <si>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</si>
  <si>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</si>
  <si>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</si>
  <si>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</si>
  <si>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</si>
  <si>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</si>
  <si>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</si>
  <si>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</si>
  <si>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</si>
  <si>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</si>
  <si>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</si>
  <si>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</si>
  <si>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</si>
  <si>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</si>
  <si>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</si>
  <si>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</si>
  <si>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</si>
  <si>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</si>
  <si>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</si>
  <si>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</si>
  <si>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</si>
  <si>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</si>
  <si>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</si>
  <si>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</si>
  <si>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</si>
  <si>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</si>
  <si>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</si>
  <si>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</si>
  <si>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</si>
  <si>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</si>
  <si>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</si>
  <si>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</si>
  <si>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</si>
  <si>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</si>
  <si>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</si>
  <si>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</si>
  <si>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</si>
  <si>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</si>
  <si>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</si>
  <si>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</si>
  <si>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</si>
  <si>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</si>
  <si>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</si>
  <si>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</si>
  <si>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</si>
  <si>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</si>
  <si>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</si>
  <si>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</si>
  <si>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</si>
  <si>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</si>
  <si>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</si>
  <si>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</si>
  <si>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</si>
  <si>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</si>
  <si>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</si>
  <si>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</si>
  <si>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</si>
  <si>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</si>
  <si>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</si>
  <si>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</si>
  <si>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</si>
  <si>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</si>
  <si>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</si>
  <si>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</si>
  <si>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</si>
  <si>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</si>
  <si>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</si>
  <si>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</si>
  <si>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</si>
  <si>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</si>
  <si>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</si>
  <si>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</si>
  <si>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</si>
  <si>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</si>
  <si>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</si>
  <si>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</si>
  <si>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</si>
  <si>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</si>
  <si>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</si>
  <si>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</si>
  <si>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</si>
  <si>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</si>
  <si>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</si>
  <si>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</si>
  <si>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</si>
  <si>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</si>
  <si>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</si>
  <si>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</si>
  <si>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</si>
  <si>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</si>
  <si>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</si>
  <si>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</si>
  <si>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</si>
  <si>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</si>
  <si>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</si>
  <si>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</si>
  <si>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</si>
  <si>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</si>
  <si>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</si>
  <si>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</si>
  <si>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</si>
  <si>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</si>
  <si>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</si>
  <si>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</si>
  <si>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</si>
  <si>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</si>
  <si>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</si>
  <si>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</si>
  <si>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</si>
  <si>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</si>
  <si>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Sun, Ge &amp; Zhou, 2011</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</si>
  <si>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</si>
  <si>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</si>
  <si>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</si>
  <si>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</si>
  <si>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</si>
  <si>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</si>
  <si>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</si>
  <si>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</si>
  <si>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</si>
  <si>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</si>
  <si>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</si>
  <si>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</si>
  <si>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</si>
  <si>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6aa and 6ab survey data was gathered from two separate locations, but is grouped in the article. Location coordinates not provided, so taken as being the city or town centre.</t>
  </si>
  <si>
    <t>Sialkot</t>
  </si>
  <si>
    <t>Rusinamhodzi et al., 2016</t>
  </si>
  <si>
    <t>Murehwa</t>
  </si>
  <si>
    <t>Ruaca</t>
  </si>
  <si>
    <t>Gorongose</t>
  </si>
  <si>
    <t>Keck &amp; Hung, 2019</t>
  </si>
  <si>
    <t>Yen Dong Commune</t>
  </si>
  <si>
    <t>Y Yen</t>
  </si>
  <si>
    <t>Location coordinates not provided, so were found by searching for the commune on Google Earth.</t>
  </si>
  <si>
    <t>Luong Phong Commune</t>
  </si>
  <si>
    <t>Hiep Hoa</t>
  </si>
  <si>
    <t>Che Cu Nha Commune</t>
  </si>
  <si>
    <t>Mu Cang Chain</t>
  </si>
  <si>
    <t>Yang et al., 2008</t>
  </si>
  <si>
    <t>Suqian</t>
  </si>
  <si>
    <t>Jiangsu Province</t>
  </si>
  <si>
    <t>Total amount of crop residue burned in the field is calculated from the output of a particular crop; the ratio of crop residue to crop produced; and the proportion of the crop residue burned in the field (gathered via a field survey). Location coordinates not provided, so taken as being the city or town centre.</t>
  </si>
  <si>
    <t>Muliarta, 2018</t>
  </si>
  <si>
    <t>Klungkung Regency</t>
  </si>
  <si>
    <t>Bali</t>
  </si>
  <si>
    <t>Village level location coordinates not provided, so searched for Klungkung and used the coordinates returned.</t>
  </si>
  <si>
    <t>Theesfeld, 2017</t>
  </si>
  <si>
    <t>Altai Krai</t>
  </si>
  <si>
    <t>Russia</t>
  </si>
  <si>
    <t>Location coordinates not provided, so searched for Alta Krai and used the coordinates returned.</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</si>
  <si>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</si>
  <si>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</si>
  <si>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</si>
  <si>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</si>
  <si>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</si>
  <si>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</si>
  <si>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</si>
  <si>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</si>
  <si>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</si>
  <si>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</si>
  <si>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</si>
  <si>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</si>
  <si>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</si>
  <si>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</si>
  <si>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</si>
  <si>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</si>
  <si>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</si>
  <si>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</si>
  <si>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</si>
  <si>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</si>
  <si>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278aa</t>
  </si>
  <si>
    <t>278ab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</si>
  <si>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</si>
  <si>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</si>
  <si>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</si>
  <si>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</si>
  <si>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</si>
  <si>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</si>
  <si>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</si>
  <si>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</si>
  <si>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</si>
  <si>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</si>
  <si>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</si>
  <si>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</si>
  <si>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</si>
  <si>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</si>
  <si>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Cropping, agroecology</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</si>
  <si>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</si>
  <si>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</si>
  <si>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</si>
  <si>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</si>
  <si>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</si>
  <si>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90% of crop harvested using combine.</t>
  </si>
  <si>
    <t>Private and state owned land with 42% reported to be under state ownership in 2013.</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</si>
  <si>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</si>
  <si>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</si>
  <si>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</si>
  <si>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</si>
  <si>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</si>
  <si>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</si>
  <si>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</si>
  <si>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</si>
  <si>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</si>
  <si>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</si>
  <si>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</si>
  <si>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</si>
  <si>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</si>
  <si>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</si>
  <si>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</si>
  <si>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</si>
  <si>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</si>
  <si>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</si>
  <si>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</si>
  <si>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</si>
  <si>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</si>
  <si>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</si>
  <si>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</si>
  <si>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</si>
  <si>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</si>
  <si>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</si>
  <si>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</si>
  <si>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</si>
  <si>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</si>
  <si>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</si>
  <si>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</si>
  <si>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</si>
  <si>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</si>
  <si>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</si>
  <si>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</si>
  <si>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</si>
  <si>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</si>
  <si>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</si>
  <si>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</si>
  <si>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</si>
  <si>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</si>
  <si>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</si>
  <si>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</si>
  <si>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</si>
  <si>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</si>
  <si>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</si>
  <si>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</si>
  <si>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</si>
  <si>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</si>
  <si>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</si>
  <si>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</si>
  <si>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</si>
  <si>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</si>
  <si>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</si>
  <si>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</si>
  <si>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</si>
  <si>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</si>
  <si>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</si>
  <si>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</si>
  <si>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</si>
  <si>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</si>
  <si>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</si>
  <si>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</si>
  <si>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</si>
  <si>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</si>
  <si>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</si>
  <si>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</si>
  <si>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</si>
  <si>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</si>
  <si>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</si>
  <si>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</si>
  <si>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</si>
  <si>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</si>
  <si>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</si>
  <si>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</si>
  <si>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</si>
  <si>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</si>
  <si>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</si>
  <si>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</si>
  <si>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</si>
  <si>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</si>
  <si>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</si>
  <si>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</si>
  <si>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</si>
  <si>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</si>
  <si>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</si>
  <si>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</si>
  <si>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</si>
  <si>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</si>
  <si>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</si>
  <si>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</si>
  <si>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</si>
  <si>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</si>
  <si>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Wheat is the majority crop in summer. 25% families surveyed called back crop residue during harvest, which means there is more residue to burn in the fields on top of the stubble.</t>
  </si>
  <si>
    <t>Rice is the majority crop in autumn. 90% families called back crop residue in Autumn as there is more time available to do so, which means there is less residue to burn.</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</si>
  <si>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</si>
  <si>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</si>
  <si>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</si>
  <si>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</si>
  <si>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</si>
  <si>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</si>
  <si>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</si>
  <si>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</si>
  <si>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</si>
  <si>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</si>
  <si>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</si>
  <si>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</si>
  <si>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</si>
  <si>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</si>
  <si>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</si>
  <si>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</si>
  <si>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</si>
  <si>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</si>
  <si>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</si>
  <si>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</si>
  <si>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</si>
  <si>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</si>
  <si>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275a.3</t>
  </si>
  <si>
    <t>275a.4</t>
  </si>
  <si>
    <t>275b.1</t>
  </si>
  <si>
    <t>275b.2</t>
  </si>
  <si>
    <t>275b.3</t>
  </si>
  <si>
    <t>275b.4</t>
  </si>
  <si>
    <t>275c.1</t>
  </si>
  <si>
    <t>275c.2</t>
  </si>
  <si>
    <t>275d.1</t>
  </si>
  <si>
    <t>275d.2</t>
  </si>
  <si>
    <t>275d.3</t>
  </si>
  <si>
    <t>275d.4</t>
  </si>
  <si>
    <t>275e.1</t>
  </si>
  <si>
    <t>275e.2</t>
  </si>
  <si>
    <t>275e.3</t>
  </si>
  <si>
    <t>275e.4</t>
  </si>
  <si>
    <t>275f.1</t>
  </si>
  <si>
    <t>275f.2</t>
  </si>
  <si>
    <t>275f.3</t>
  </si>
  <si>
    <t>275f.4</t>
  </si>
  <si>
    <t>275g.1</t>
  </si>
  <si>
    <t>275g.2</t>
  </si>
  <si>
    <t>275g.3</t>
  </si>
  <si>
    <t>275g.4</t>
  </si>
  <si>
    <t>275h.1</t>
  </si>
  <si>
    <t>275h.2</t>
  </si>
  <si>
    <t>275h.3</t>
  </si>
  <si>
    <t>275h.4</t>
  </si>
  <si>
    <t>275i.1</t>
  </si>
  <si>
    <t>275i.2</t>
  </si>
  <si>
    <t>275i.3</t>
  </si>
  <si>
    <t>275i.4</t>
  </si>
  <si>
    <t>275j.1</t>
  </si>
  <si>
    <t>275j.2</t>
  </si>
  <si>
    <t>275k.1</t>
  </si>
  <si>
    <t>275k.2</t>
  </si>
  <si>
    <t>275l.1</t>
  </si>
  <si>
    <t>275l.2</t>
  </si>
  <si>
    <t>277aa.1</t>
  </si>
  <si>
    <t>277aa.2</t>
  </si>
  <si>
    <t>277aa.3</t>
  </si>
  <si>
    <t>277aa.4</t>
  </si>
  <si>
    <t>277aa.5</t>
  </si>
  <si>
    <t>277aa.6</t>
  </si>
  <si>
    <t>277ab</t>
  </si>
  <si>
    <t>277ab.1</t>
  </si>
  <si>
    <t>277ab.2</t>
  </si>
  <si>
    <t>277ab.3</t>
  </si>
  <si>
    <t>277ab.4</t>
  </si>
  <si>
    <t>277ab.5</t>
  </si>
  <si>
    <t>277ab.6</t>
  </si>
  <si>
    <t>277ba.1</t>
  </si>
  <si>
    <t>277ba.2</t>
  </si>
  <si>
    <t>277ba.3</t>
  </si>
  <si>
    <t>277ba.4</t>
  </si>
  <si>
    <t>277ba.5</t>
  </si>
  <si>
    <t>277ba.6</t>
  </si>
  <si>
    <t>277bb.1</t>
  </si>
  <si>
    <t>277bb.2</t>
  </si>
  <si>
    <t>277bb.3</t>
  </si>
  <si>
    <t>277bb.4</t>
  </si>
  <si>
    <t>277bb.5</t>
  </si>
  <si>
    <t>277bb.6</t>
  </si>
  <si>
    <t>277ca.1</t>
  </si>
  <si>
    <t>277ca.2</t>
  </si>
  <si>
    <t>277ca.3</t>
  </si>
  <si>
    <t>277ca.4</t>
  </si>
  <si>
    <t>277ca.5</t>
  </si>
  <si>
    <t>277ca.6</t>
  </si>
  <si>
    <t>277cb.1</t>
  </si>
  <si>
    <t>277cb.2</t>
  </si>
  <si>
    <t>277cb.3</t>
  </si>
  <si>
    <t>277cb.4</t>
  </si>
  <si>
    <t>277cb.5</t>
  </si>
  <si>
    <t>277cb.6</t>
  </si>
  <si>
    <t>278aa.1</t>
  </si>
  <si>
    <t>278aa.2</t>
  </si>
  <si>
    <t>278ab.1</t>
  </si>
  <si>
    <t>278ab.2</t>
  </si>
  <si>
    <t>279a.1</t>
  </si>
  <si>
    <t>279a.2</t>
  </si>
  <si>
    <t>279a.3</t>
  </si>
  <si>
    <t>279a.4</t>
  </si>
  <si>
    <t>279b.1</t>
  </si>
  <si>
    <t>279b.2</t>
  </si>
  <si>
    <t>279c.1</t>
  </si>
  <si>
    <t>279c.2</t>
  </si>
  <si>
    <t>280a.1</t>
  </si>
  <si>
    <t>280a.2</t>
  </si>
  <si>
    <t>280a.3</t>
  </si>
  <si>
    <t>280a.4</t>
  </si>
  <si>
    <t>280b.1</t>
  </si>
  <si>
    <t>280b.2</t>
  </si>
  <si>
    <t>280b.3</t>
  </si>
  <si>
    <t>280b.4</t>
  </si>
  <si>
    <t>281a.1</t>
  </si>
  <si>
    <t>281a.2</t>
  </si>
  <si>
    <t>281a.3</t>
  </si>
  <si>
    <t>281a.4</t>
  </si>
  <si>
    <t>282a.1</t>
  </si>
  <si>
    <t>283a.1</t>
  </si>
  <si>
    <t>283a.2</t>
  </si>
  <si>
    <t>Firefighting led by the military.</t>
  </si>
  <si>
    <t>275a.5</t>
  </si>
  <si>
    <t>Do these just apply to case study 275a?</t>
  </si>
  <si>
    <t>An authoritarian policy style is commonly used in the country and has been for haze since 2011.</t>
  </si>
  <si>
    <t>A review of crop straw management policy in China.</t>
  </si>
  <si>
    <t>Burning is allowed if it has been proven there is no other way to dispose of crop residues and is performed by those with authorized extinguisher and anti-fire security qualification, conditions said to be far to expensive for most farmers to satisfy.</t>
  </si>
  <si>
    <t>Pyrome Management</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</si>
  <si>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</si>
  <si>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</si>
  <si>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</si>
  <si>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</si>
  <si>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</si>
  <si>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</si>
  <si>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</si>
  <si>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</si>
  <si>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</si>
  <si>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</si>
  <si>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</si>
  <si>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</si>
  <si>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</si>
  <si>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</si>
  <si>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</si>
  <si>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</si>
  <si>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</si>
  <si>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</si>
  <si>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</si>
  <si>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</si>
  <si>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</si>
  <si>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</si>
  <si>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</si>
  <si>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</si>
  <si>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</si>
  <si>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</si>
  <si>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</si>
  <si>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</si>
  <si>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</si>
  <si>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</si>
  <si>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</si>
  <si>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</si>
  <si>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</si>
  <si>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</si>
  <si>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</si>
  <si>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</si>
  <si>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</si>
  <si>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</si>
  <si>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</si>
  <si>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</si>
  <si>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</si>
  <si>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</si>
  <si>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</si>
  <si>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</si>
  <si>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</si>
  <si>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</si>
  <si>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</si>
  <si>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</si>
  <si>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</si>
  <si>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</si>
  <si>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</si>
  <si>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</si>
  <si>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</si>
  <si>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</si>
  <si>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</si>
  <si>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</si>
  <si>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</si>
  <si>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</si>
  <si>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</si>
  <si>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</si>
  <si>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</si>
  <si>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</si>
  <si>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</si>
  <si>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</si>
  <si>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</si>
  <si>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</si>
  <si>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</si>
  <si>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</si>
  <si>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</si>
  <si>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</si>
  <si>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</si>
  <si>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</si>
  <si>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</si>
  <si>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</si>
  <si>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</si>
  <si>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</si>
  <si>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</si>
  <si>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</si>
  <si>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</si>
  <si>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</si>
  <si>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</si>
  <si>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</si>
  <si>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</si>
  <si>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</si>
  <si>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</si>
  <si>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</si>
  <si>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</si>
  <si>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</si>
  <si>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</si>
  <si>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</si>
  <si>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</si>
  <si>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</si>
  <si>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278bb.4</t>
  </si>
  <si>
    <t>278bb.5</t>
  </si>
  <si>
    <t>278bb.6</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</si>
  <si>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</si>
  <si>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</si>
  <si>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</si>
  <si>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</si>
  <si>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</si>
  <si>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</si>
  <si>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</si>
  <si>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</si>
  <si>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</si>
  <si>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</si>
  <si>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</si>
  <si>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</si>
  <si>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</si>
  <si>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</si>
  <si>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</si>
  <si>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</si>
  <si>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</si>
  <si>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</si>
  <si>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</si>
  <si>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</si>
  <si>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</si>
  <si>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</si>
  <si>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</si>
  <si>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</si>
  <si>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</si>
  <si>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</si>
  <si>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</si>
  <si>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</si>
  <si>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</si>
  <si>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</si>
  <si>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</si>
  <si>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</si>
  <si>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</si>
  <si>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</si>
  <si>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</si>
  <si>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</si>
  <si>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</si>
  <si>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</si>
  <si>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</si>
  <si>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</si>
  <si>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</si>
  <si>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</si>
  <si>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</si>
  <si>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</si>
  <si>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</si>
  <si>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</si>
  <si>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</si>
  <si>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</si>
  <si>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</si>
  <si>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</si>
  <si>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</si>
  <si>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</si>
  <si>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</si>
  <si>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</si>
  <si>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</si>
  <si>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</si>
  <si>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</si>
  <si>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</si>
  <si>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</si>
  <si>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</si>
  <si>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</si>
  <si>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</si>
  <si>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</si>
  <si>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</si>
  <si>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</si>
  <si>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</si>
  <si>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</si>
  <si>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</si>
  <si>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</si>
  <si>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</si>
  <si>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</si>
  <si>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</si>
  <si>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</si>
  <si>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</si>
  <si>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</si>
  <si>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</si>
  <si>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</si>
  <si>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</si>
  <si>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</si>
  <si>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</si>
  <si>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</si>
  <si>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</si>
  <si>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</si>
  <si>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</si>
  <si>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</si>
  <si>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</si>
  <si>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</si>
  <si>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</si>
  <si>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</si>
  <si>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</si>
  <si>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</si>
  <si>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</si>
  <si>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</si>
  <si>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</si>
  <si>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</si>
  <si>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</si>
  <si>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</si>
  <si>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</si>
  <si>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</si>
  <si>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</si>
  <si>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</si>
  <si>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</si>
  <si>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</si>
  <si>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</si>
  <si>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</si>
  <si>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</si>
  <si>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</si>
  <si>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</si>
  <si>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</si>
  <si>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</si>
  <si>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</si>
  <si>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</si>
  <si>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</si>
  <si>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</si>
  <si>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</si>
  <si>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</si>
  <si>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</si>
  <si>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</si>
  <si>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</si>
  <si>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</si>
  <si>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</si>
  <si>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</si>
  <si>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</si>
  <si>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</si>
  <si>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</si>
  <si>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</si>
  <si>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</si>
  <si>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</si>
  <si>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</si>
  <si>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</si>
  <si>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</si>
  <si>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</si>
  <si>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</si>
  <si>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</si>
  <si>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</si>
  <si>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</si>
  <si>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</si>
  <si>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</si>
  <si>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</si>
  <si>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</si>
  <si>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</si>
  <si>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</si>
  <si>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</si>
  <si>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</si>
  <si>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</si>
  <si>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</si>
  <si>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</si>
  <si>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</si>
  <si>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</si>
  <si>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</si>
  <si>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</si>
  <si>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</si>
  <si>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</si>
  <si>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</si>
  <si>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</si>
  <si>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</si>
  <si>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</si>
  <si>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</si>
  <si>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</si>
  <si>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</si>
  <si>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</si>
  <si>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</si>
  <si>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</si>
  <si>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</si>
  <si>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</si>
  <si>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</si>
  <si>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</si>
  <si>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</si>
  <si>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</si>
  <si>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</si>
  <si>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</si>
  <si>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</si>
  <si>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</si>
  <si>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</si>
  <si>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</si>
  <si>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</si>
  <si>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</si>
  <si>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</si>
  <si>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</si>
  <si>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</si>
  <si>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</si>
  <si>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</si>
  <si>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</si>
  <si>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</si>
  <si>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</si>
  <si>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</si>
  <si>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</si>
  <si>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</si>
  <si>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</si>
  <si>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</si>
  <si>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</si>
  <si>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</si>
  <si>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</si>
  <si>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</si>
  <si>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</si>
  <si>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</si>
  <si>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</si>
  <si>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</si>
  <si>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</si>
  <si>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</si>
  <si>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</si>
  <si>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</si>
  <si>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</si>
  <si>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</si>
  <si>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</si>
  <si>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</si>
  <si>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</si>
  <si>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</si>
  <si>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</si>
  <si>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</si>
  <si>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</si>
  <si>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</si>
  <si>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</si>
  <si>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</si>
  <si>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</si>
  <si>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</si>
  <si>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</si>
  <si>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</si>
  <si>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</si>
  <si>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</si>
  <si>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</si>
  <si>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</si>
  <si>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</si>
  <si>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</si>
  <si>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</si>
  <si>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</si>
  <si>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</si>
  <si>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</si>
  <si>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</si>
  <si>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</si>
  <si>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</si>
  <si>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</si>
  <si>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</si>
  <si>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</si>
  <si>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</si>
  <si>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</si>
  <si>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</si>
  <si>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</si>
  <si>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</si>
  <si>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</si>
  <si>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</si>
  <si>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</si>
  <si>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</si>
  <si>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</si>
  <si>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</si>
  <si>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</si>
  <si>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</si>
  <si>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</si>
  <si>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</si>
  <si>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</si>
  <si>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</si>
  <si>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</si>
  <si>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</si>
  <si>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</si>
  <si>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</si>
  <si>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</si>
  <si>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</si>
  <si>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</si>
  <si>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</si>
  <si>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</si>
  <si>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</si>
  <si>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</si>
  <si>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</si>
  <si>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</si>
  <si>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</si>
  <si>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</si>
  <si>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</si>
  <si>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</si>
  <si>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</si>
  <si>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</si>
  <si>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</si>
  <si>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</si>
  <si>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</si>
  <si>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</si>
  <si>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</si>
  <si>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</si>
  <si>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</si>
  <si>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</si>
  <si>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</si>
  <si>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</si>
  <si>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</si>
  <si>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</si>
  <si>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</si>
  <si>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</si>
  <si>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</si>
  <si>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</si>
  <si>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</si>
  <si>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</si>
  <si>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</si>
  <si>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</si>
  <si>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</si>
  <si>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</si>
  <si>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</si>
  <si>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</si>
  <si>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</si>
  <si>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</si>
  <si>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</si>
  <si>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</si>
  <si>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</si>
  <si>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</si>
  <si>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</si>
  <si>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</si>
  <si>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</si>
  <si>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</si>
  <si>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</si>
  <si>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</si>
  <si>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</si>
  <si>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</si>
  <si>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</si>
  <si>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</si>
  <si>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</si>
  <si>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</si>
  <si>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</si>
  <si>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</si>
  <si>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</si>
  <si>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</si>
  <si>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</si>
  <si>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</si>
  <si>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</si>
  <si>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</si>
  <si>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</si>
  <si>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</si>
  <si>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</si>
  <si>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</si>
  <si>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</si>
  <si>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</si>
  <si>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</si>
  <si>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</si>
  <si>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</si>
  <si>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</si>
  <si>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</si>
  <si>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</si>
  <si>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</si>
  <si>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</si>
  <si>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</si>
  <si>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</si>
  <si>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</si>
  <si>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</si>
  <si>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</si>
  <si>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</si>
  <si>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</si>
  <si>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</si>
  <si>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</si>
  <si>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</si>
  <si>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</si>
  <si>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</si>
  <si>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</si>
  <si>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</si>
  <si>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</si>
  <si>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</si>
  <si>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</si>
  <si>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</si>
  <si>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</si>
  <si>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</si>
  <si>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</si>
  <si>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</si>
  <si>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</si>
  <si>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</si>
  <si>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</si>
  <si>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</si>
  <si>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</si>
  <si>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</si>
  <si>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</si>
  <si>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</si>
  <si>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</si>
  <si>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</si>
  <si>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</si>
  <si>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</si>
  <si>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</si>
  <si>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</si>
  <si>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</si>
  <si>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</si>
  <si>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</si>
  <si>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</si>
  <si>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</si>
  <si>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</si>
  <si>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</si>
  <si>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</si>
  <si>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</si>
  <si>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</si>
  <si>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</si>
  <si>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</si>
  <si>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</si>
  <si>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</si>
  <si>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</si>
  <si>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</si>
  <si>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</si>
  <si>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</si>
  <si>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</si>
  <si>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</si>
  <si>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</si>
  <si>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</si>
  <si>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</si>
  <si>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</si>
  <si>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</si>
  <si>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</si>
  <si>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</si>
  <si>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</si>
  <si>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</si>
  <si>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</si>
  <si>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</si>
  <si>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</si>
  <si>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</si>
  <si>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</si>
  <si>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</si>
  <si>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</si>
  <si>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</si>
  <si>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</si>
  <si>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</si>
  <si>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</si>
  <si>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</si>
  <si>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</si>
  <si>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</si>
  <si>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</si>
  <si>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</si>
  <si>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</si>
  <si>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</si>
  <si>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</si>
  <si>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</si>
  <si>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</si>
  <si>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</si>
  <si>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</si>
  <si>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300b</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</si>
  <si>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</si>
  <si>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</si>
  <si>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</si>
  <si>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</si>
  <si>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</si>
  <si>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</si>
  <si>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</si>
  <si>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</si>
  <si>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Early-season pyrome management fires were lit much less frequently than by aboriginal land users. This meant that large late-season fires dominated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</si>
  <si>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</si>
  <si>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</si>
  <si>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</si>
  <si>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</si>
  <si>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</si>
  <si>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</si>
  <si>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</si>
  <si>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</si>
  <si>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</si>
  <si>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</si>
  <si>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</si>
  <si>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</si>
  <si>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</si>
  <si>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</si>
  <si>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</si>
  <si>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</si>
  <si>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</si>
  <si>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</si>
  <si>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</si>
  <si>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</si>
  <si>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</si>
  <si>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</si>
  <si>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</si>
  <si>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</si>
  <si>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</si>
  <si>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</si>
  <si>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</si>
  <si>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</si>
  <si>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</si>
  <si>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</si>
  <si>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</si>
  <si>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</si>
  <si>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</si>
  <si>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</si>
  <si>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</si>
  <si>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</si>
  <si>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</si>
  <si>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</si>
  <si>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</si>
  <si>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</si>
  <si>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</si>
  <si>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</si>
  <si>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</si>
  <si>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</si>
  <si>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</si>
  <si>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</si>
  <si>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</si>
  <si>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</si>
  <si>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</si>
  <si>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</si>
  <si>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</si>
  <si>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</si>
  <si>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</si>
  <si>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</si>
  <si>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</si>
  <si>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</si>
  <si>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</si>
  <si>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</si>
  <si>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</si>
  <si>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</si>
  <si>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</si>
  <si>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</si>
  <si>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</si>
  <si>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</si>
  <si>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</si>
  <si>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</si>
  <si>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</si>
  <si>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</si>
  <si>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</si>
  <si>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</si>
  <si>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</si>
  <si>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</si>
  <si>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</si>
  <si>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</si>
  <si>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</si>
  <si>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</si>
  <si>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</si>
  <si>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</si>
  <si>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</si>
  <si>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</si>
  <si>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</si>
  <si>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</si>
  <si>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</si>
  <si>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</si>
  <si>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</si>
  <si>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</si>
  <si>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</si>
  <si>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</si>
  <si>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</si>
  <si>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</si>
  <si>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</si>
  <si>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</si>
  <si>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</si>
  <si>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</si>
  <si>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</si>
  <si>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</si>
  <si>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</si>
  <si>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</si>
  <si>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</si>
  <si>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</si>
  <si>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</si>
  <si>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</si>
  <si>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</si>
  <si>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</si>
  <si>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</si>
  <si>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</si>
  <si>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</si>
  <si>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</si>
  <si>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</si>
  <si>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</si>
  <si>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</si>
  <si>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</si>
  <si>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</si>
  <si>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</si>
  <si>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303ao</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</si>
  <si>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</si>
  <si>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</si>
  <si>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</si>
  <si>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</si>
  <si>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</si>
  <si>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</si>
  <si>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</si>
  <si>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</si>
  <si>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</si>
  <si>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</si>
  <si>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</si>
  <si>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</si>
  <si>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</si>
  <si>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</si>
  <si>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</si>
  <si>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</si>
  <si>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</si>
  <si>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</si>
  <si>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</si>
  <si>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</si>
  <si>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</si>
  <si>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</si>
  <si>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</si>
  <si>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</si>
  <si>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</si>
  <si>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</si>
  <si>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</si>
  <si>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</si>
  <si>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</si>
  <si>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</si>
  <si>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</si>
  <si>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</si>
  <si>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</si>
  <si>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</si>
  <si>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</si>
  <si>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</si>
  <si>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</si>
  <si>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</si>
  <si>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</si>
  <si>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</si>
  <si>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</si>
  <si>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</si>
  <si>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</si>
  <si>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</si>
  <si>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</si>
  <si>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</si>
  <si>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</si>
  <si>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</si>
  <si>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</si>
  <si>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</si>
  <si>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</si>
  <si>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</si>
  <si>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</si>
  <si>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</si>
  <si>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</si>
  <si>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</si>
  <si>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</si>
  <si>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</si>
  <si>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</si>
  <si>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</si>
  <si>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</si>
  <si>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</si>
  <si>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</si>
  <si>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</si>
  <si>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</si>
  <si>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</si>
  <si>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</si>
  <si>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</si>
  <si>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</si>
  <si>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</si>
  <si>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</si>
  <si>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</si>
  <si>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</si>
  <si>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</si>
  <si>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</si>
  <si>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</si>
  <si>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</si>
  <si>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</si>
  <si>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</si>
  <si>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</si>
  <si>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</si>
  <si>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</si>
  <si>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</si>
  <si>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</si>
  <si>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</si>
  <si>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</si>
  <si>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</si>
  <si>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</si>
  <si>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</si>
  <si>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</si>
  <si>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</si>
  <si>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</si>
  <si>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</si>
  <si>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</si>
  <si>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</si>
  <si>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</si>
  <si>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</si>
  <si>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</si>
  <si>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</si>
  <si>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</si>
  <si>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</si>
  <si>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</si>
  <si>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</si>
  <si>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</si>
  <si>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</si>
  <si>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</si>
  <si>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</si>
  <si>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</si>
  <si>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</si>
  <si>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</si>
  <si>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</si>
  <si>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</si>
  <si>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</si>
  <si>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</si>
  <si>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</si>
  <si>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</si>
  <si>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</si>
  <si>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</si>
  <si>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</si>
  <si>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</si>
  <si>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</si>
  <si>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</si>
  <si>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</si>
  <si>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</si>
  <si>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</si>
  <si>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</si>
  <si>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</si>
  <si>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</si>
  <si>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</si>
  <si>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</si>
  <si>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</si>
  <si>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</si>
  <si>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</si>
  <si>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</si>
  <si>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</si>
  <si>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</si>
  <si>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</si>
  <si>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</si>
  <si>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</si>
  <si>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</si>
  <si>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</si>
  <si>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</si>
  <si>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</si>
  <si>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</si>
  <si>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</si>
  <si>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</si>
  <si>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</si>
  <si>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</si>
  <si>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</si>
  <si>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</si>
  <si>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</si>
  <si>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</si>
  <si>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</si>
  <si>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</si>
  <si>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</si>
  <si>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</si>
  <si>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</si>
  <si>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</si>
  <si>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</si>
  <si>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</si>
  <si>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</si>
  <si>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</si>
  <si>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</si>
  <si>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</si>
  <si>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</si>
  <si>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</si>
  <si>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</si>
  <si>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</si>
  <si>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</si>
  <si>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</si>
  <si>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</si>
  <si>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</si>
  <si>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</si>
  <si>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</si>
  <si>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</si>
  <si>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</si>
  <si>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</si>
  <si>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</si>
  <si>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</si>
  <si>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</si>
  <si>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</si>
  <si>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</si>
  <si>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</si>
  <si>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</si>
  <si>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</si>
  <si>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</si>
  <si>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</si>
  <si>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</si>
  <si>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</si>
  <si>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</si>
  <si>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</si>
  <si>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</si>
  <si>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</si>
  <si>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</si>
  <si>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</si>
  <si>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</si>
  <si>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</si>
  <si>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</si>
  <si>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</si>
  <si>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</si>
  <si>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</si>
  <si>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</si>
  <si>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</si>
  <si>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</si>
  <si>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</si>
  <si>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</si>
  <si>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</si>
  <si>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</si>
  <si>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</si>
  <si>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</si>
  <si>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</si>
  <si>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</si>
  <si>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</si>
  <si>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</si>
  <si>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</si>
  <si>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</si>
  <si>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</si>
  <si>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</si>
  <si>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</si>
  <si>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</si>
  <si>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</si>
  <si>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</si>
  <si>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</si>
  <si>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</si>
  <si>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</si>
  <si>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</si>
  <si>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</si>
  <si>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</si>
  <si>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</si>
  <si>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</si>
  <si>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</si>
  <si>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</si>
  <si>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</si>
  <si>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</si>
  <si>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</si>
  <si>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</si>
  <si>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</si>
  <si>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</si>
  <si>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</si>
  <si>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</si>
  <si>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</si>
  <si>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</si>
  <si>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</si>
  <si>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</si>
  <si>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</si>
  <si>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</si>
  <si>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</si>
  <si>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</si>
  <si>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</si>
  <si>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</si>
  <si>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</si>
  <si>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</si>
  <si>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</si>
  <si>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</si>
  <si>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</si>
  <si>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</si>
  <si>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</si>
  <si>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</si>
  <si>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</si>
  <si>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</si>
  <si>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</si>
  <si>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</si>
  <si>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</si>
  <si>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</si>
  <si>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</si>
  <si>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</si>
  <si>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</si>
  <si>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</si>
  <si>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</si>
  <si>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</si>
  <si>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</si>
  <si>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</si>
  <si>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</si>
  <si>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</si>
  <si>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</si>
  <si>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</si>
  <si>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</si>
  <si>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</si>
  <si>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</si>
  <si>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</si>
  <si>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</si>
  <si>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</si>
  <si>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</si>
  <si>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</si>
  <si>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</si>
  <si>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</si>
  <si>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</si>
  <si>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</si>
  <si>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</si>
  <si>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</si>
  <si>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</si>
  <si>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</si>
  <si>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</si>
  <si>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</si>
  <si>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</si>
  <si>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</si>
  <si>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</si>
  <si>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</si>
  <si>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</si>
  <si>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</si>
  <si>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</si>
  <si>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</si>
  <si>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</si>
  <si>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</si>
  <si>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</si>
  <si>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</si>
  <si>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</si>
  <si>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</si>
  <si>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</si>
  <si>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</si>
  <si>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</si>
  <si>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</si>
  <si>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</si>
  <si>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</si>
  <si>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</si>
  <si>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</si>
  <si>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</si>
  <si>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</si>
  <si>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</si>
  <si>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</si>
  <si>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</si>
  <si>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</si>
  <si>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</si>
  <si>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</si>
  <si>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</si>
  <si>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</si>
  <si>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</si>
  <si>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</si>
  <si>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</si>
  <si>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</si>
  <si>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</si>
  <si>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</si>
  <si>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</si>
  <si>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</si>
  <si>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</si>
  <si>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</si>
  <si>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</si>
  <si>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</si>
  <si>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</si>
  <si>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</si>
  <si>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</si>
  <si>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</si>
  <si>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</si>
  <si>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</si>
  <si>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</si>
  <si>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</si>
  <si>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</si>
  <si>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</si>
  <si>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</si>
  <si>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</si>
  <si>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</si>
  <si>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</si>
  <si>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</si>
  <si>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</si>
  <si>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</si>
  <si>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</si>
  <si>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</si>
  <si>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</si>
  <si>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</si>
  <si>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</si>
  <si>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</si>
  <si>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</si>
  <si>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</si>
  <si>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</si>
  <si>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</si>
  <si>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</si>
  <si>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</si>
  <si>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</si>
  <si>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</si>
  <si>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</si>
  <si>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</si>
  <si>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</si>
  <si>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</si>
  <si>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</si>
  <si>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</si>
  <si>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</si>
  <si>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</si>
  <si>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</si>
  <si>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</si>
  <si>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</si>
  <si>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</si>
  <si>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</si>
  <si>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</si>
  <si>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</si>
  <si>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</si>
  <si>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</si>
  <si>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</si>
  <si>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</si>
  <si>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</si>
  <si>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</si>
  <si>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</si>
  <si>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</si>
  <si>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</si>
  <si>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</si>
  <si>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</si>
  <si>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</si>
  <si>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</si>
  <si>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</si>
  <si>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</si>
  <si>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</si>
  <si>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</si>
  <si>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</si>
  <si>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</si>
  <si>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</si>
  <si>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</si>
  <si>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</si>
  <si>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</si>
  <si>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</si>
  <si>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</si>
  <si>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</si>
  <si>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</si>
  <si>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</si>
  <si>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</si>
  <si>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</si>
  <si>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</si>
  <si>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</si>
  <si>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</si>
  <si>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</si>
  <si>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</si>
  <si>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</si>
  <si>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</si>
  <si>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</si>
  <si>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</si>
  <si>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</si>
  <si>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</si>
  <si>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</si>
  <si>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</si>
  <si>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</si>
  <si>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</si>
  <si>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</si>
  <si>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</si>
  <si>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</si>
  <si>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</si>
  <si>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</si>
  <si>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</si>
  <si>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</si>
  <si>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</si>
  <si>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</si>
  <si>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</si>
  <si>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</si>
  <si>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</si>
  <si>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</si>
  <si>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</si>
  <si>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</si>
  <si>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</si>
  <si>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</si>
  <si>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</si>
  <si>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</si>
  <si>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</si>
  <si>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</si>
  <si>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</si>
  <si>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</si>
  <si>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</si>
  <si>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</si>
  <si>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</si>
  <si>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</si>
  <si>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</si>
  <si>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</si>
  <si>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</si>
  <si>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</si>
  <si>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</si>
  <si>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</si>
  <si>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</si>
  <si>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</si>
  <si>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</si>
  <si>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</si>
  <si>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</si>
  <si>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</si>
  <si>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Barrett 2016</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</si>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</sst>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00000"/>
    <numFmt numFmtId="166" formatCode="0.0_ "/>
    <numFmt numFmtId="167" formatCode="0.00_ "/>
    <numFmt numFmtId="168" formatCode="0.000_ "/>
    <numFmt numFmtId="169" formatCode="0.0000"/>
  </numFmts>
  <fonts count="26">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0000"/>
        <bgColor indexed="64"/>
      </patternFill>
    </fill>
  </fills>
  <borders count="2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s>
  <cellStyleXfs count="5">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cellStyleXfs>
  <cellXfs count="224">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9" fontId="0" fillId="0" borderId="4" xfId="3" applyFon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10"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cellXfs>
  <cellStyles count="5">
    <cellStyle name="Comma" xfId="2" builtinId="3"/>
    <cellStyle name="Hyperlink" xfId="1" builtinId="8"/>
    <cellStyle name="Hyperlink 2" xfId="4" xr:uid="{8FC78BA7-0666-4833-BF44-4905183F2A94}"/>
    <cellStyle name="Normal" xfId="0" builtinId="0"/>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ow r="20">
          <cell r="K20">
            <v>20604</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69" Type="http://schemas.openxmlformats.org/officeDocument/2006/relationships/hyperlink" Target="https://www.researchgate.net/publication/256645443_Grazing_Systems_and_Biodiversity_in_Mediterranean_Areas_Spain_Italy_and_Greece"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s://www.researchgate.net/publication/334363169" TargetMode="External"/><Relationship Id="rId629" Type="http://schemas.openxmlformats.org/officeDocument/2006/relationships/hyperlink" Target="https://link.springer.com/article/10.1186/s42408-019-0041-0"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www.researchgate.net/publication/311487251"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82" Type="http://schemas.openxmlformats.org/officeDocument/2006/relationships/hyperlink" Target="https://doi.org/10.29332/ijls.v2n3.234" TargetMode="External"/><Relationship Id="rId903" Type="http://schemas.openxmlformats.org/officeDocument/2006/relationships/hyperlink" Target="https://www.mdpi.com/1999-4907/7/10/237"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181" Type="http://schemas.openxmlformats.org/officeDocument/2006/relationships/hyperlink" Target="https://doi.org/10.14989/68482" TargetMode="External"/><Relationship Id="rId402" Type="http://schemas.openxmlformats.org/officeDocument/2006/relationships/hyperlink" Target="https://www.semanticscholar.org/paper/PASTORALISM-AND-VIOLENCE-IN-NORTHERN-GHANA%3A-AND-Abubakari/bd1bbba241bc9ad9c82a37d1e9a8aba8e67de9c8" TargetMode="External"/><Relationship Id="rId847" Type="http://schemas.openxmlformats.org/officeDocument/2006/relationships/hyperlink" Target="https://www.mdpi.com/1999-4907/7/10/237"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link.springer.com/article/10.1007/s10806-016-9613-z" TargetMode="External"/><Relationship Id="rId693" Type="http://schemas.openxmlformats.org/officeDocument/2006/relationships/hyperlink" Target="http://doi.org/10.1890/120356" TargetMode="External"/><Relationship Id="rId707" Type="http://schemas.openxmlformats.org/officeDocument/2006/relationships/hyperlink" Target="https://www.ecologyandsociety.org/vol22/iss3/art23/"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3" Type="http://schemas.openxmlformats.org/officeDocument/2006/relationships/hyperlink" Target="https://doi.org/10.1007/s10745-019-00120-9" TargetMode="External"/><Relationship Id="rId760" Type="http://schemas.openxmlformats.org/officeDocument/2006/relationships/hyperlink" Target="https://www.tandfonline.com/doi/full/10.1080/03066150.2015.1013099"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mdpi.com/1999-4907/7/10/237"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718" Type="http://schemas.openxmlformats.org/officeDocument/2006/relationships/hyperlink" Target="https://link.springer.com/article/10.1023/A:1013130528470" TargetMode="External"/><Relationship Id="rId357" Type="http://schemas.openxmlformats.org/officeDocument/2006/relationships/hyperlink" Target="https://pubmed.ncbi.nlm.nih.gov/15748801/"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www.mdpi.com/1999-4907/7/10/237" TargetMode="External"/><Relationship Id="rId424" Type="http://schemas.openxmlformats.org/officeDocument/2006/relationships/hyperlink" Target="https://www.jstor.org/stable/23531890" TargetMode="External"/><Relationship Id="rId631" Type="http://schemas.openxmlformats.org/officeDocument/2006/relationships/hyperlink" Target="https://agris.fao.org/agris-search/search.do?recordID=US201400181859" TargetMode="External"/><Relationship Id="rId729" Type="http://schemas.openxmlformats.org/officeDocument/2006/relationships/hyperlink" Target="https://www.sciencedirect.com/science/article/pii/S0301479799903353" TargetMode="External"/><Relationship Id="rId270" Type="http://schemas.openxmlformats.org/officeDocument/2006/relationships/hyperlink" Target="https://link.springer.com/article/10.1007/s10980-007-9123-5"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281" Type="http://schemas.openxmlformats.org/officeDocument/2006/relationships/hyperlink" Target="https://onlinelibrary.wiley.com/doi/abs/10.1002/ldr.3018" TargetMode="External"/><Relationship Id="rId502" Type="http://schemas.openxmlformats.org/officeDocument/2006/relationships/hyperlink" Target="https://www.sciencedirect.com/science/article/pii/S0301479711004701?via%3Dihub"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860" Type="http://schemas.openxmlformats.org/officeDocument/2006/relationships/hyperlink" Target="https://www.mdpi.com/1999-4907/7/10/237"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esajournals.onlinelibrary.wiley.com/doi/full/10.1890/120344"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www.mdpi.com/1999-4907/7/10/237" TargetMode="External"/><Relationship Id="rId14" Type="http://schemas.openxmlformats.org/officeDocument/2006/relationships/hyperlink" Target="https://doi.org/10.14989/68482" TargetMode="External"/><Relationship Id="rId317" Type="http://schemas.openxmlformats.org/officeDocument/2006/relationships/hyperlink" Target="https://era.ed.ac.uk/handle/1842/36538?show=full"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98" Type="http://schemas.openxmlformats.org/officeDocument/2006/relationships/hyperlink" Target="https://www.tandfonline.com/doi/full/10.1080/08941920.2013.820813" TargetMode="External"/><Relationship Id="rId121" Type="http://schemas.openxmlformats.org/officeDocument/2006/relationships/hyperlink" Target="https://www.sciencedirect.com/science/article/pii/S0921800919305191" TargetMode="External"/><Relationship Id="rId163" Type="http://schemas.openxmlformats.org/officeDocument/2006/relationships/hyperlink" Target="doi:10.1016/j.apgeog.2004.03.004" TargetMode="External"/><Relationship Id="rId219" Type="http://schemas.openxmlformats.org/officeDocument/2006/relationships/hyperlink" Target="https://onlinelibrary.wiley.com/doi/abs/10.2307/1242114" TargetMode="External"/><Relationship Id="rId370" Type="http://schemas.openxmlformats.org/officeDocument/2006/relationships/hyperlink" Target="https://www.publish.csiro.au/wf/wf07067"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829" Type="http://schemas.openxmlformats.org/officeDocument/2006/relationships/hyperlink" Target="https://www.researchgate.net/publication/311487251"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840" Type="http://schemas.openxmlformats.org/officeDocument/2006/relationships/hyperlink" Target="https://www.mdpi.com/1999-4907/7/10/237" TargetMode="External"/><Relationship Id="rId882" Type="http://schemas.openxmlformats.org/officeDocument/2006/relationships/hyperlink" Target="https://www.mdpi.com/1999-4907/7/10/237" TargetMode="External"/><Relationship Id="rId25" Type="http://schemas.openxmlformats.org/officeDocument/2006/relationships/hyperlink" Target="https://doi.org/10.14989/6848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fmc.online/wp-content/uploads/15-IFFN-36-Mongolia-1-1.pdf" TargetMode="External"/><Relationship Id="rId742" Type="http://schemas.openxmlformats.org/officeDocument/2006/relationships/hyperlink" Target="https://www.sciencedirect.com/science/article/pii/S0301479799903353" TargetMode="External"/><Relationship Id="rId132" Type="http://schemas.openxmlformats.org/officeDocument/2006/relationships/hyperlink" Target="http://oar.icrisat.org/6779/1/EPW_33_39_A163-A168_1998.pdf"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784" Type="http://schemas.openxmlformats.org/officeDocument/2006/relationships/hyperlink" Target="https://www.researchgate.net/publication/256645443_Grazing_Systems_and_Biodiversity_in_Mediterranean_Areas_Spain_Italy_and_Greece" TargetMode="External"/><Relationship Id="rId241" Type="http://schemas.openxmlformats.org/officeDocument/2006/relationships/hyperlink" Target="https://link.springer.com/article/10.1007/BF00046411" TargetMode="External"/><Relationship Id="rId437" Type="http://schemas.openxmlformats.org/officeDocument/2006/relationships/hyperlink" Target="https://www.sciencedirect.com/science/article/pii/S0167880911000405" TargetMode="External"/><Relationship Id="rId479" Type="http://schemas.openxmlformats.org/officeDocument/2006/relationships/hyperlink" Target="https://link.springer.com/article/10.1023/A:1014519113923" TargetMode="External"/><Relationship Id="rId644" Type="http://schemas.openxmlformats.org/officeDocument/2006/relationships/hyperlink" Target="https://link.springer.com/article/10.1007/s10342-019-01179-1" TargetMode="External"/><Relationship Id="rId686" Type="http://schemas.openxmlformats.org/officeDocument/2006/relationships/hyperlink" Target="https://doi.org/10.1016/j.enpol.2019.110882" TargetMode="External"/><Relationship Id="rId851" Type="http://schemas.openxmlformats.org/officeDocument/2006/relationships/hyperlink" Target="https://www.mdpi.com/1999-4907/7/10/237" TargetMode="External"/><Relationship Id="rId893" Type="http://schemas.openxmlformats.org/officeDocument/2006/relationships/hyperlink" Target="https://www.mdpi.com/1999-4907/7/10/237" TargetMode="External"/><Relationship Id="rId907" Type="http://schemas.openxmlformats.org/officeDocument/2006/relationships/hyperlink" Target="https://www.researchgate.net/publication/263580675" TargetMode="External"/><Relationship Id="rId36" Type="http://schemas.openxmlformats.org/officeDocument/2006/relationships/hyperlink" Target="https://doi.org/10.14989/68482" TargetMode="External"/><Relationship Id="rId283" Type="http://schemas.openxmlformats.org/officeDocument/2006/relationships/hyperlink" Target="https://link.springer.com/article/10.1007/s10745-014-9672-6"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546" Type="http://schemas.openxmlformats.org/officeDocument/2006/relationships/hyperlink" Target="https://doi.org/10.1071/WF19098" TargetMode="External"/><Relationship Id="rId711" Type="http://schemas.openxmlformats.org/officeDocument/2006/relationships/hyperlink" Target="https://www.ecologyandsociety.org/vol22/iss3/art23/" TargetMode="External"/><Relationship Id="rId753" Type="http://schemas.openxmlformats.org/officeDocument/2006/relationships/hyperlink" Target="https://www.sciencedirect.com/science/article/pii/S0143622811001901?via%3Dihub" TargetMode="External"/><Relationship Id="rId78" Type="http://schemas.openxmlformats.org/officeDocument/2006/relationships/hyperlink" Target="https://www.tandfonline.com/doi/full/10.1080/08941920.2013.820813" TargetMode="External"/><Relationship Id="rId101"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185" Type="http://schemas.openxmlformats.org/officeDocument/2006/relationships/hyperlink" Target="../../Literature%20Review/Global%20database%20review/Preindustrial%20cropping/cag.2002.24.1.42.pdf"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406" Type="http://schemas.openxmlformats.org/officeDocument/2006/relationships/hyperlink" Target="http://www.cifor.org/publications/corporate/cd-roms/bonn-proc/pdfs/papers/T3_FINAL_Barrow.pdf" TargetMode="External"/><Relationship Id="rId588" Type="http://schemas.openxmlformats.org/officeDocument/2006/relationships/hyperlink" Target="https://journals.sagepub.com/doi/10.1177/2158244017705422" TargetMode="External"/><Relationship Id="rId795" Type="http://schemas.openxmlformats.org/officeDocument/2006/relationships/hyperlink" Target="https://www.researchgate.net/publication/256645443_Grazing_Systems_and_Biodiversity_in_Mediterranean_Areas_Spain_Italy_and_Greece" TargetMode="External"/><Relationship Id="rId809" Type="http://schemas.openxmlformats.org/officeDocument/2006/relationships/hyperlink" Target="https://www.researchgate.net/publication/311487251"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392" Type="http://schemas.openxmlformats.org/officeDocument/2006/relationships/hyperlink" Target="https://link.springer.com/article/10.1023/A:1015685529180" TargetMode="External"/><Relationship Id="rId448" Type="http://schemas.openxmlformats.org/officeDocument/2006/relationships/hyperlink" Target="../../../../Downloads/FireSyntheisisPaperMarch2012Draft.pdf" TargetMode="External"/><Relationship Id="rId613" Type="http://schemas.openxmlformats.org/officeDocument/2006/relationships/hyperlink" Target="https://www.tandfonline.com/doi/abs/10.1080/01426397.2016.1184631?src=recsys&amp;journalCode=clar20" TargetMode="External"/><Relationship Id="rId655" Type="http://schemas.openxmlformats.org/officeDocument/2006/relationships/hyperlink" Target="http://www2.fire.uni-freiburg.de/sevilla-2007/contributions/doc/cd/SESIONES_TEMATICAS/ST2/Velez_SPAIN_DGB_ExpeEnglish.pdf" TargetMode="External"/><Relationship Id="rId697" Type="http://schemas.openxmlformats.org/officeDocument/2006/relationships/hyperlink" Target="http://doi.org/10.1016/j.foreco.2011.02.0" TargetMode="External"/><Relationship Id="rId820" Type="http://schemas.openxmlformats.org/officeDocument/2006/relationships/hyperlink" Target="https://www.researchgate.net/publication/311487251" TargetMode="External"/><Relationship Id="rId862" Type="http://schemas.openxmlformats.org/officeDocument/2006/relationships/hyperlink" Target="https://www.mdpi.com/1999-4907/7/10/237" TargetMode="External"/><Relationship Id="rId252" Type="http://schemas.openxmlformats.org/officeDocument/2006/relationships/hyperlink" Target="https://link.springer.com/content/pdf/10.1007%2Fs10457-006-0003-9.pdf"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47" Type="http://schemas.openxmlformats.org/officeDocument/2006/relationships/hyperlink" Target="https://doi.org/10.14989/68482" TargetMode="External"/><Relationship Id="rId89" Type="http://schemas.openxmlformats.org/officeDocument/2006/relationships/hyperlink" Target="https://www.tandfonline.com/doi/full/10.1080/08941920.2013.820813" TargetMode="External"/><Relationship Id="rId112" Type="http://schemas.openxmlformats.org/officeDocument/2006/relationships/hyperlink" Target="https://www.sciencedirect.com/science/article/pii/S0921800919305191"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599" Type="http://schemas.openxmlformats.org/officeDocument/2006/relationships/hyperlink" Target="https://www.mdpi.com/1999-4907/9/8/481" TargetMode="External"/><Relationship Id="rId764" Type="http://schemas.openxmlformats.org/officeDocument/2006/relationships/hyperlink" Target="https://www.researchgate.net/publication/256645443_Grazing_Systems_and_Biodiversity_in_Mediterranean_Areas_Spain_Italy_and_Greece"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459" Type="http://schemas.openxmlformats.org/officeDocument/2006/relationships/hyperlink" Target="https://onlinelibrary.wiley.com/doi/full/10.1111/j.1365-2699.2004.01062.x" TargetMode="External"/><Relationship Id="rId624" Type="http://schemas.openxmlformats.org/officeDocument/2006/relationships/hyperlink" Target="https://link.springer.com/article/10.1007/s10661-016-5532-8" TargetMode="External"/><Relationship Id="rId666" Type="http://schemas.openxmlformats.org/officeDocument/2006/relationships/hyperlink" Target="https://cgspace.cgiar.org/bitstream/handle/10568/219/SLP_ResRep_11.pdf?sequence=1&amp;isAllowed=y" TargetMode="External"/><Relationship Id="rId831" Type="http://schemas.openxmlformats.org/officeDocument/2006/relationships/hyperlink" Target="https://www.researchgate.net/publication/311487251" TargetMode="External"/><Relationship Id="rId873" Type="http://schemas.openxmlformats.org/officeDocument/2006/relationships/hyperlink" Target="https://www.mdpi.com/1999-4907/7/10/237"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263" Type="http://schemas.openxmlformats.org/officeDocument/2006/relationships/hyperlink" Target="https://iopscience.iop.org/article/10.1088/2515-7620/ab056c" TargetMode="External"/><Relationship Id="rId319" Type="http://schemas.openxmlformats.org/officeDocument/2006/relationships/hyperlink" Target="https://link.springer.com/content/pdf/10.1023/A:1026487730947.pdf" TargetMode="External"/><Relationship Id="rId470" Type="http://schemas.openxmlformats.org/officeDocument/2006/relationships/hyperlink" Target="https://fireecology.springeropen.com/articles/10.4996/fireecology.0701057" TargetMode="External"/><Relationship Id="rId526" Type="http://schemas.openxmlformats.org/officeDocument/2006/relationships/hyperlink" Target="https://www.researchgate.net/publication/226346960"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33" Type="http://schemas.openxmlformats.org/officeDocument/2006/relationships/hyperlink" Target="https://www.sciencedirect.com/science/article/pii/S0301479799903353" TargetMode="External"/><Relationship Id="rId775" Type="http://schemas.openxmlformats.org/officeDocument/2006/relationships/hyperlink" Target="https://www.researchgate.net/publication/256645443_Grazing_Systems_and_Biodiversity_in_Mediterranean_Areas_Spain_Italy_and_Greece"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677" Type="http://schemas.openxmlformats.org/officeDocument/2006/relationships/hyperlink" Target="https://doi.org/10.1016/j.enpol.2019.110882" TargetMode="External"/><Relationship Id="rId800" Type="http://schemas.openxmlformats.org/officeDocument/2006/relationships/hyperlink" Target="https://www.researchgate.net/publication/256645443_Grazing_Systems_and_Biodiversity_in_Mediterranean_Areas_Spain_Italy_and_Greece" TargetMode="External"/><Relationship Id="rId842" Type="http://schemas.openxmlformats.org/officeDocument/2006/relationships/hyperlink" Target="https://www.mdpi.com/1999-4907/7/10/237" TargetMode="External"/><Relationship Id="rId232" Type="http://schemas.openxmlformats.org/officeDocument/2006/relationships/hyperlink" Target="https://link.springer.com/article/10.1007/s10745-012-9537-9"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884" Type="http://schemas.openxmlformats.org/officeDocument/2006/relationships/hyperlink" Target="https://www.mdpi.com/1999-4907/7/10/237" TargetMode="External"/><Relationship Id="rId27" Type="http://schemas.openxmlformats.org/officeDocument/2006/relationships/hyperlink" Target="https://doi.org/10.14989/68482"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37" Type="http://schemas.openxmlformats.org/officeDocument/2006/relationships/hyperlink" Target="https://doi.org/10.1007/s10745-019-0056-9" TargetMode="External"/><Relationship Id="rId579" Type="http://schemas.openxmlformats.org/officeDocument/2006/relationships/hyperlink" Target="http://dx.doi.org/10.1016/j.gloenvcha.2017.08.001" TargetMode="External"/><Relationship Id="rId744" Type="http://schemas.openxmlformats.org/officeDocument/2006/relationships/hyperlink" Target="https://www.witpress.com/elibrary/wit-transactions-on-ecology-and-the-environment/137/21150" TargetMode="External"/><Relationship Id="rId786" Type="http://schemas.openxmlformats.org/officeDocument/2006/relationships/hyperlink" Target="https://www.researchgate.net/publication/256645443_Grazing_Systems_and_Biodiversity_in_Mediterranean_Areas_Spain_Italy_and_Greece"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439" Type="http://schemas.openxmlformats.org/officeDocument/2006/relationships/hyperlink" Target="https://www.sciencedirect.com/science/article/pii/S0167880911000405"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646" Type="http://schemas.openxmlformats.org/officeDocument/2006/relationships/hyperlink" Target="http://www2.fire.uni-freiburg.de/sevilla-2007/contributions/doc/cd/SESIONES_TEMATICAS/ST2/Velez_SPAIN_DGB_ExpeEnglish.pdf" TargetMode="External"/><Relationship Id="rId811" Type="http://schemas.openxmlformats.org/officeDocument/2006/relationships/hyperlink" Target="https://www.researchgate.net/publication/311487251" TargetMode="External"/><Relationship Id="rId201" Type="http://schemas.openxmlformats.org/officeDocument/2006/relationships/hyperlink" Target="http://lad.nafri.org.la/fulltext/231-0.pdf" TargetMode="External"/><Relationship Id="rId243" Type="http://schemas.openxmlformats.org/officeDocument/2006/relationships/hyperlink" Target="https://www.sciencedirect.com/science/article/pii/S025462991531053X" TargetMode="External"/><Relationship Id="rId285" Type="http://schemas.openxmlformats.org/officeDocument/2006/relationships/hyperlink" Target="https://www.tandfonline.com/doi/full/10.1080/03066150.2016.1243531" TargetMode="External"/><Relationship Id="rId450" Type="http://schemas.openxmlformats.org/officeDocument/2006/relationships/hyperlink" Target="../../../../Downloads/FireSyntheisisPaperMarch2012Draft.pdf" TargetMode="External"/><Relationship Id="rId506" Type="http://schemas.openxmlformats.org/officeDocument/2006/relationships/hyperlink" Target="https://www.sciencedirect.com/science/article/pii/S0301479711004701?via%3Dihub" TargetMode="External"/><Relationship Id="rId688" Type="http://schemas.openxmlformats.org/officeDocument/2006/relationships/hyperlink" Target="https://doi.org/10.1007/s11625-018-0592-z" TargetMode="External"/><Relationship Id="rId853" Type="http://schemas.openxmlformats.org/officeDocument/2006/relationships/hyperlink" Target="https://www.mdpi.com/1999-4907/7/10/237" TargetMode="External"/><Relationship Id="rId895" Type="http://schemas.openxmlformats.org/officeDocument/2006/relationships/hyperlink" Target="https://www.mdpi.com/1999-4907/7/10/237"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492" Type="http://schemas.openxmlformats.org/officeDocument/2006/relationships/hyperlink" Target="https://doi.org/10.1080/17531055.2015.1134401" TargetMode="External"/><Relationship Id="rId548" Type="http://schemas.openxmlformats.org/officeDocument/2006/relationships/hyperlink" Target="http://gfmc.online/wp-content/uploads/06-IFFN-34-Nepal-2-3.pdf" TargetMode="External"/><Relationship Id="rId713" Type="http://schemas.openxmlformats.org/officeDocument/2006/relationships/hyperlink" Target="https://doi.org/10.3390/f9040159" TargetMode="External"/><Relationship Id="rId755" Type="http://schemas.openxmlformats.org/officeDocument/2006/relationships/hyperlink" Target="https://wildlife.onlinelibrary.wiley.com/doi/abs/10.1002/jwmg.334" TargetMode="External"/><Relationship Id="rId797" Type="http://schemas.openxmlformats.org/officeDocument/2006/relationships/hyperlink" Target="https://www.researchgate.net/publication/256645443_Grazing_Systems_and_Biodiversity_in_Mediterranean_Areas_Spain_Italy_and_Greece" TargetMode="External"/><Relationship Id="rId91" Type="http://schemas.openxmlformats.org/officeDocument/2006/relationships/hyperlink" Target="https://www.tandfonline.com/doi/full/10.1080/08941920.2013.820813"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187" Type="http://schemas.openxmlformats.org/officeDocument/2006/relationships/hyperlink" Target="https://www.jstor.org/stable/i25765194"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822" Type="http://schemas.openxmlformats.org/officeDocument/2006/relationships/hyperlink" Target="https://www.researchgate.net/publication/311487251"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4" Type="http://schemas.openxmlformats.org/officeDocument/2006/relationships/hyperlink" Target="https://www.sciencedirect.com/science/article/pii/S0264837716300060?via%3Dihub" TargetMode="External"/><Relationship Id="rId657" Type="http://schemas.openxmlformats.org/officeDocument/2006/relationships/hyperlink" Target="https://core.ac.uk/reader/190976684" TargetMode="External"/><Relationship Id="rId699" Type="http://schemas.openxmlformats.org/officeDocument/2006/relationships/hyperlink" Target="http://fmc.online/wp-content/uploads/15-IFFN-36-Mongolia-1-1.pdf" TargetMode="External"/><Relationship Id="rId864" Type="http://schemas.openxmlformats.org/officeDocument/2006/relationships/hyperlink" Target="https://www.mdpi.com/1999-4907/7/10/237"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296" Type="http://schemas.openxmlformats.org/officeDocument/2006/relationships/hyperlink" Target="http://www.sandeeonline.org/uploads/documents/publication/1103_PUB_WP_117_Prabath.pdf" TargetMode="External"/><Relationship Id="rId461" Type="http://schemas.openxmlformats.org/officeDocument/2006/relationships/hyperlink" Target="https://pubmed.ncbi.nlm.nih.gov/20561002/" TargetMode="External"/><Relationship Id="rId517" Type="http://schemas.openxmlformats.org/officeDocument/2006/relationships/hyperlink" Target="https://www.sciencedirect.com/science/article/pii/S0301479711004701?via%3Dihub" TargetMode="External"/><Relationship Id="rId559" Type="http://schemas.openxmlformats.org/officeDocument/2006/relationships/hyperlink" Target="https://www.sciencedirect.com/science/article/pii/S0143622820300667" TargetMode="External"/><Relationship Id="rId724" Type="http://schemas.openxmlformats.org/officeDocument/2006/relationships/hyperlink" Target="https://www.sciencedirect.com/science/article/pii/S0301479799903353" TargetMode="External"/><Relationship Id="rId766" Type="http://schemas.openxmlformats.org/officeDocument/2006/relationships/hyperlink" Target="https://www.researchgate.net/publication/256645443_Grazing_Systems_and_Biodiversity_in_Mediterranean_Areas_Spain_Italy_and_Greece"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363" Type="http://schemas.openxmlformats.org/officeDocument/2006/relationships/hyperlink" Target="https://link.springer.com/article/10.1007/s10745-005-5155-0" TargetMode="External"/><Relationship Id="rId419" Type="http://schemas.openxmlformats.org/officeDocument/2006/relationships/hyperlink" Target="https://pastoralismjournal.springeropen.com/articles/10.1186/2041-7136-1-24" TargetMode="External"/><Relationship Id="rId570" Type="http://schemas.openxmlformats.org/officeDocument/2006/relationships/hyperlink" Target="https://ideas.repec.org/a/ags/afjare/258607.html" TargetMode="External"/><Relationship Id="rId626" Type="http://schemas.openxmlformats.org/officeDocument/2006/relationships/hyperlink" Target="https://onlinelibrary.wiley.com/doi/abs/10.1111/0004-5608.00184"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33" Type="http://schemas.openxmlformats.org/officeDocument/2006/relationships/hyperlink" Target="https://www.researchgate.net/publication/311487251" TargetMode="External"/><Relationship Id="rId875" Type="http://schemas.openxmlformats.org/officeDocument/2006/relationships/hyperlink" Target="https://www.mdpi.com/1999-4907/7/10/237" TargetMode="External"/><Relationship Id="rId18" Type="http://schemas.openxmlformats.org/officeDocument/2006/relationships/hyperlink" Target="https://doi.org/10.14989/6848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00" Type="http://schemas.openxmlformats.org/officeDocument/2006/relationships/hyperlink" Target="https://www.mdpi.com/1999-4907/7/10/237" TargetMode="External"/><Relationship Id="rId125" Type="http://schemas.openxmlformats.org/officeDocument/2006/relationships/hyperlink" Target="http://oar.icrisat.org/6779/1/EPW_33_39_A163-A168_1998.pdf" TargetMode="External"/><Relationship Id="rId167" Type="http://schemas.openxmlformats.org/officeDocument/2006/relationships/hyperlink" Target="https://link.springer.com/article/10.1007/s10980-007-9123-5" TargetMode="External"/><Relationship Id="rId332" Type="http://schemas.openxmlformats.org/officeDocument/2006/relationships/hyperlink" Target="https://www.tandfonline.com/doi/full/10.1080/21513732.2016.1169559"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777" Type="http://schemas.openxmlformats.org/officeDocument/2006/relationships/hyperlink" Target="https://www.researchgate.net/publication/256645443_Grazing_Systems_and_Biodiversity_in_Mediterranean_Areas_Spain_Italy_and_Greece"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37" Type="http://schemas.openxmlformats.org/officeDocument/2006/relationships/hyperlink" Target="https://www.sciencedirect.com/science/article/pii/S0378112710006924" TargetMode="External"/><Relationship Id="rId679" Type="http://schemas.openxmlformats.org/officeDocument/2006/relationships/hyperlink" Target="https://doi.org/10.1016/j.fcr.2015.10.007" TargetMode="External"/><Relationship Id="rId802" Type="http://schemas.openxmlformats.org/officeDocument/2006/relationships/hyperlink" Target="https://esajournals.onlinelibrary.wiley.com/doi/full/10.1890/120298" TargetMode="External"/><Relationship Id="rId844" Type="http://schemas.openxmlformats.org/officeDocument/2006/relationships/hyperlink" Target="https://www.mdpi.com/1999-4907/7/10/237" TargetMode="External"/><Relationship Id="rId886" Type="http://schemas.openxmlformats.org/officeDocument/2006/relationships/hyperlink" Target="https://www.mdpi.com/1999-4907/7/10/23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276" Type="http://schemas.openxmlformats.org/officeDocument/2006/relationships/hyperlink" Target="https://www.mdpi.com/2073-445X/9/1/23" TargetMode="External"/><Relationship Id="rId441" Type="http://schemas.openxmlformats.org/officeDocument/2006/relationships/hyperlink" Target="https://www.sciencedirect.com/science/article/pii/S0167880911000405" TargetMode="External"/><Relationship Id="rId483" Type="http://schemas.openxmlformats.org/officeDocument/2006/relationships/hyperlink" Target="http://dx.doi.org/10.1080/1747423X.2011.565372" TargetMode="External"/><Relationship Id="rId539" Type="http://schemas.openxmlformats.org/officeDocument/2006/relationships/hyperlink" Target="https://www.researchgate.net/publication/325554028" TargetMode="External"/><Relationship Id="rId690" Type="http://schemas.openxmlformats.org/officeDocument/2006/relationships/hyperlink" Target="http://doi.org/10.1890/120356" TargetMode="External"/><Relationship Id="rId704" Type="http://schemas.openxmlformats.org/officeDocument/2006/relationships/hyperlink" Target="https://www.ecologyandsociety.org/vol22/iss3/art23/" TargetMode="External"/><Relationship Id="rId746" Type="http://schemas.openxmlformats.org/officeDocument/2006/relationships/hyperlink" Target="https://www.witpress.com/elibrary/wit-transactions-on-ecology-and-the-environment/137/21150"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788" Type="http://schemas.openxmlformats.org/officeDocument/2006/relationships/hyperlink" Target="https://www.researchgate.net/publication/256645443_Grazing_Systems_and_Biodiversity_in_Mediterranean_Areas_Spain_Italy_and_Greece" TargetMode="External"/><Relationship Id="rId82" Type="http://schemas.openxmlformats.org/officeDocument/2006/relationships/hyperlink" Target="https://www.tandfonline.com/doi/full/10.1080/08941920.2013.820813" TargetMode="External"/><Relationship Id="rId203" Type="http://schemas.openxmlformats.org/officeDocument/2006/relationships/hyperlink" Target="http://lad.nafri.org.la/fulltext/231-0.pdf"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648" Type="http://schemas.openxmlformats.org/officeDocument/2006/relationships/hyperlink" Target="http://www2.fire.uni-freiburg.de/sevilla-2007/contributions/doc/cd/SESIONES_TEMATICAS/ST2/Velez_SPAIN_DGB_ExpeEnglish.pdf" TargetMode="External"/><Relationship Id="rId813" Type="http://schemas.openxmlformats.org/officeDocument/2006/relationships/hyperlink" Target="https://www.researchgate.net/publication/311487251" TargetMode="External"/><Relationship Id="rId855" Type="http://schemas.openxmlformats.org/officeDocument/2006/relationships/hyperlink" Target="https://www.mdpi.com/1999-4907/7/10/237" TargetMode="External"/><Relationship Id="rId245" Type="http://schemas.openxmlformats.org/officeDocument/2006/relationships/hyperlink" Target="https://www.sciencedirect.com/science/article/pii/S0143622817307403"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52" Type="http://schemas.openxmlformats.org/officeDocument/2006/relationships/hyperlink" Target="https://journals.uair.arizona.edu/index.php/rangelands/article/download/15883/15858"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doi.org/10.1007/s13280-017-0987-6" TargetMode="External"/><Relationship Id="rId897" Type="http://schemas.openxmlformats.org/officeDocument/2006/relationships/hyperlink" Target="https://www.mdpi.com/1999-4907/7/10/237" TargetMode="External"/><Relationship Id="rId105" Type="http://schemas.openxmlformats.org/officeDocument/2006/relationships/hyperlink" Target="https://www.tandfonline.com/doi/full/10.1080/08941920.2013.820813" TargetMode="External"/><Relationship Id="rId147" Type="http://schemas.openxmlformats.org/officeDocument/2006/relationships/hyperlink" Target="https://link.springer.com/article/10.1007/s11027-006-9038-5"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354" Type="http://schemas.openxmlformats.org/officeDocument/2006/relationships/hyperlink" Target="http://monitoringmatters.org/articles/full13.pdf" TargetMode="External"/><Relationship Id="rId757" Type="http://schemas.openxmlformats.org/officeDocument/2006/relationships/hyperlink" Target="https://www.sciencedirect.com/science/article/pii/S0140196313001821?via%3Dihub" TargetMode="External"/><Relationship Id="rId799" Type="http://schemas.openxmlformats.org/officeDocument/2006/relationships/hyperlink" Target="https://www.researchgate.net/publication/256645443_Grazing_Systems_and_Biodiversity_in_Mediterranean_Areas_Spain_Italy_and_Greece" TargetMode="External"/><Relationship Id="rId51" Type="http://schemas.openxmlformats.org/officeDocument/2006/relationships/hyperlink" Target="https://doi.org/10.14989/68482"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561" Type="http://schemas.openxmlformats.org/officeDocument/2006/relationships/hyperlink" Target="https://www.sciencedirect.com/science/article/pii/S0143622820300667" TargetMode="External"/><Relationship Id="rId617" Type="http://schemas.openxmlformats.org/officeDocument/2006/relationships/hyperlink" Target="https://link.springer.com/article/10.1007/s10745-016-9851-8" TargetMode="External"/><Relationship Id="rId659" Type="http://schemas.openxmlformats.org/officeDocument/2006/relationships/hyperlink" Target="http://www.sandeeonline.org/uploads/documents/publication/962_PUB_Working_Paper_66_Ridhima_Gupta.pdf" TargetMode="External"/><Relationship Id="rId824" Type="http://schemas.openxmlformats.org/officeDocument/2006/relationships/hyperlink" Target="https://www.researchgate.net/publication/311487251" TargetMode="External"/><Relationship Id="rId866" Type="http://schemas.openxmlformats.org/officeDocument/2006/relationships/hyperlink" Target="https://www.mdpi.com/1999-4907/7/10/237"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6" Type="http://schemas.openxmlformats.org/officeDocument/2006/relationships/hyperlink" Target="https://www.sciencedirect.com/science/article/pii/S0006320712004466"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463" Type="http://schemas.openxmlformats.org/officeDocument/2006/relationships/hyperlink" Target="https://besjournals.onlinelibrary.wiley.com/doi/pdf/10.1046/j.1365-2664.2001.00567.x" TargetMode="External"/><Relationship Id="rId519" Type="http://schemas.openxmlformats.org/officeDocument/2006/relationships/hyperlink" Target="https://www.sciencedirect.com/science/article/pii/S0301479711004701?via%3Dihub"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16" Type="http://schemas.openxmlformats.org/officeDocument/2006/relationships/hyperlink" Target="https://www.sciencedirect.com/science/article/pii/S0921800919305191"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26" Type="http://schemas.openxmlformats.org/officeDocument/2006/relationships/hyperlink" Target="https://www.sciencedirect.com/science/article/pii/S0301479799903353" TargetMode="External"/><Relationship Id="rId768" Type="http://schemas.openxmlformats.org/officeDocument/2006/relationships/hyperlink" Target="https://www.researchgate.net/publication/256645443_Grazing_Systems_and_Biodiversity_in_Mediterranean_Areas_Spain_Italy_and_Greece" TargetMode="External"/><Relationship Id="rId20" Type="http://schemas.openxmlformats.org/officeDocument/2006/relationships/hyperlink" Target="https://doi.org/10.14989/6848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628" Type="http://schemas.openxmlformats.org/officeDocument/2006/relationships/hyperlink" Target="https://iforest.sisef.org/pdf/?id=ifor0098-006" TargetMode="External"/><Relationship Id="rId835" Type="http://schemas.openxmlformats.org/officeDocument/2006/relationships/hyperlink" Target="https://www.researchgate.net/publication/311487251" TargetMode="External"/><Relationship Id="rId225" Type="http://schemas.openxmlformats.org/officeDocument/2006/relationships/hyperlink" Target="http://www.bio-nica.info/Biblioteca/Vosti2002Deforestation.pdf"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32" Type="http://schemas.openxmlformats.org/officeDocument/2006/relationships/hyperlink" Target="https://www.scirp.org/journal/paperinformation.aspx?paperid=27362" TargetMode="External"/><Relationship Id="rId474" Type="http://schemas.openxmlformats.org/officeDocument/2006/relationships/hyperlink" Target="https://onlinelibrary.wiley.com/doi/abs/10.1002/ldr.777" TargetMode="External"/><Relationship Id="rId877" Type="http://schemas.openxmlformats.org/officeDocument/2006/relationships/hyperlink" Target="https://www.mdpi.com/1999-4907/7/10/237"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atmosenv.2007.12.007" TargetMode="External"/><Relationship Id="rId737" Type="http://schemas.openxmlformats.org/officeDocument/2006/relationships/hyperlink" Target="https://www.sciencedirect.com/science/article/pii/S0301479799903353"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ww.mdpi.com/1999-4907/7/10/237" TargetMode="External"/><Relationship Id="rId31" Type="http://schemas.openxmlformats.org/officeDocument/2006/relationships/hyperlink" Target="https://doi.org/10.14989/68482"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76" Type="http://schemas.openxmlformats.org/officeDocument/2006/relationships/hyperlink" Target="https://www.mdpi.com/2076-3298/2/1/1" TargetMode="External"/><Relationship Id="rId541" Type="http://schemas.openxmlformats.org/officeDocument/2006/relationships/hyperlink" Target="http://managementjournal.usamv.ro/pdf/vol.17_1/Art68.pdf" TargetMode="External"/><Relationship Id="rId583" Type="http://schemas.openxmlformats.org/officeDocument/2006/relationships/hyperlink" Target="https://rgs-ibg.onlinelibrary.wiley.com/doi/abs/10.1111/geoj.12261" TargetMode="External"/><Relationship Id="rId639" Type="http://schemas.openxmlformats.org/officeDocument/2006/relationships/hyperlink" Target="https://www.sciencedirect.com/science/article/pii/S0048969713014046"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4" Type="http://schemas.openxmlformats.org/officeDocument/2006/relationships/hyperlink" Target="https://doi.org/10.14989/68482" TargetMode="External"/><Relationship Id="rId180" Type="http://schemas.openxmlformats.org/officeDocument/2006/relationships/hyperlink" Target="http://www.africa.kyoto-u.ac.jp/kiroku/asm_normal/abstracts/pdf/ASM%20%20Vol.17%20No.3%201996/Shuichi%20OYAMA.pdf"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46" Type="http://schemas.openxmlformats.org/officeDocument/2006/relationships/hyperlink" Target="https://www.mdpi.com/1999-4907/7/10/237" TargetMode="External"/><Relationship Id="rId888" Type="http://schemas.openxmlformats.org/officeDocument/2006/relationships/hyperlink" Target="https://www.mdpi.com/1999-4907/7/10/237" TargetMode="External"/><Relationship Id="rId303" Type="http://schemas.openxmlformats.org/officeDocument/2006/relationships/hyperlink" Target="https://www.sciencedirect.com/science/article/pii/S0301479706000557"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s://www.mdpi.com/1999-4907/8/11/422" TargetMode="External"/><Relationship Id="rId706" Type="http://schemas.openxmlformats.org/officeDocument/2006/relationships/hyperlink" Target="https://www.ecologyandsociety.org/vol22/iss3/art23/" TargetMode="External"/><Relationship Id="rId748" Type="http://schemas.openxmlformats.org/officeDocument/2006/relationships/hyperlink" Target="https://www.witpress.com/elibrary/wit-transactions-on-ecology-and-the-environment/137/21150" TargetMode="External"/><Relationship Id="rId42" Type="http://schemas.openxmlformats.org/officeDocument/2006/relationships/hyperlink" Target="https://doi.org/10.14989/68482" TargetMode="External"/><Relationship Id="rId84" Type="http://schemas.openxmlformats.org/officeDocument/2006/relationships/hyperlink" Target="https://www.tandfonline.com/doi/full/10.1080/08941920.2013.820813"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52" Type="http://schemas.openxmlformats.org/officeDocument/2006/relationships/hyperlink" Target="https://academic.oup.com/jof/article/116/2/143/4930767"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247" Type="http://schemas.openxmlformats.org/officeDocument/2006/relationships/hyperlink" Target="https://www.sciencedirect.com/science/article/pii/S0143622817307403"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mdpi.com/1999-4907/7/10/237" TargetMode="External"/><Relationship Id="rId899" Type="http://schemas.openxmlformats.org/officeDocument/2006/relationships/hyperlink" Target="https://www.mdpi.com/1999-4907/7/10/237" TargetMode="External"/><Relationship Id="rId107" Type="http://schemas.openxmlformats.org/officeDocument/2006/relationships/hyperlink" Target="https://www.tandfonline.com/doi/full/10.1080/08941920.2013.820813" TargetMode="External"/><Relationship Id="rId289" Type="http://schemas.openxmlformats.org/officeDocument/2006/relationships/hyperlink" Target="https://rgs-ibg.onlinelibrary.wiley.com/doi/abs/10.1111/geoj.12255"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496" Type="http://schemas.openxmlformats.org/officeDocument/2006/relationships/hyperlink" Target="https://link.springer.com/article/10.1007/s10021-013-9673-0" TargetMode="External"/><Relationship Id="rId661" Type="http://schemas.openxmlformats.org/officeDocument/2006/relationships/hyperlink" Target="http://www.sandeeonline.org/uploads/documents/publication/962_PUB_Working_Paper_66_Ridhima_Gupta.pdf" TargetMode="External"/><Relationship Id="rId717" Type="http://schemas.openxmlformats.org/officeDocument/2006/relationships/hyperlink" Target="https://link.springer.com/article/10.1023/A:1013130528470" TargetMode="External"/><Relationship Id="rId759" Type="http://schemas.openxmlformats.org/officeDocument/2006/relationships/hyperlink" Target="https://www.tandfonline.com/doi/full/10.1080/03066150.2015.1013099" TargetMode="External"/><Relationship Id="rId11" Type="http://schemas.openxmlformats.org/officeDocument/2006/relationships/hyperlink" Target="https://doi.org/10.14989/68482"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14" Type="http://schemas.openxmlformats.org/officeDocument/2006/relationships/hyperlink" Target="https://www.sciencedirect.com/science/article/pii/S0743016716305022" TargetMode="External"/><Relationship Id="rId356" Type="http://schemas.openxmlformats.org/officeDocument/2006/relationships/hyperlink" Target="https://pubmed.ncbi.nlm.nih.gov/15748801/"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563" Type="http://schemas.openxmlformats.org/officeDocument/2006/relationships/hyperlink" Target="https://ideas.repec.org/a/ags/afjare/258607.html"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770" Type="http://schemas.openxmlformats.org/officeDocument/2006/relationships/hyperlink" Target="https://www.researchgate.net/publication/256645443_Grazing_Systems_and_Biodiversity_in_Mediterranean_Areas_Spain_Italy_and_Greece"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826" Type="http://schemas.openxmlformats.org/officeDocument/2006/relationships/hyperlink" Target="https://www.researchgate.net/publication/311487251" TargetMode="External"/><Relationship Id="rId868" Type="http://schemas.openxmlformats.org/officeDocument/2006/relationships/hyperlink" Target="https://www.mdpi.com/1999-4907/7/10/237"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30" Type="http://schemas.openxmlformats.org/officeDocument/2006/relationships/hyperlink" Target="https://link.springer.com/article/10.1186/s42408-019-0041-0" TargetMode="External"/><Relationship Id="rId672" Type="http://schemas.openxmlformats.org/officeDocument/2006/relationships/hyperlink" Target="https://doi.org/10.1080/19460171.2020.1724168" TargetMode="External"/><Relationship Id="rId728" Type="http://schemas.openxmlformats.org/officeDocument/2006/relationships/hyperlink" Target="https://www.sciencedirect.com/science/article/pii/S0301479799903353" TargetMode="External"/><Relationship Id="rId22" Type="http://schemas.openxmlformats.org/officeDocument/2006/relationships/hyperlink" Target="https://doi.org/10.14989/68482" TargetMode="External"/><Relationship Id="rId64" Type="http://schemas.openxmlformats.org/officeDocument/2006/relationships/hyperlink" Target="https://www.tandfonline.com/doi/full/10.1080/08941920.2013.820813"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367" Type="http://schemas.openxmlformats.org/officeDocument/2006/relationships/hyperlink" Target="http://digilib.buse.ac.zw:8080/xmlui/handle/11196/1853" TargetMode="External"/><Relationship Id="rId532" Type="http://schemas.openxmlformats.org/officeDocument/2006/relationships/hyperlink" Target="http://www.jstor.com/stable/41236635" TargetMode="External"/><Relationship Id="rId574" Type="http://schemas.openxmlformats.org/officeDocument/2006/relationships/hyperlink" Target="https://doi.org/10.1007/s10745-019-00096-6" TargetMode="External"/><Relationship Id="rId171" Type="http://schemas.openxmlformats.org/officeDocument/2006/relationships/hyperlink" Target="http://www.ecologyandsociety.org/vol13/iss2/art2/"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37" Type="http://schemas.openxmlformats.org/officeDocument/2006/relationships/hyperlink" Target="https://www.researchgate.net/publication/311487251" TargetMode="External"/><Relationship Id="rId879" Type="http://schemas.openxmlformats.org/officeDocument/2006/relationships/hyperlink" Target="https://www.mdpi.com/1999-4907/7/10/237" TargetMode="External"/><Relationship Id="rId269" Type="http://schemas.openxmlformats.org/officeDocument/2006/relationships/hyperlink" Target="https://link.springer.com/article/10.1007/s11027-006-9038-5" TargetMode="External"/><Relationship Id="rId434" Type="http://schemas.openxmlformats.org/officeDocument/2006/relationships/hyperlink" Target="https://www.scirp.org/journal/paperinformation.aspx?paperid=27362" TargetMode="External"/><Relationship Id="rId476" Type="http://schemas.openxmlformats.org/officeDocument/2006/relationships/hyperlink" Target="https://www.jstor.org/stable/43123720" TargetMode="External"/><Relationship Id="rId641" Type="http://schemas.openxmlformats.org/officeDocument/2006/relationships/hyperlink" Target="https://www.ncbi.nlm.nih.gov/pmc/articles/PMC6163030/" TargetMode="External"/><Relationship Id="rId683" Type="http://schemas.openxmlformats.org/officeDocument/2006/relationships/hyperlink" Target="https://doi.org/10.1016/j.landusepol.2017.06.018" TargetMode="External"/><Relationship Id="rId739" Type="http://schemas.openxmlformats.org/officeDocument/2006/relationships/hyperlink" Target="https://www.sciencedirect.com/science/article/pii/S0301479799903353" TargetMode="External"/><Relationship Id="rId890" Type="http://schemas.openxmlformats.org/officeDocument/2006/relationships/hyperlink" Target="https://www.mdpi.com/1999-4907/7/10/237" TargetMode="External"/><Relationship Id="rId904" Type="http://schemas.openxmlformats.org/officeDocument/2006/relationships/hyperlink" Target="https://www.mdpi.com/1999-4907/7/10/237"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1" Type="http://schemas.openxmlformats.org/officeDocument/2006/relationships/hyperlink" Target="https://www.sciencedirect.com/science/article/pii/S0301479711004701?via%3Dihub" TargetMode="External"/><Relationship Id="rId543" Type="http://schemas.openxmlformats.org/officeDocument/2006/relationships/hyperlink" Target="https://doi.org/10.1071/WF18152"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182" Type="http://schemas.openxmlformats.org/officeDocument/2006/relationships/hyperlink" Target="https://onlinelibrary.wiley.com/doi/full/10.1111/j.1365-2028.2005.00603.x" TargetMode="External"/><Relationship Id="rId378" Type="http://schemas.openxmlformats.org/officeDocument/2006/relationships/hyperlink" Target="https://rgs-ibg.onlinelibrary.wiley.com/doi/abs/10.1111/geoj.12245" TargetMode="External"/><Relationship Id="rId403" Type="http://schemas.openxmlformats.org/officeDocument/2006/relationships/hyperlink" Target="https://link.springer.com/article/10.1007%2Fs10668-014-9515-z" TargetMode="External"/><Relationship Id="rId585" Type="http://schemas.openxmlformats.org/officeDocument/2006/relationships/hyperlink" Target="https://journals.sagepub.com/doi/10.1177/2158244017705422" TargetMode="External"/><Relationship Id="rId750" Type="http://schemas.openxmlformats.org/officeDocument/2006/relationships/hyperlink" Target="https://www.witpress.com/elibrary/wit-transactions-on-ecology-and-the-environment/137/21150"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848" Type="http://schemas.openxmlformats.org/officeDocument/2006/relationships/hyperlink" Target="https://www.mdpi.com/1999-4907/7/10/237"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52" Type="http://schemas.openxmlformats.org/officeDocument/2006/relationships/hyperlink" Target="http://www2.fire.uni-freiburg.de/sevilla-2007/contributions/doc/cd/SESIONES_TEMATICAS/ST2/Velez_SPAIN_DGB_ExpeEnglish.pdf"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www.ecologyandsociety.org/vol22/iss3/art23/"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347" Type="http://schemas.openxmlformats.org/officeDocument/2006/relationships/hyperlink" Target="https://doi.org/10.1080/08941920.2012.713087" TargetMode="External"/><Relationship Id="rId512" Type="http://schemas.openxmlformats.org/officeDocument/2006/relationships/hyperlink" Target="https://www.sciencedirect.com/science/article/pii/S0301479711004701?via%3Dihub" TargetMode="External"/><Relationship Id="rId44" Type="http://schemas.openxmlformats.org/officeDocument/2006/relationships/hyperlink" Target="https://doi.org/10.14989/6848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54" Type="http://schemas.openxmlformats.org/officeDocument/2006/relationships/hyperlink" Target="https://doi.org/10.1080/00049182.2019.1686731" TargetMode="External"/><Relationship Id="rId596" Type="http://schemas.openxmlformats.org/officeDocument/2006/relationships/hyperlink" Target="https://doi.org/10.1016/j.landusepol.2018.10.022" TargetMode="External"/><Relationship Id="rId761" Type="http://schemas.openxmlformats.org/officeDocument/2006/relationships/hyperlink" Target="https://linkinghub.elsevier.com/retrieve/pii/S0048969717324695" TargetMode="External"/><Relationship Id="rId817" Type="http://schemas.openxmlformats.org/officeDocument/2006/relationships/hyperlink" Target="https://www.researchgate.net/publication/311487251" TargetMode="External"/><Relationship Id="rId859" Type="http://schemas.openxmlformats.org/officeDocument/2006/relationships/hyperlink" Target="https://www.mdpi.com/1999-4907/7/10/237"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249" Type="http://schemas.openxmlformats.org/officeDocument/2006/relationships/hyperlink" Target="https://iopscience.iop.org/article/10.1088/2515-7620/ab056c" TargetMode="External"/><Relationship Id="rId414" Type="http://schemas.openxmlformats.org/officeDocument/2006/relationships/hyperlink" Target="https://esajournals.onlinelibrary.wiley.com/doi/abs/10.1890/1051-0761(2000)010%5B1318:TROMNP%5D2.0.CO%3B2" TargetMode="External"/><Relationship Id="rId456" Type="http://schemas.openxmlformats.org/officeDocument/2006/relationships/hyperlink" Target="https://esajournals.onlinelibrary.wiley.com/doi/full/10.1890/120344"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www.mdpi.com/1999-4907/7/10/237"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260" Type="http://schemas.openxmlformats.org/officeDocument/2006/relationships/hyperlink" Target="https://link.springer.com/article/10.1007/s12524-019-01093-4"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719" Type="http://schemas.openxmlformats.org/officeDocument/2006/relationships/hyperlink" Target="https://www.sciencedirect.com/science/article/pii/S0743016716301814?via%3Dihub"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97" Type="http://schemas.openxmlformats.org/officeDocument/2006/relationships/hyperlink" Target="https://www.tandfonline.com/doi/full/10.1080/08941920.2013.820813"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30" Type="http://schemas.openxmlformats.org/officeDocument/2006/relationships/hyperlink" Target="https://www.sciencedirect.com/science/article/pii/S0301479799903353" TargetMode="External"/><Relationship Id="rId772" Type="http://schemas.openxmlformats.org/officeDocument/2006/relationships/hyperlink" Target="https://www.researchgate.net/publication/256645443_Grazing_Systems_and_Biodiversity_in_Mediterranean_Areas_Spain_Italy_and_Greece" TargetMode="External"/><Relationship Id="rId828" Type="http://schemas.openxmlformats.org/officeDocument/2006/relationships/hyperlink" Target="https://www.researchgate.net/publication/311487251" TargetMode="External"/><Relationship Id="rId162" Type="http://schemas.openxmlformats.org/officeDocument/2006/relationships/hyperlink" Target="https://www.researchgate.net/publication/275523335_Land_for_My_Grandchildren_Land_Use_and_Tenure_Change_in_Ratanakiri_1989-200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467" Type="http://schemas.openxmlformats.org/officeDocument/2006/relationships/hyperlink" Target="https://fireecology.springeropen.com/articles/10.4996/fireecology.0701057" TargetMode="External"/><Relationship Id="rId632" Type="http://schemas.openxmlformats.org/officeDocument/2006/relationships/hyperlink" Target="https://www.sciencedirect.com/science/article/pii/S0378112712006561" TargetMode="External"/><Relationship Id="rId271" Type="http://schemas.openxmlformats.org/officeDocument/2006/relationships/hyperlink" Target="https://link.springer.com/article/10.1007/s10457-011-9469-1" TargetMode="External"/><Relationship Id="rId674" Type="http://schemas.openxmlformats.org/officeDocument/2006/relationships/hyperlink" Target="https://doi.org/10.1016/j.landusepol.2015.05.004" TargetMode="External"/><Relationship Id="rId881" Type="http://schemas.openxmlformats.org/officeDocument/2006/relationships/hyperlink" Target="https://www.mdpi.com/1999-4907/7/10/237" TargetMode="External"/><Relationship Id="rId24" Type="http://schemas.openxmlformats.org/officeDocument/2006/relationships/hyperlink" Target="https://doi.org/10.14989/6848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369" Type="http://schemas.openxmlformats.org/officeDocument/2006/relationships/hyperlink" Target="https://www.publish.csiro.au/wf/wf07067" TargetMode="External"/><Relationship Id="rId534" Type="http://schemas.openxmlformats.org/officeDocument/2006/relationships/hyperlink" Target="https://doi.org/10.1007/s13280-018-1118-8" TargetMode="External"/><Relationship Id="rId576" Type="http://schemas.openxmlformats.org/officeDocument/2006/relationships/hyperlink" Target="https://doi.org/10.1016/j.ecolecon.2019.106359" TargetMode="External"/><Relationship Id="rId741" Type="http://schemas.openxmlformats.org/officeDocument/2006/relationships/hyperlink" Target="https://www.sciencedirect.com/science/article/pii/S0301479799903353" TargetMode="External"/><Relationship Id="rId783" Type="http://schemas.openxmlformats.org/officeDocument/2006/relationships/hyperlink" Target="https://www.researchgate.net/publication/256645443_Grazing_Systems_and_Biodiversity_in_Mediterranean_Areas_Spain_Italy_and_Greece" TargetMode="External"/><Relationship Id="rId839" Type="http://schemas.openxmlformats.org/officeDocument/2006/relationships/hyperlink" Target="https://www.mdpi.com/1999-4907/7/10/237" TargetMode="External"/><Relationship Id="rId173" Type="http://schemas.openxmlformats.org/officeDocument/2006/relationships/hyperlink" Target="http://www.ecologyandsociety.org/vol13/iss2/art2/" TargetMode="External"/><Relationship Id="rId229" Type="http://schemas.openxmlformats.org/officeDocument/2006/relationships/hyperlink" Target="https://www.sciencedirect.com/science/article/pii/S0167880914003284?via%3Dihub" TargetMode="External"/><Relationship Id="rId380" Type="http://schemas.openxmlformats.org/officeDocument/2006/relationships/hyperlink" Target="https://rgs-ibg.onlinelibrary.wiley.com/doi/abs/10.1111/geoj.12245" TargetMode="External"/><Relationship Id="rId436" Type="http://schemas.openxmlformats.org/officeDocument/2006/relationships/hyperlink" Target="https://www.sciencedirect.com/science/article/pii/S016788091100040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43" Type="http://schemas.openxmlformats.org/officeDocument/2006/relationships/hyperlink" Target="https://link.springer.com/article/10.1007/s10342-019-01179-1"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doi.org/10.1016/j.enpol.2019.110882" TargetMode="External"/><Relationship Id="rId850" Type="http://schemas.openxmlformats.org/officeDocument/2006/relationships/hyperlink" Target="https://www.mdpi.com/1999-4907/7/10/237" TargetMode="External"/><Relationship Id="rId892" Type="http://schemas.openxmlformats.org/officeDocument/2006/relationships/hyperlink" Target="https://www.mdpi.com/1999-4907/7/10/237" TargetMode="External"/><Relationship Id="rId906" Type="http://schemas.openxmlformats.org/officeDocument/2006/relationships/hyperlink" Target="https://www.researchgate.net/publication/263580675" TargetMode="External"/><Relationship Id="rId35" Type="http://schemas.openxmlformats.org/officeDocument/2006/relationships/hyperlink" Target="https://doi.org/10.14989/68482" TargetMode="External"/><Relationship Id="rId77" Type="http://schemas.openxmlformats.org/officeDocument/2006/relationships/hyperlink" Target="https://www.tandfonline.com/doi/full/10.1080/08941920.2013.820813" TargetMode="External"/><Relationship Id="rId100"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3" Type="http://schemas.openxmlformats.org/officeDocument/2006/relationships/hyperlink" Target="https://www.sciencedirect.com/science/article/pii/S0301479711004701?via%3Dihub" TargetMode="External"/><Relationship Id="rId545" Type="http://schemas.openxmlformats.org/officeDocument/2006/relationships/hyperlink" Target="https://doi.org/10.5334/ijc.977"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www.ecologyandsociety.org/vol22/iss3/art23/" TargetMode="External"/><Relationship Id="rId752" Type="http://schemas.openxmlformats.org/officeDocument/2006/relationships/hyperlink" Target="https://linkinghub.elsevier.com/retrieve/pii/S0034425717304728"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447" Type="http://schemas.openxmlformats.org/officeDocument/2006/relationships/hyperlink" Target="https://link.springer.com/article/10.1007/s00267-020-01265-w" TargetMode="External"/><Relationship Id="rId612" Type="http://schemas.openxmlformats.org/officeDocument/2006/relationships/hyperlink" Target="https://www.tandfonline.com/doi/abs/10.1080/01426397.2016.1184631?src=recsys&amp;journalCode=clar20" TargetMode="External"/><Relationship Id="rId794" Type="http://schemas.openxmlformats.org/officeDocument/2006/relationships/hyperlink" Target="https://www.researchgate.net/publication/256645443_Grazing_Systems_and_Biodiversity_in_Mediterranean_Areas_Spain_Italy_and_Greece"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54" Type="http://schemas.openxmlformats.org/officeDocument/2006/relationships/hyperlink" Target="http://www2.fire.uni-freiburg.de/sevilla-2007/contributions/doc/cd/SESIONES_TEMATICAS/ST2/Velez_SPAIN_DGB_ExpeEnglish.pdf" TargetMode="External"/><Relationship Id="rId696" Type="http://schemas.openxmlformats.org/officeDocument/2006/relationships/hyperlink" Target="https://lpfw.org/wp-content/uploads/2018/01/2011_Syphard-Keeley-and-Brennan_Role-of-Fule-Breaks.pdf" TargetMode="External"/><Relationship Id="rId861" Type="http://schemas.openxmlformats.org/officeDocument/2006/relationships/hyperlink" Target="https://www.mdpi.com/1999-4907/7/10/237" TargetMode="External"/><Relationship Id="rId46" Type="http://schemas.openxmlformats.org/officeDocument/2006/relationships/hyperlink" Target="https://doi.org/10.14989/68482"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14" Type="http://schemas.openxmlformats.org/officeDocument/2006/relationships/hyperlink" Target="https://www.sciencedirect.com/science/article/pii/S0301479711004701?via%3Dihub" TargetMode="External"/><Relationship Id="rId556" Type="http://schemas.openxmlformats.org/officeDocument/2006/relationships/hyperlink" Target="https://www.mdpi.com/2071-1050/12/3/995" TargetMode="External"/><Relationship Id="rId721" Type="http://schemas.openxmlformats.org/officeDocument/2006/relationships/hyperlink" Target="https://www.sciencedirect.com/science/article/pii/S0301479799903353" TargetMode="External"/><Relationship Id="rId763" Type="http://schemas.openxmlformats.org/officeDocument/2006/relationships/hyperlink" Target="https://www.researchgate.net/publication/256645443_Grazing_Systems_and_Biodiversity_in_Mediterranean_Areas_Spain_Italy_and_Greece" TargetMode="External"/><Relationship Id="rId88" Type="http://schemas.openxmlformats.org/officeDocument/2006/relationships/hyperlink" Target="https://www.tandfonline.com/doi/full/10.1080/08941920.2013.820813" TargetMode="External"/><Relationship Id="rId111" Type="http://schemas.openxmlformats.org/officeDocument/2006/relationships/hyperlink" Target="https://www.sciencedirect.com/science/article/pii/S0921800919305191" TargetMode="External"/><Relationship Id="rId153" Type="http://schemas.openxmlformats.org/officeDocument/2006/relationships/hyperlink" Target="https://link.springer.com/article/10.1007/s10745-009-9240-7"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360" Type="http://schemas.openxmlformats.org/officeDocument/2006/relationships/hyperlink" Target="https://onlinelibrary.wiley.com/doi/abs/10.1111/j.1365-2028.2007.00832.x" TargetMode="External"/><Relationship Id="rId416" Type="http://schemas.openxmlformats.org/officeDocument/2006/relationships/hyperlink" Target="https://pastoralismjournal.springeropen.com/articles/10.1186/2041-7136-1-24" TargetMode="External"/><Relationship Id="rId598" Type="http://schemas.openxmlformats.org/officeDocument/2006/relationships/hyperlink" Target="https://revistaseug.ugr.es/index.php/cuadgeo/article/view/6466" TargetMode="External"/><Relationship Id="rId819" Type="http://schemas.openxmlformats.org/officeDocument/2006/relationships/hyperlink" Target="https://www.researchgate.net/publication/311487251"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23" Type="http://schemas.openxmlformats.org/officeDocument/2006/relationships/hyperlink" Target="https://doi.org/10.1080/08941929709381043"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830" Type="http://schemas.openxmlformats.org/officeDocument/2006/relationships/hyperlink" Target="https://www.researchgate.net/publication/311487251" TargetMode="External"/><Relationship Id="rId872" Type="http://schemas.openxmlformats.org/officeDocument/2006/relationships/hyperlink" Target="https://www.mdpi.com/1999-4907/7/10/237"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567" Type="http://schemas.openxmlformats.org/officeDocument/2006/relationships/hyperlink" Target="https://ideas.repec.org/a/ags/afjare/258607.html" TargetMode="External"/><Relationship Id="rId732" Type="http://schemas.openxmlformats.org/officeDocument/2006/relationships/hyperlink" Target="https://www.sciencedirect.com/science/article/pii/S0301479799903353"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774" Type="http://schemas.openxmlformats.org/officeDocument/2006/relationships/hyperlink" Target="https://www.researchgate.net/publication/256645443_Grazing_Systems_and_Biodiversity_in_Mediterranean_Areas_Spain_Italy_and_Greece" TargetMode="External"/><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16/j.enpol.2019.110882" TargetMode="External"/><Relationship Id="rId841" Type="http://schemas.openxmlformats.org/officeDocument/2006/relationships/hyperlink" Target="https://www.mdpi.com/1999-4907/7/10/237" TargetMode="External"/><Relationship Id="rId883" Type="http://schemas.openxmlformats.org/officeDocument/2006/relationships/hyperlink" Target="https://www.mdpi.com/1999-4907/7/10/237"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701" Type="http://schemas.openxmlformats.org/officeDocument/2006/relationships/hyperlink" Target="https://www.ecologyandsociety.org/vol22/iss3/art23/"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43" Type="http://schemas.openxmlformats.org/officeDocument/2006/relationships/hyperlink" Target="https://www.sciencedirect.com/science/article/pii/S0301479799903353" TargetMode="External"/><Relationship Id="rId785" Type="http://schemas.openxmlformats.org/officeDocument/2006/relationships/hyperlink" Target="https://www.researchgate.net/publication/256645443_Grazing_Systems_and_Biodiversity_in_Mediterranean_Areas_Spain_Italy_and_Greece"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s://doi.org/10.1016/j.landusepol.2015.05.004"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www.mdpi.com/1999-4907/7/10/237" TargetMode="External"/><Relationship Id="rId908" Type="http://schemas.openxmlformats.org/officeDocument/2006/relationships/printerSettings" Target="../printerSettings/printerSettings1.bin"/><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doi.org/10.3390/f9040159" TargetMode="External"/><Relationship Id="rId894" Type="http://schemas.openxmlformats.org/officeDocument/2006/relationships/hyperlink" Target="https://www.mdpi.com/1999-4907/7/10/237"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www.pnas.org/content/pnas/103/39/14637.full.pdf" TargetMode="External"/><Relationship Id="rId796" Type="http://schemas.openxmlformats.org/officeDocument/2006/relationships/hyperlink" Target="https://www.researchgate.net/publication/256645443_Grazing_Systems_and_Biodiversity_in_Mediterranean_Areas_Spain_Italy_and_Greece"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www2.fire.uni-freiburg.de/sevilla-2007/contributions/doc/cd/SESIONES_TEMATICAS/ST2/Velez_SPAIN_DGB_ExpeEnglish.pdf"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www.mdpi.com/1999-4907/7/10/237"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doi.org/10.1016/j.foreco.2011.02.0"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researchgate.net/publication/311487251"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874" Type="http://schemas.openxmlformats.org/officeDocument/2006/relationships/hyperlink" Target="https://www.mdpi.com/1999-4907/7/10/237"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256645443_Grazing_Systems_and_Biodiversity_in_Mediterranean_Areas_Spain_Italy_and_Greece"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07/s11625-018-0592-z" TargetMode="External"/><Relationship Id="rId843" Type="http://schemas.openxmlformats.org/officeDocument/2006/relationships/hyperlink" Target="https://www.mdpi.com/1999-4907/7/10/237" TargetMode="External"/><Relationship Id="rId885" Type="http://schemas.openxmlformats.org/officeDocument/2006/relationships/hyperlink" Target="https://www.mdpi.com/1999-4907/7/10/237"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www.witpress.com/elibrary/wit-transactions-on-ecology-and-the-environment/137/21150"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s://doi.org/10.1007/s11625-018-0592-z" TargetMode="External"/><Relationship Id="rId854" Type="http://schemas.openxmlformats.org/officeDocument/2006/relationships/hyperlink" Target="https://www.mdpi.com/1999-4907/7/10/237" TargetMode="External"/><Relationship Id="rId896" Type="http://schemas.openxmlformats.org/officeDocument/2006/relationships/hyperlink" Target="https://www.mdpi.com/1999-4907/7/10/237"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doi.org/10.1007/s10342-019-01247-6" TargetMode="External"/><Relationship Id="rId756" Type="http://schemas.openxmlformats.org/officeDocument/2006/relationships/hyperlink" Target="http://dx.doi.org/10.1071/RJ12095"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256645443_Grazing_Systems_and_Biodiversity_in_Mediterranean_Areas_Spain_Italy_and_Greece"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mdpi.com/1999-4907/7/10/237"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767" Type="http://schemas.openxmlformats.org/officeDocument/2006/relationships/hyperlink" Target="https://www.researchgate.net/publication/256645443_Grazing_Systems_and_Biodiversity_in_Mediterranean_Areas_Spain_Italy_and_Greece"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researchgate.net/publication/311487251" TargetMode="External"/><Relationship Id="rId876" Type="http://schemas.openxmlformats.org/officeDocument/2006/relationships/hyperlink" Target="https://www.mdpi.com/1999-4907/7/10/237"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fcr.2015.10.007"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mdpi.com/1999-4907/7/10/237"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78" Type="http://schemas.openxmlformats.org/officeDocument/2006/relationships/hyperlink" Target="https://www.researchgate.net/publication/256645443_Grazing_Systems_and_Biodiversity_in_Mediterranean_Areas_Spain_Italy_and_Greece"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mdpi.com/1999-4907/7/10/237"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887" Type="http://schemas.openxmlformats.org/officeDocument/2006/relationships/hyperlink" Target="https://www.mdpi.com/1999-4907/7/10/237"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s://www.mdpi.com/1999-4907/8/11/422" TargetMode="External"/><Relationship Id="rId747" Type="http://schemas.openxmlformats.org/officeDocument/2006/relationships/hyperlink" Target="https://www.witpress.com/elibrary/wit-transactions-on-ecology-and-the-environment/137/21150" TargetMode="External"/><Relationship Id="rId789" Type="http://schemas.openxmlformats.org/officeDocument/2006/relationships/hyperlink" Target="https://www.researchgate.net/publication/256645443_Grazing_Systems_and_Biodiversity_in_Mediterranean_Areas_Spain_Italy_and_Greece"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mdpi.com/1999-4907/7/10/237"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www.mdpi.com/1999-4907/7/10/237"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link.springer.com/article/10.1186/s42408-019-0041-0" TargetMode="External"/><Relationship Id="rId758" Type="http://schemas.openxmlformats.org/officeDocument/2006/relationships/hyperlink" Target="http://www.tropicalgrasslands.info/public/journals/4/Historic/Tropical%20Grasslands%20Journal%20archive/PDFs/Vol_31_1997/Vol_31_03_97_pp161_187.pdf"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 Id="rId825" Type="http://schemas.openxmlformats.org/officeDocument/2006/relationships/hyperlink" Target="https://www.researchgate.net/publication/311487251"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https://pastoralismjournal.springeropen.com/articles/10.1186/2041-7136-1-24" TargetMode="External"/><Relationship Id="rId464" Type="http://schemas.openxmlformats.org/officeDocument/2006/relationships/hyperlink" Target="https://besjournals.onlinelibrary.wiley.com/doi/pdf/10.1046/j.1365-2664.2001.00567.x" TargetMode="External"/><Relationship Id="rId867" Type="http://schemas.openxmlformats.org/officeDocument/2006/relationships/hyperlink" Target="https://www.mdpi.com/1999-4907/7/10/237"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s://www.jstor.org/stable/1478888"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www.mdpi.com/1999-4907/7/10/237" TargetMode="External"/><Relationship Id="rId640" Type="http://schemas.openxmlformats.org/officeDocument/2006/relationships/hyperlink" Target="https://www.sciencedirect.com/science/article/pii/S0301479713002648" TargetMode="External"/><Relationship Id="rId738" Type="http://schemas.openxmlformats.org/officeDocument/2006/relationships/hyperlink" Target="https://www.sciencedirect.com/science/article/pii/S0301479799903353"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onlinelibrary.wiley.com/doi/abs/10.1111/sjtg.12259" TargetMode="External"/><Relationship Id="rId805" Type="http://schemas.openxmlformats.org/officeDocument/2006/relationships/hyperlink" Target="https://www.researchgate.net/publication/311487251"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mdpi.com/1999-4907/7/10/237"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s://www.witpress.com/elibrary/wit-transactions-on-ecology-and-the-environment/137/21150"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journals.uair.arizona.edu/index.php/JPE/article/view/22045"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doi.org/10.1016/j.agsy.2010.09.005"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522" Type="http://schemas.openxmlformats.org/officeDocument/2006/relationships/hyperlink" Target="https://www.sciencedirect.com/science/article/pii/S0301479711004701?via%3Dihub"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enpol.2019.110882" TargetMode="External"/><Relationship Id="rId880" Type="http://schemas.openxmlformats.org/officeDocument/2006/relationships/hyperlink" Target="https://www.mdpi.com/1999-4907/7/10/237"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740" Type="http://schemas.openxmlformats.org/officeDocument/2006/relationships/hyperlink" Target="https://www.sciencedirect.com/science/article/pii/S0301479799903353" TargetMode="External"/><Relationship Id="rId838" Type="http://schemas.openxmlformats.org/officeDocument/2006/relationships/hyperlink" Target="https://www.mdpi.com/1999-4907/7/10/237"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84" Type="http://schemas.openxmlformats.org/officeDocument/2006/relationships/hyperlink" Target="https://doi.org/10.1016/j.enpol.2019.110882"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www.mdpi.com/1999-4907/7/10/237" TargetMode="External"/><Relationship Id="rId905" Type="http://schemas.openxmlformats.org/officeDocument/2006/relationships/hyperlink" Target="https://www.mdpi.com/1999-4907/7/10/237" TargetMode="External"/><Relationship Id="rId34" Type="http://schemas.openxmlformats.org/officeDocument/2006/relationships/hyperlink" Target="https://doi.org/10.14989/68482" TargetMode="External"/><Relationship Id="rId544" Type="http://schemas.openxmlformats.org/officeDocument/2006/relationships/hyperlink" Target="https://onlinelibrary.wiley.com/doi/abs/10.1111/sjtg.12319" TargetMode="External"/><Relationship Id="rId751"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849" Type="http://schemas.openxmlformats.org/officeDocument/2006/relationships/hyperlink" Target="https://www.mdpi.com/1999-4907/7/10/237"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611" Type="http://schemas.openxmlformats.org/officeDocument/2006/relationships/hyperlink" Target="http://dx.doi.org/10.1016/j.forpol.2017.01.001"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doi.org/10.1016/j.foreco.2011.02.0" TargetMode="External"/><Relationship Id="rId709" Type="http://schemas.openxmlformats.org/officeDocument/2006/relationships/hyperlink" Target="https://www.ecologyandsociety.org/vol22/iss3/art23/"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55" Type="http://schemas.openxmlformats.org/officeDocument/2006/relationships/hyperlink" Target="https://doi.org/10.1016/j.foreco.2019.117517"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622" Type="http://schemas.openxmlformats.org/officeDocument/2006/relationships/hyperlink" Target="https://doi.org/10.1080/08941929709381043"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link.springer.com/article/10.1007/s10745-007-9156-z"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219"/>
  <sheetViews>
    <sheetView tabSelected="1" zoomScale="55" zoomScaleNormal="55" workbookViewId="0">
      <pane ySplit="1" topLeftCell="A1003" activePane="bottomLeft" state="frozen"/>
      <selection activeCell="I1" sqref="I1"/>
      <selection pane="bottomLeft" activeCell="B1001" sqref="B1001"/>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5186</v>
      </c>
      <c r="Q1" s="68" t="s">
        <v>0</v>
      </c>
    </row>
    <row r="2" spans="1:21">
      <c r="A2" s="70">
        <v>1</v>
      </c>
      <c r="B2" s="7" t="s">
        <v>11</v>
      </c>
      <c r="C2" s="5" t="s">
        <v>15</v>
      </c>
      <c r="D2" s="5" t="s">
        <v>2398</v>
      </c>
      <c r="E2" s="42" t="s">
        <v>2399</v>
      </c>
      <c r="F2" s="5" t="s">
        <v>57</v>
      </c>
      <c r="G2" s="78" t="s">
        <v>2276</v>
      </c>
      <c r="H2" s="5" t="s">
        <v>58</v>
      </c>
      <c r="I2" s="25">
        <v>-20.100000000000001</v>
      </c>
      <c r="J2" s="25">
        <v>46.89</v>
      </c>
      <c r="K2" s="25">
        <v>18</v>
      </c>
      <c r="L2" s="5">
        <v>1998</v>
      </c>
      <c r="M2" s="5">
        <v>1998</v>
      </c>
      <c r="N2" s="5">
        <v>97</v>
      </c>
      <c r="O2" s="5" t="s">
        <v>67</v>
      </c>
      <c r="P2" s="5" t="s">
        <v>5187</v>
      </c>
      <c r="Q2" s="5"/>
    </row>
    <row r="3" spans="1:2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5187</v>
      </c>
      <c r="Q3" s="3"/>
    </row>
    <row r="4" spans="1:2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5187</v>
      </c>
      <c r="Q4" s="3"/>
    </row>
    <row r="5" spans="1:2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5187</v>
      </c>
      <c r="Q5" s="3"/>
    </row>
    <row r="6" spans="1:2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5187</v>
      </c>
      <c r="Q6" s="3"/>
    </row>
    <row r="7" spans="1:21" ht="16.5" customHeight="1">
      <c r="A7" s="96">
        <v>1</v>
      </c>
      <c r="B7" s="97" t="s">
        <v>11</v>
      </c>
      <c r="C7" s="98" t="s">
        <v>71</v>
      </c>
      <c r="D7" s="78" t="s">
        <v>2398</v>
      </c>
      <c r="E7" s="101" t="s">
        <v>2399</v>
      </c>
      <c r="F7" s="79" t="s">
        <v>79</v>
      </c>
      <c r="G7" s="79" t="s">
        <v>2276</v>
      </c>
      <c r="H7" s="98" t="s">
        <v>72</v>
      </c>
      <c r="I7" s="99" t="s">
        <v>2</v>
      </c>
      <c r="J7" s="99" t="s">
        <v>2</v>
      </c>
      <c r="K7" s="99" t="s">
        <v>2276</v>
      </c>
      <c r="L7" s="98">
        <v>1998</v>
      </c>
      <c r="M7" s="98">
        <v>1998</v>
      </c>
      <c r="N7" s="98" t="s">
        <v>2276</v>
      </c>
      <c r="O7" s="98" t="s">
        <v>67</v>
      </c>
      <c r="P7" s="5" t="s">
        <v>5187</v>
      </c>
      <c r="Q7" s="98"/>
      <c r="U7" s="14"/>
    </row>
    <row r="8" spans="1:2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5187</v>
      </c>
      <c r="Q8" s="3" t="s">
        <v>2262</v>
      </c>
      <c r="U8" s="14"/>
    </row>
    <row r="9" spans="1:2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5187</v>
      </c>
      <c r="Q9" s="3"/>
      <c r="U9" s="14"/>
    </row>
    <row r="10" spans="1:2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5187</v>
      </c>
      <c r="Q10" s="3"/>
      <c r="U10" s="14"/>
    </row>
    <row r="11" spans="1:2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5187</v>
      </c>
      <c r="Q11" s="3"/>
      <c r="U11" s="14"/>
    </row>
    <row r="12" spans="1:2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5187</v>
      </c>
      <c r="Q12" s="3"/>
      <c r="U12" s="14"/>
    </row>
    <row r="13" spans="1:2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5187</v>
      </c>
      <c r="Q13" s="3"/>
      <c r="U13" s="14"/>
    </row>
    <row r="14" spans="1:2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5187</v>
      </c>
      <c r="Q14" s="3"/>
      <c r="U14" s="14"/>
    </row>
    <row r="15" spans="1:2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5187</v>
      </c>
      <c r="Q15" s="3"/>
      <c r="U15" s="14"/>
    </row>
    <row r="16" spans="1:2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5187</v>
      </c>
      <c r="Q16" s="3"/>
      <c r="U16" s="14"/>
    </row>
    <row r="17" spans="1:2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5187</v>
      </c>
      <c r="Q17" s="3"/>
      <c r="U17" s="14"/>
    </row>
    <row r="18" spans="1:2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5187</v>
      </c>
      <c r="Q18" s="3"/>
      <c r="U18" s="14"/>
    </row>
    <row r="19" spans="1:2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5187</v>
      </c>
      <c r="Q19" s="3"/>
      <c r="U19" s="14"/>
    </row>
    <row r="20" spans="1:2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5187</v>
      </c>
      <c r="Q20" s="3"/>
      <c r="U20" s="14"/>
    </row>
    <row r="21" spans="1:2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5187</v>
      </c>
      <c r="Q21" s="3"/>
      <c r="U21" s="14"/>
    </row>
    <row r="22" spans="1:2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5187</v>
      </c>
      <c r="Q22" s="3"/>
      <c r="U22" s="14"/>
    </row>
    <row r="23" spans="1:2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5187</v>
      </c>
      <c r="Q23" s="3"/>
      <c r="U23" s="14"/>
    </row>
    <row r="24" spans="1:2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5187</v>
      </c>
      <c r="Q24" s="3"/>
      <c r="U24" s="14"/>
    </row>
    <row r="25" spans="1:2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5187</v>
      </c>
      <c r="Q25" s="3"/>
      <c r="U25" s="14"/>
    </row>
    <row r="26" spans="1:2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5187</v>
      </c>
      <c r="Q26" s="3"/>
      <c r="U26" s="14"/>
    </row>
    <row r="27" spans="1:2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5187</v>
      </c>
      <c r="Q27" s="3"/>
      <c r="U27" s="14"/>
    </row>
    <row r="28" spans="1:2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5187</v>
      </c>
      <c r="Q28" s="3"/>
      <c r="U28" s="14"/>
    </row>
    <row r="29" spans="1:2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5187</v>
      </c>
      <c r="Q29" s="3"/>
      <c r="U29" s="14"/>
    </row>
    <row r="30" spans="1:2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5187</v>
      </c>
      <c r="Q30" s="3"/>
      <c r="U30" s="14"/>
    </row>
    <row r="31" spans="1:2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5187</v>
      </c>
      <c r="Q31" s="3"/>
      <c r="U31" s="14"/>
    </row>
    <row r="32" spans="1:2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5187</v>
      </c>
      <c r="Q32" s="3"/>
      <c r="U32" s="14"/>
    </row>
    <row r="33" spans="1:2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5187</v>
      </c>
      <c r="Q33" s="3"/>
      <c r="U33" s="14"/>
    </row>
    <row r="34" spans="1:2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5187</v>
      </c>
      <c r="Q34" s="3"/>
      <c r="U34" s="14"/>
    </row>
    <row r="35" spans="1:2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5187</v>
      </c>
      <c r="Q35" s="3"/>
      <c r="U35" s="14"/>
    </row>
    <row r="36" spans="1:2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5187</v>
      </c>
      <c r="Q36" s="3"/>
      <c r="U36" s="14"/>
    </row>
    <row r="37" spans="1:2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5187</v>
      </c>
      <c r="Q37" s="3"/>
      <c r="U37" s="14"/>
    </row>
    <row r="38" spans="1:2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5187</v>
      </c>
      <c r="Q38" s="3"/>
      <c r="U38" s="14"/>
    </row>
    <row r="39" spans="1:2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5187</v>
      </c>
      <c r="Q39" s="3" t="s">
        <v>2262</v>
      </c>
      <c r="U39" s="14"/>
    </row>
    <row r="40" spans="1:2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5187</v>
      </c>
      <c r="Q40" s="3"/>
      <c r="U40" s="14"/>
    </row>
    <row r="41" spans="1:2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5187</v>
      </c>
      <c r="Q41" s="3"/>
      <c r="U41" s="14"/>
    </row>
    <row r="42" spans="1:2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5187</v>
      </c>
      <c r="Q42" s="3"/>
      <c r="U42" s="14"/>
    </row>
    <row r="43" spans="1:2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5187</v>
      </c>
      <c r="Q43" s="3"/>
      <c r="U43" s="14"/>
    </row>
    <row r="44" spans="1:2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5187</v>
      </c>
      <c r="Q44" s="3"/>
      <c r="U44" s="14"/>
    </row>
    <row r="45" spans="1:2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5187</v>
      </c>
      <c r="Q45" s="3"/>
      <c r="U45" s="14"/>
    </row>
    <row r="46" spans="1:2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5187</v>
      </c>
      <c r="Q46" s="3"/>
      <c r="U46" s="14"/>
    </row>
    <row r="47" spans="1:2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5187</v>
      </c>
      <c r="Q47" s="3"/>
      <c r="U47" s="14"/>
    </row>
    <row r="48" spans="1:2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5187</v>
      </c>
      <c r="Q48" s="3"/>
      <c r="U48" s="14"/>
    </row>
    <row r="49" spans="1:2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5187</v>
      </c>
      <c r="Q49" s="3"/>
      <c r="U49" s="14"/>
    </row>
    <row r="50" spans="1:2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5187</v>
      </c>
      <c r="Q50" s="3"/>
      <c r="U50" s="14"/>
    </row>
    <row r="51" spans="1:2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5187</v>
      </c>
      <c r="Q51" s="3"/>
      <c r="U51" s="14"/>
    </row>
    <row r="52" spans="1:2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5187</v>
      </c>
      <c r="Q52" s="3"/>
      <c r="U52" s="14"/>
    </row>
    <row r="53" spans="1:2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5187</v>
      </c>
      <c r="Q53" s="3"/>
      <c r="U53" s="14"/>
    </row>
    <row r="54" spans="1:2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5187</v>
      </c>
      <c r="Q54" s="3"/>
      <c r="U54" s="14"/>
    </row>
    <row r="55" spans="1:2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5187</v>
      </c>
      <c r="Q55" s="3"/>
      <c r="U55" s="14"/>
    </row>
    <row r="56" spans="1:2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5187</v>
      </c>
      <c r="Q56" s="3"/>
      <c r="U56" s="14"/>
    </row>
    <row r="57" spans="1:2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5187</v>
      </c>
      <c r="Q57" s="3"/>
      <c r="U57" s="14"/>
    </row>
    <row r="58" spans="1:2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5187</v>
      </c>
      <c r="Q58" s="3"/>
      <c r="U58" s="14"/>
    </row>
    <row r="59" spans="1:2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5187</v>
      </c>
      <c r="Q59" s="3"/>
      <c r="U59" s="14"/>
    </row>
    <row r="60" spans="1:2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5187</v>
      </c>
      <c r="Q60" s="3"/>
      <c r="U60" s="14"/>
    </row>
    <row r="61" spans="1:2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5187</v>
      </c>
      <c r="Q61" s="3"/>
      <c r="U61" s="14"/>
    </row>
    <row r="62" spans="1:2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5187</v>
      </c>
      <c r="Q62" s="3"/>
      <c r="U62" s="14"/>
    </row>
    <row r="63" spans="1:2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5187</v>
      </c>
      <c r="Q63" s="3"/>
      <c r="U63" s="14"/>
    </row>
    <row r="64" spans="1:2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5187</v>
      </c>
      <c r="Q64" s="3"/>
      <c r="U64" s="14"/>
    </row>
    <row r="65" spans="1:2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5187</v>
      </c>
      <c r="Q65" s="3"/>
      <c r="U65" s="14"/>
    </row>
    <row r="66" spans="1:2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5187</v>
      </c>
      <c r="Q66" s="3"/>
      <c r="U66" s="14"/>
    </row>
    <row r="67" spans="1:2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5187</v>
      </c>
      <c r="Q67" s="3"/>
      <c r="U67" s="14"/>
    </row>
    <row r="68" spans="1:2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5187</v>
      </c>
      <c r="Q68" s="3"/>
      <c r="U68" s="14"/>
    </row>
    <row r="69" spans="1:2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5187</v>
      </c>
      <c r="Q69" s="3"/>
      <c r="U69" s="14"/>
    </row>
    <row r="70" spans="1:2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5187</v>
      </c>
      <c r="Q70" s="3"/>
      <c r="U70" s="14"/>
    </row>
    <row r="71" spans="1:2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5187</v>
      </c>
      <c r="Q71" s="3"/>
      <c r="U71" s="14"/>
    </row>
    <row r="72" spans="1:2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5187</v>
      </c>
      <c r="Q72" s="3"/>
      <c r="U72" s="14"/>
    </row>
    <row r="73" spans="1:2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5187</v>
      </c>
      <c r="Q73" s="4"/>
      <c r="U73" s="14"/>
    </row>
    <row r="74" spans="1:2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5187</v>
      </c>
      <c r="Q74" s="4"/>
      <c r="U74" s="14"/>
    </row>
    <row r="75" spans="1:2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5187</v>
      </c>
      <c r="Q75" s="4"/>
      <c r="U75" s="14"/>
    </row>
    <row r="76" spans="1:2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5187</v>
      </c>
      <c r="Q76" s="4"/>
      <c r="U76" s="14"/>
    </row>
    <row r="77" spans="1:2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5187</v>
      </c>
      <c r="Q77" s="4"/>
      <c r="U77" s="14"/>
    </row>
    <row r="78" spans="1:2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5187</v>
      </c>
      <c r="Q78" s="4"/>
      <c r="U78" s="14"/>
    </row>
    <row r="79" spans="1:2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5187</v>
      </c>
      <c r="Q79" s="4"/>
      <c r="U79" s="14"/>
    </row>
    <row r="80" spans="1:2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5187</v>
      </c>
      <c r="Q80" s="3"/>
      <c r="U80" s="14"/>
    </row>
    <row r="81" spans="1:2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5187</v>
      </c>
      <c r="Q81" s="3"/>
      <c r="U81" s="14"/>
    </row>
    <row r="82" spans="1:2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5187</v>
      </c>
      <c r="Q82" s="3"/>
      <c r="U82" s="14"/>
    </row>
    <row r="83" spans="1:2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5187</v>
      </c>
      <c r="Q83" s="3"/>
      <c r="U83" s="14"/>
    </row>
    <row r="84" spans="1:2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5187</v>
      </c>
      <c r="Q84" s="3"/>
      <c r="U84" s="14"/>
    </row>
    <row r="85" spans="1:21" ht="38"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5187</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5187</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5187</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5187</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5187</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5187</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5187</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5187</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5187</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5187</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5187</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5187</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5187</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5187</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5187</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5187</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5187</v>
      </c>
      <c r="Q101" s="3" t="s">
        <v>1383</v>
      </c>
    </row>
    <row r="102" spans="1:21" ht="48" customHeight="1">
      <c r="A102" s="31">
        <v>10</v>
      </c>
      <c r="B102" s="57" t="s">
        <v>2297</v>
      </c>
      <c r="C102" s="11" t="s">
        <v>145</v>
      </c>
      <c r="D102" s="31" t="s">
        <v>2398</v>
      </c>
      <c r="E102" s="28" t="s">
        <v>2399</v>
      </c>
      <c r="F102" s="30" t="s">
        <v>2298</v>
      </c>
      <c r="G102" s="30" t="s">
        <v>2299</v>
      </c>
      <c r="H102" s="43" t="s">
        <v>895</v>
      </c>
      <c r="I102" s="74">
        <v>-0.25</v>
      </c>
      <c r="J102" s="74">
        <v>116.5</v>
      </c>
      <c r="K102" s="74" t="s">
        <v>2276</v>
      </c>
      <c r="L102" s="94">
        <v>2001</v>
      </c>
      <c r="M102" s="94">
        <v>2001</v>
      </c>
      <c r="N102" s="74" t="s">
        <v>2276</v>
      </c>
      <c r="O102" s="3" t="s">
        <v>67</v>
      </c>
      <c r="P102" s="5" t="s">
        <v>5187</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5187</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5187</v>
      </c>
      <c r="Q104" s="4" t="s">
        <v>1388</v>
      </c>
    </row>
    <row r="105" spans="1:21" ht="31" customHeight="1">
      <c r="A105" s="31">
        <v>12</v>
      </c>
      <c r="B105" s="40" t="s">
        <v>164</v>
      </c>
      <c r="C105" s="3" t="s">
        <v>163</v>
      </c>
      <c r="D105" s="31" t="s">
        <v>2398</v>
      </c>
      <c r="E105" s="29" t="s">
        <v>2406</v>
      </c>
      <c r="F105" s="29" t="s">
        <v>2276</v>
      </c>
      <c r="G105" s="29" t="s">
        <v>166</v>
      </c>
      <c r="H105" s="28" t="s">
        <v>121</v>
      </c>
      <c r="I105" s="21" t="s">
        <v>2</v>
      </c>
      <c r="J105" s="21" t="s">
        <v>2</v>
      </c>
      <c r="K105" s="21">
        <v>1200000</v>
      </c>
      <c r="L105" s="3">
        <v>2002</v>
      </c>
      <c r="M105" s="3">
        <v>2012</v>
      </c>
      <c r="N105" s="3" t="s">
        <v>2276</v>
      </c>
      <c r="O105" s="3" t="s">
        <v>149</v>
      </c>
      <c r="P105" s="5" t="s">
        <v>5187</v>
      </c>
      <c r="Q105" s="3"/>
    </row>
    <row r="106" spans="1:2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5187</v>
      </c>
      <c r="Q106" s="3"/>
    </row>
    <row r="107" spans="1:2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5187</v>
      </c>
      <c r="Q107" s="3"/>
    </row>
    <row r="108" spans="1:2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5187</v>
      </c>
      <c r="Q108" s="3"/>
    </row>
    <row r="109" spans="1:2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5187</v>
      </c>
      <c r="Q109" s="3"/>
    </row>
    <row r="110" spans="1:21" ht="40"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5187</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5187</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5187</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5187</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5187</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5187</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5187</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5187</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5187</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5187</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5187</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5187</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5187</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5187</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5187</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5187</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5187</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5187</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5">
        <v>1990</v>
      </c>
      <c r="M128" s="95">
        <v>1990</v>
      </c>
      <c r="N128" s="3" t="s">
        <v>2276</v>
      </c>
      <c r="O128" s="3" t="s">
        <v>183</v>
      </c>
      <c r="P128" s="5" t="s">
        <v>5187</v>
      </c>
      <c r="Q128" s="3"/>
    </row>
    <row r="129" spans="1:17" ht="32" customHeight="1">
      <c r="A129" s="31">
        <v>23</v>
      </c>
      <c r="B129" s="57" t="s">
        <v>2307</v>
      </c>
      <c r="C129" s="11" t="s">
        <v>509</v>
      </c>
      <c r="D129" s="31" t="s">
        <v>2398</v>
      </c>
      <c r="E129" s="43" t="s">
        <v>2400</v>
      </c>
      <c r="F129" s="30" t="s">
        <v>2298</v>
      </c>
      <c r="G129" s="30" t="s">
        <v>2299</v>
      </c>
      <c r="H129" s="43" t="s">
        <v>895</v>
      </c>
      <c r="I129" s="74">
        <v>-0.25</v>
      </c>
      <c r="J129" s="74">
        <v>116.5</v>
      </c>
      <c r="K129" s="74">
        <f>226342/100</f>
        <v>2263.42</v>
      </c>
      <c r="L129" s="94">
        <v>1987</v>
      </c>
      <c r="M129" s="94">
        <v>1992</v>
      </c>
      <c r="N129" s="74" t="s">
        <v>2276</v>
      </c>
      <c r="O129" s="74" t="s">
        <v>67</v>
      </c>
      <c r="P129" s="5" t="s">
        <v>5187</v>
      </c>
      <c r="Q129" s="11"/>
    </row>
    <row r="130" spans="1:17" ht="32" customHeight="1">
      <c r="A130" s="31">
        <v>23</v>
      </c>
      <c r="B130" s="57" t="s">
        <v>2307</v>
      </c>
      <c r="C130" s="11" t="s">
        <v>2315</v>
      </c>
      <c r="D130" s="31" t="s">
        <v>2398</v>
      </c>
      <c r="E130" s="43" t="s">
        <v>2400</v>
      </c>
      <c r="F130" s="30" t="s">
        <v>2298</v>
      </c>
      <c r="G130" s="30" t="s">
        <v>2299</v>
      </c>
      <c r="H130" s="43" t="s">
        <v>895</v>
      </c>
      <c r="I130" s="74">
        <v>-0.25</v>
      </c>
      <c r="J130" s="74">
        <v>116.5</v>
      </c>
      <c r="K130" s="74">
        <f t="shared" ref="K130:K131" si="0">226342/100</f>
        <v>2263.42</v>
      </c>
      <c r="L130" s="94">
        <v>1992</v>
      </c>
      <c r="M130" s="94">
        <v>1997</v>
      </c>
      <c r="N130" s="74" t="s">
        <v>2276</v>
      </c>
      <c r="O130" s="74" t="s">
        <v>67</v>
      </c>
      <c r="P130" s="5" t="s">
        <v>5187</v>
      </c>
      <c r="Q130" s="11"/>
    </row>
    <row r="131" spans="1:17" ht="32" customHeight="1">
      <c r="A131" s="31">
        <v>23</v>
      </c>
      <c r="B131" s="57" t="s">
        <v>2307</v>
      </c>
      <c r="C131" s="11" t="s">
        <v>2316</v>
      </c>
      <c r="D131" s="31" t="s">
        <v>2398</v>
      </c>
      <c r="E131" s="43" t="s">
        <v>2400</v>
      </c>
      <c r="F131" s="30" t="s">
        <v>2298</v>
      </c>
      <c r="G131" s="30" t="s">
        <v>2299</v>
      </c>
      <c r="H131" s="43" t="s">
        <v>895</v>
      </c>
      <c r="I131" s="74">
        <v>-0.25</v>
      </c>
      <c r="J131" s="74">
        <v>116.5</v>
      </c>
      <c r="K131" s="74">
        <f t="shared" si="0"/>
        <v>2263.42</v>
      </c>
      <c r="L131" s="94">
        <v>1997</v>
      </c>
      <c r="M131" s="94">
        <v>2000</v>
      </c>
      <c r="N131" s="74" t="s">
        <v>2276</v>
      </c>
      <c r="O131" s="74" t="s">
        <v>67</v>
      </c>
      <c r="P131" s="5" t="s">
        <v>5187</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5">
        <v>2003</v>
      </c>
      <c r="M132" s="95">
        <v>2004</v>
      </c>
      <c r="N132" s="3" t="s">
        <v>2276</v>
      </c>
      <c r="O132" s="3" t="s">
        <v>67</v>
      </c>
      <c r="P132" s="5" t="s">
        <v>5187</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5">
        <v>2013</v>
      </c>
      <c r="M133" s="95">
        <v>2013</v>
      </c>
      <c r="N133" s="3">
        <v>75</v>
      </c>
      <c r="O133" s="3" t="s">
        <v>67</v>
      </c>
      <c r="P133" s="5" t="s">
        <v>5187</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5187</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5187</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5187</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5187</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5187</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5187</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5187</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5187</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5187</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5187</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5187</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5187</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5187</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5187</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5187</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5187</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5187</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5187</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5187</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5187</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5187</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5187</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5187</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5187</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5187</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5187</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5187</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5187</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5187</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5187</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5187</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5187</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5187</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5187</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5187</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5187</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5187</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5187</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5187</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5187</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5187</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5187</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5187</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5187</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5187</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5187</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5187</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5187</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5187</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5187</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5187</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5187</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5187</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5187</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5187</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5187</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5187</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5187</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5187</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5187</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5187</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5187</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5187</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5187</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5187</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5187</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5187</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5187</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5187</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5187</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5187</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5187</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5187</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5187</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5187</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5187</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5187</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5187</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5187</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5187</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5187</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5187</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5187</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5187</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5187</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5187</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5187</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5187</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5187</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5187</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5187</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5187</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5187</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5187</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5187</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5187</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5187</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5187</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5187</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5187</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5187</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5187</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5187</v>
      </c>
      <c r="Q236" s="3"/>
    </row>
    <row r="237" spans="1:17" ht="34.5" customHeight="1">
      <c r="A237" s="154">
        <v>31</v>
      </c>
      <c r="B237" s="155" t="s">
        <v>3221</v>
      </c>
      <c r="C237" s="22" t="s">
        <v>602</v>
      </c>
      <c r="D237" s="22" t="s">
        <v>2398</v>
      </c>
      <c r="E237" s="3" t="s">
        <v>2399</v>
      </c>
      <c r="F237" s="22" t="s">
        <v>2276</v>
      </c>
      <c r="G237" s="22" t="s">
        <v>2276</v>
      </c>
      <c r="H237" s="28" t="s">
        <v>580</v>
      </c>
      <c r="I237" s="77">
        <v>7.5</v>
      </c>
      <c r="J237" s="77">
        <v>81</v>
      </c>
      <c r="K237" s="77" t="s">
        <v>2276</v>
      </c>
      <c r="L237" s="8">
        <v>1990</v>
      </c>
      <c r="M237" s="8">
        <v>1990</v>
      </c>
      <c r="N237" s="22" t="s">
        <v>2276</v>
      </c>
      <c r="O237" s="22" t="s">
        <v>2</v>
      </c>
      <c r="P237" s="5" t="s">
        <v>5187</v>
      </c>
      <c r="Q237" s="24" t="s">
        <v>3220</v>
      </c>
    </row>
    <row r="238" spans="1:17" ht="30" customHeight="1">
      <c r="A238" s="154">
        <v>32</v>
      </c>
      <c r="B238" s="158" t="s">
        <v>3222</v>
      </c>
      <c r="C238" s="22" t="s">
        <v>622</v>
      </c>
      <c r="D238" s="22" t="s">
        <v>2398</v>
      </c>
      <c r="E238" s="3" t="s">
        <v>2399</v>
      </c>
      <c r="F238" s="22" t="s">
        <v>585</v>
      </c>
      <c r="G238" s="24" t="s">
        <v>583</v>
      </c>
      <c r="H238" s="28" t="s">
        <v>584</v>
      </c>
      <c r="I238" s="77">
        <v>9</v>
      </c>
      <c r="J238" s="77">
        <v>-73</v>
      </c>
      <c r="K238" s="77">
        <v>1500</v>
      </c>
      <c r="L238" s="22">
        <v>1991</v>
      </c>
      <c r="M238" s="22">
        <v>1991</v>
      </c>
      <c r="N238" s="22">
        <v>0.8</v>
      </c>
      <c r="O238" s="22" t="s">
        <v>2</v>
      </c>
      <c r="P238" s="5" t="s">
        <v>5187</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5187</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5187</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5187</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5187</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5187</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5187</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5187</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5187</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5187</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5187</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5187</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5187</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5187</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5187</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5187</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5187</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5187</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5187</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5187</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5187</v>
      </c>
      <c r="Q258" s="3" t="s">
        <v>2032</v>
      </c>
    </row>
    <row r="259" spans="1:17" ht="39" customHeight="1">
      <c r="A259" s="31">
        <v>42</v>
      </c>
      <c r="B259" s="40" t="s">
        <v>702</v>
      </c>
      <c r="C259" s="3" t="s">
        <v>700</v>
      </c>
      <c r="D259" s="3" t="s">
        <v>2398</v>
      </c>
      <c r="E259" s="28" t="s">
        <v>2399</v>
      </c>
      <c r="F259" s="3" t="s">
        <v>6088</v>
      </c>
      <c r="G259" s="3" t="s">
        <v>670</v>
      </c>
      <c r="H259" s="28" t="s">
        <v>733</v>
      </c>
      <c r="I259" s="21">
        <v>19.839105199999999</v>
      </c>
      <c r="J259" s="21">
        <v>102.33638139999999</v>
      </c>
      <c r="K259" s="21" t="s">
        <v>2276</v>
      </c>
      <c r="L259" s="3">
        <v>2003</v>
      </c>
      <c r="M259" s="3">
        <v>2003</v>
      </c>
      <c r="N259" s="3" t="s">
        <v>2276</v>
      </c>
      <c r="O259" s="3" t="s">
        <v>183</v>
      </c>
      <c r="P259" s="5" t="s">
        <v>5187</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5187</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5187</v>
      </c>
      <c r="Q261" s="4" t="s">
        <v>2034</v>
      </c>
    </row>
    <row r="262" spans="1:17" ht="58.5" customHeight="1">
      <c r="A262" s="31">
        <v>42</v>
      </c>
      <c r="B262" s="40" t="s">
        <v>702</v>
      </c>
      <c r="C262" s="11" t="s">
        <v>706</v>
      </c>
      <c r="D262" s="3" t="s">
        <v>2398</v>
      </c>
      <c r="E262" s="28" t="s">
        <v>2399</v>
      </c>
      <c r="F262" s="3" t="s">
        <v>6088</v>
      </c>
      <c r="G262" s="3" t="s">
        <v>670</v>
      </c>
      <c r="H262" s="28" t="s">
        <v>733</v>
      </c>
      <c r="I262" s="21">
        <v>19.839105199999999</v>
      </c>
      <c r="J262" s="21">
        <v>102.33638139999999</v>
      </c>
      <c r="K262" s="21" t="s">
        <v>2276</v>
      </c>
      <c r="L262" s="3">
        <v>1970</v>
      </c>
      <c r="M262" s="3">
        <v>1970</v>
      </c>
      <c r="N262" s="3" t="s">
        <v>2276</v>
      </c>
      <c r="O262" s="3" t="s">
        <v>183</v>
      </c>
      <c r="P262" s="5" t="s">
        <v>5187</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5187</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5187</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5187</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5187</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5187</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5187</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5187</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5187</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5187</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5187</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5187</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5187</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5187</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5187</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5187</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5187</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5187</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5187</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5187</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5187</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5187</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5187</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5187</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5187</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5187</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5187</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5187</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5187</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5187</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5187</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5187</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5187</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5187</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5187</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5187</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5187</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5187</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5187</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5187</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5187</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5187</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5187</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5187</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5187</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5187</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5187</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5187</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5187</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5187</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5187</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5187</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5187</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5187</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5187</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5187</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5187</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5187</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5187</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5187</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5187</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5187</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5187</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5187</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5187</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5187</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5187</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5187</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5187</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5187</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5187</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5187</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5187</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5187</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5187</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5187</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5187</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5187</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5187</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5187</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5187</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5187</v>
      </c>
      <c r="Q343" s="3" t="s">
        <v>2061</v>
      </c>
    </row>
    <row r="344" spans="1:17" ht="43.5" customHeight="1">
      <c r="A344" s="31">
        <v>57</v>
      </c>
      <c r="B344" s="54" t="s">
        <v>877</v>
      </c>
      <c r="C344" s="35" t="s">
        <v>876</v>
      </c>
      <c r="D344" s="11" t="s">
        <v>2398</v>
      </c>
      <c r="E344" s="35" t="s">
        <v>2400</v>
      </c>
      <c r="F344" s="3" t="s">
        <v>878</v>
      </c>
      <c r="G344" s="35" t="s">
        <v>872</v>
      </c>
      <c r="H344" s="35" t="s">
        <v>422</v>
      </c>
      <c r="I344" s="73">
        <v>-11.66</v>
      </c>
      <c r="J344" s="73">
        <v>31.1666666666667</v>
      </c>
      <c r="K344" s="73" t="s">
        <v>2276</v>
      </c>
      <c r="L344" s="38">
        <v>1993</v>
      </c>
      <c r="M344" s="38">
        <v>1994</v>
      </c>
      <c r="N344" s="38" t="s">
        <v>2276</v>
      </c>
      <c r="O344" s="38" t="s">
        <v>183</v>
      </c>
      <c r="P344" s="5" t="s">
        <v>5187</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5187</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5187</v>
      </c>
      <c r="Q346" s="3"/>
    </row>
    <row r="347" spans="1:17" ht="40.5" customHeight="1">
      <c r="A347" s="31">
        <v>60</v>
      </c>
      <c r="B347" s="41" t="s">
        <v>899</v>
      </c>
      <c r="C347" s="11" t="s">
        <v>897</v>
      </c>
      <c r="D347" s="11" t="s">
        <v>2398</v>
      </c>
      <c r="E347" s="3" t="s">
        <v>2399</v>
      </c>
      <c r="F347" s="11" t="s">
        <v>893</v>
      </c>
      <c r="G347" s="11" t="s">
        <v>894</v>
      </c>
      <c r="H347" s="11" t="s">
        <v>895</v>
      </c>
      <c r="I347" s="74">
        <v>-0.4</v>
      </c>
      <c r="J347" s="74">
        <v>110.1</v>
      </c>
      <c r="K347" s="21">
        <v>10</v>
      </c>
      <c r="L347" s="3">
        <v>1990</v>
      </c>
      <c r="M347" s="3">
        <v>1995</v>
      </c>
      <c r="N347" s="3" t="s">
        <v>2276</v>
      </c>
      <c r="O347" s="3" t="s">
        <v>183</v>
      </c>
      <c r="P347" s="5" t="s">
        <v>5187</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5187</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5187</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5187</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5187</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5187</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5187</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5187</v>
      </c>
      <c r="Q354" s="3"/>
    </row>
    <row r="355" spans="1:17" ht="40" customHeight="1">
      <c r="A355" s="154">
        <v>64</v>
      </c>
      <c r="B355" s="57" t="s">
        <v>5055</v>
      </c>
      <c r="C355" s="23" t="s">
        <v>933</v>
      </c>
      <c r="D355" s="11" t="s">
        <v>2398</v>
      </c>
      <c r="E355" s="3" t="s">
        <v>2400</v>
      </c>
      <c r="F355" s="11" t="s">
        <v>5056</v>
      </c>
      <c r="G355" s="11" t="s">
        <v>3738</v>
      </c>
      <c r="H355" s="11" t="s">
        <v>1950</v>
      </c>
      <c r="I355" s="74">
        <f>6 + 53/60</f>
        <v>6.8833333333333329</v>
      </c>
      <c r="J355" s="74">
        <f>39 + 32/60</f>
        <v>39.533333333333331</v>
      </c>
      <c r="K355" s="74">
        <f>95*40*0.69</f>
        <v>2622</v>
      </c>
      <c r="L355" s="11">
        <v>1968</v>
      </c>
      <c r="M355" s="11">
        <v>2016</v>
      </c>
      <c r="N355" s="11" t="s">
        <v>2276</v>
      </c>
      <c r="O355" s="3" t="s">
        <v>67</v>
      </c>
      <c r="P355" s="5" t="s">
        <v>5187</v>
      </c>
      <c r="Q355" s="11"/>
    </row>
    <row r="356" spans="1:17" ht="40" customHeight="1">
      <c r="A356" s="154">
        <v>64</v>
      </c>
      <c r="B356" s="57" t="s">
        <v>5055</v>
      </c>
      <c r="C356" s="23" t="s">
        <v>5059</v>
      </c>
      <c r="D356" s="11" t="s">
        <v>2398</v>
      </c>
      <c r="E356" s="3" t="s">
        <v>2400</v>
      </c>
      <c r="F356" s="11" t="s">
        <v>5057</v>
      </c>
      <c r="G356" s="11" t="s">
        <v>3738</v>
      </c>
      <c r="H356" s="11" t="s">
        <v>1950</v>
      </c>
      <c r="I356" s="74">
        <f t="shared" ref="I356" si="1">6 + 53/60</f>
        <v>6.8833333333333329</v>
      </c>
      <c r="J356" s="74">
        <f t="shared" ref="J356" si="2">39 + 32/60</f>
        <v>39.533333333333331</v>
      </c>
      <c r="K356" s="74">
        <f>95*40*0.31</f>
        <v>1178</v>
      </c>
      <c r="L356" s="11">
        <v>1968</v>
      </c>
      <c r="M356" s="11">
        <v>2016</v>
      </c>
      <c r="N356" s="11" t="s">
        <v>2276</v>
      </c>
      <c r="O356" s="3" t="s">
        <v>67</v>
      </c>
      <c r="P356" s="5" t="s">
        <v>5187</v>
      </c>
      <c r="Q356" s="11" t="s">
        <v>5058</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5187</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5187</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5187</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5187</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5187</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5187</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5187</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5187</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5187</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5187</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5187</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5187</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5187</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5187</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5187</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5187</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5187</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5187</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5187</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5187</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5187</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5187</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5187</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5187</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5187</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5187</v>
      </c>
      <c r="Q382" s="22" t="s">
        <v>2214</v>
      </c>
    </row>
    <row r="383" spans="1:17" ht="37" customHeight="1">
      <c r="A383" s="31">
        <v>75</v>
      </c>
      <c r="B383" s="41" t="s">
        <v>1042</v>
      </c>
      <c r="C383" s="19" t="s">
        <v>1041</v>
      </c>
      <c r="D383" s="11" t="s">
        <v>2398</v>
      </c>
      <c r="E383" s="19" t="s">
        <v>2424</v>
      </c>
      <c r="F383" s="4" t="s">
        <v>1043</v>
      </c>
      <c r="G383" s="4" t="s">
        <v>1050</v>
      </c>
      <c r="H383" s="4" t="s">
        <v>114</v>
      </c>
      <c r="I383" s="75">
        <v>22.5</v>
      </c>
      <c r="J383" s="75">
        <v>100</v>
      </c>
      <c r="K383" s="75" t="s">
        <v>2276</v>
      </c>
      <c r="L383" s="4">
        <v>2003</v>
      </c>
      <c r="M383" s="4">
        <v>2009</v>
      </c>
      <c r="N383" s="4" t="s">
        <v>2276</v>
      </c>
      <c r="O383" s="4" t="s">
        <v>67</v>
      </c>
      <c r="P383" s="5" t="s">
        <v>5187</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5187</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5187</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5187</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5187</v>
      </c>
      <c r="Q387" s="4" t="s">
        <v>2425</v>
      </c>
    </row>
    <row r="388" spans="1:17" ht="40.5" customHeight="1">
      <c r="A388" s="90">
        <v>75</v>
      </c>
      <c r="B388" s="91" t="s">
        <v>1042</v>
      </c>
      <c r="C388" s="12" t="s">
        <v>1054</v>
      </c>
      <c r="D388" s="11" t="s">
        <v>2398</v>
      </c>
      <c r="E388" s="19" t="s">
        <v>2424</v>
      </c>
      <c r="F388" s="12" t="s">
        <v>1057</v>
      </c>
      <c r="G388" s="12" t="s">
        <v>644</v>
      </c>
      <c r="H388" s="12" t="s">
        <v>895</v>
      </c>
      <c r="I388" s="88">
        <v>0.11927500000000001</v>
      </c>
      <c r="J388" s="88">
        <v>110.59729799999999</v>
      </c>
      <c r="K388" s="88" t="s">
        <v>2276</v>
      </c>
      <c r="L388" s="12">
        <v>1990</v>
      </c>
      <c r="M388" s="12">
        <v>2007</v>
      </c>
      <c r="N388" s="12" t="s">
        <v>2276</v>
      </c>
      <c r="O388" s="92" t="s">
        <v>67</v>
      </c>
      <c r="P388" s="5" t="s">
        <v>5187</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5187</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5187</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5187</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5187</v>
      </c>
      <c r="Q392" s="3"/>
    </row>
    <row r="393" spans="1:17" ht="40" customHeight="1">
      <c r="A393" s="31">
        <v>79</v>
      </c>
      <c r="B393" s="41" t="s">
        <v>2330</v>
      </c>
      <c r="C393" s="23" t="s">
        <v>1117</v>
      </c>
      <c r="D393" s="11" t="s">
        <v>2398</v>
      </c>
      <c r="E393" s="3" t="s">
        <v>2399</v>
      </c>
      <c r="F393" s="22" t="s">
        <v>1120</v>
      </c>
      <c r="G393" s="22" t="s">
        <v>1122</v>
      </c>
      <c r="H393" s="22" t="s">
        <v>895</v>
      </c>
      <c r="I393" s="77">
        <v>-2.7517865000000001</v>
      </c>
      <c r="J393" s="77">
        <v>105.4245785</v>
      </c>
      <c r="K393" s="77">
        <v>280</v>
      </c>
      <c r="L393" s="22">
        <v>2002</v>
      </c>
      <c r="M393" s="22">
        <v>2003</v>
      </c>
      <c r="N393" s="22">
        <v>12</v>
      </c>
      <c r="O393" s="22" t="s">
        <v>67</v>
      </c>
      <c r="P393" s="5" t="s">
        <v>5187</v>
      </c>
      <c r="Q393" s="9"/>
    </row>
    <row r="394" spans="1:17" ht="37" customHeight="1">
      <c r="A394" s="31">
        <v>79</v>
      </c>
      <c r="B394" s="41" t="s">
        <v>2330</v>
      </c>
      <c r="C394" s="23" t="s">
        <v>1118</v>
      </c>
      <c r="D394" s="11" t="s">
        <v>2398</v>
      </c>
      <c r="E394" s="3" t="s">
        <v>2399</v>
      </c>
      <c r="F394" s="22" t="s">
        <v>1121</v>
      </c>
      <c r="G394" s="22" t="s">
        <v>1123</v>
      </c>
      <c r="H394" s="22" t="s">
        <v>895</v>
      </c>
      <c r="I394" s="77">
        <v>-3.9740739999999999</v>
      </c>
      <c r="J394" s="77">
        <v>105.403779</v>
      </c>
      <c r="K394" s="77">
        <f>(69+166)</f>
        <v>235</v>
      </c>
      <c r="L394" s="22">
        <v>2002</v>
      </c>
      <c r="M394" s="22">
        <v>2003</v>
      </c>
      <c r="N394" s="22">
        <v>25</v>
      </c>
      <c r="O394" s="22" t="s">
        <v>67</v>
      </c>
      <c r="P394" s="5" t="s">
        <v>5187</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5187</v>
      </c>
      <c r="Q395" s="3"/>
    </row>
    <row r="396" spans="1:17" ht="42" customHeight="1">
      <c r="A396" s="31">
        <v>81</v>
      </c>
      <c r="B396" s="57" t="s">
        <v>1136</v>
      </c>
      <c r="C396" s="23" t="s">
        <v>1135</v>
      </c>
      <c r="D396" s="11" t="s">
        <v>2398</v>
      </c>
      <c r="E396" s="19" t="s">
        <v>2424</v>
      </c>
      <c r="F396" s="23" t="s">
        <v>2276</v>
      </c>
      <c r="G396" s="23" t="s">
        <v>1137</v>
      </c>
      <c r="H396" s="23" t="s">
        <v>121</v>
      </c>
      <c r="I396" s="76" t="s">
        <v>2276</v>
      </c>
      <c r="J396" s="76" t="s">
        <v>2276</v>
      </c>
      <c r="K396" s="76" t="s">
        <v>2276</v>
      </c>
      <c r="L396" s="23">
        <v>1980</v>
      </c>
      <c r="M396" s="23">
        <v>2000</v>
      </c>
      <c r="N396" s="23" t="s">
        <v>2276</v>
      </c>
      <c r="O396" s="23" t="s">
        <v>149</v>
      </c>
      <c r="P396" s="5" t="s">
        <v>5187</v>
      </c>
      <c r="Q396" s="26" t="s">
        <v>1141</v>
      </c>
    </row>
    <row r="397" spans="1:17" ht="45.5" customHeight="1">
      <c r="A397" s="31">
        <v>82</v>
      </c>
      <c r="B397" s="57" t="s">
        <v>1136</v>
      </c>
      <c r="C397" s="23" t="s">
        <v>1142</v>
      </c>
      <c r="D397" s="11" t="s">
        <v>2398</v>
      </c>
      <c r="E397" s="19" t="s">
        <v>2424</v>
      </c>
      <c r="F397" s="22" t="s">
        <v>2276</v>
      </c>
      <c r="G397" s="22" t="s">
        <v>2276</v>
      </c>
      <c r="H397" s="22" t="s">
        <v>1143</v>
      </c>
      <c r="I397" s="77" t="s">
        <v>2276</v>
      </c>
      <c r="J397" s="77" t="s">
        <v>2276</v>
      </c>
      <c r="K397" s="77" t="s">
        <v>2276</v>
      </c>
      <c r="L397" s="22">
        <v>1985</v>
      </c>
      <c r="M397" s="22">
        <v>2000</v>
      </c>
      <c r="N397" s="22" t="s">
        <v>2276</v>
      </c>
      <c r="O397" s="23" t="s">
        <v>149</v>
      </c>
      <c r="P397" s="5" t="s">
        <v>5187</v>
      </c>
      <c r="Q397" s="26" t="s">
        <v>1141</v>
      </c>
    </row>
    <row r="398" spans="1:17" ht="46" customHeight="1">
      <c r="A398" s="31">
        <v>82</v>
      </c>
      <c r="B398" s="57" t="s">
        <v>1136</v>
      </c>
      <c r="C398" s="23" t="s">
        <v>1155</v>
      </c>
      <c r="D398" s="11" t="s">
        <v>2398</v>
      </c>
      <c r="E398" s="19" t="s">
        <v>2424</v>
      </c>
      <c r="F398" s="22" t="s">
        <v>2276</v>
      </c>
      <c r="G398" s="22" t="s">
        <v>2276</v>
      </c>
      <c r="H398" s="23" t="s">
        <v>889</v>
      </c>
      <c r="I398" s="77" t="s">
        <v>2276</v>
      </c>
      <c r="J398" s="77" t="s">
        <v>2276</v>
      </c>
      <c r="K398" s="77" t="s">
        <v>2276</v>
      </c>
      <c r="L398" s="22">
        <v>1991</v>
      </c>
      <c r="M398" s="22">
        <v>2000</v>
      </c>
      <c r="N398" s="22" t="s">
        <v>2276</v>
      </c>
      <c r="O398" s="23" t="s">
        <v>149</v>
      </c>
      <c r="P398" s="5" t="s">
        <v>5187</v>
      </c>
      <c r="Q398" s="26" t="s">
        <v>1141</v>
      </c>
    </row>
    <row r="399" spans="1:17" ht="50" customHeight="1">
      <c r="A399" s="31">
        <v>82</v>
      </c>
      <c r="B399" s="57" t="s">
        <v>1136</v>
      </c>
      <c r="C399" s="23" t="s">
        <v>1159</v>
      </c>
      <c r="D399" s="11" t="s">
        <v>2398</v>
      </c>
      <c r="E399" s="19" t="s">
        <v>2424</v>
      </c>
      <c r="F399" s="22" t="s">
        <v>2276</v>
      </c>
      <c r="G399" s="22" t="s">
        <v>2276</v>
      </c>
      <c r="H399" s="23" t="s">
        <v>1146</v>
      </c>
      <c r="I399" s="77" t="s">
        <v>2276</v>
      </c>
      <c r="J399" s="77" t="s">
        <v>2276</v>
      </c>
      <c r="K399" s="77" t="s">
        <v>2276</v>
      </c>
      <c r="L399" s="22">
        <v>1989</v>
      </c>
      <c r="M399" s="22">
        <v>1997</v>
      </c>
      <c r="N399" s="22" t="s">
        <v>2276</v>
      </c>
      <c r="O399" s="23" t="s">
        <v>149</v>
      </c>
      <c r="P399" s="5" t="s">
        <v>5187</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5187</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5187</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5187</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5187</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5187</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5187</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5187</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5187</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5187</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5187</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5187</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5187</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5187</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5187</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5187</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5187</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5187</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5187</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5187</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5187</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5187</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5187</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5187</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5187</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5187</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5187</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5187</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5187</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5187</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5187</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5187</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5187</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5187</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5187</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5187</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5187</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5187</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5187</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5187</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5187</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5187</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5187</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5187</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5187</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5187</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5187</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5187</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5187</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5187</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5187</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5187</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5187</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5187</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5187</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5187</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5187</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5187</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5187</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5187</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5187</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5187</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5187</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5187</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5187</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5187</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5187</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5187</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5187</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5187</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5187</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5187</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5187</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5187</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5187</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5187</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5187</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5187</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5187</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5187</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5187</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5187</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5187</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5187</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5187</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5187</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5187</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5187</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5187</v>
      </c>
      <c r="Q487" s="3"/>
    </row>
    <row r="488" spans="1:17" ht="43.5" customHeight="1">
      <c r="A488" s="106">
        <v>90</v>
      </c>
      <c r="B488" s="40" t="s">
        <v>2445</v>
      </c>
      <c r="C488" s="3" t="s">
        <v>2446</v>
      </c>
      <c r="D488" s="3" t="s">
        <v>2398</v>
      </c>
      <c r="E488" s="3" t="s">
        <v>2399</v>
      </c>
      <c r="F488" s="3" t="s">
        <v>2447</v>
      </c>
      <c r="G488" s="3" t="s">
        <v>2448</v>
      </c>
      <c r="H488" s="3" t="s">
        <v>88</v>
      </c>
      <c r="I488" s="21">
        <v>23.5034329</v>
      </c>
      <c r="J488" s="74">
        <v>92.417972500000005</v>
      </c>
      <c r="K488" s="21" t="s">
        <v>2276</v>
      </c>
      <c r="L488" s="3">
        <v>2010</v>
      </c>
      <c r="M488" s="3">
        <v>2010</v>
      </c>
      <c r="N488" s="3" t="s">
        <v>2276</v>
      </c>
      <c r="O488" s="3" t="s">
        <v>67</v>
      </c>
      <c r="P488" s="5" t="s">
        <v>5187</v>
      </c>
      <c r="Q488" s="3"/>
    </row>
    <row r="489" spans="1:17" ht="38.5" customHeight="1">
      <c r="A489" s="106">
        <v>90</v>
      </c>
      <c r="B489" s="40" t="s">
        <v>2445</v>
      </c>
      <c r="C489" s="3" t="s">
        <v>2449</v>
      </c>
      <c r="D489" s="3" t="s">
        <v>2398</v>
      </c>
      <c r="E489" s="3" t="s">
        <v>2637</v>
      </c>
      <c r="F489" s="3" t="s">
        <v>2451</v>
      </c>
      <c r="G489" s="3" t="s">
        <v>2448</v>
      </c>
      <c r="H489" s="3" t="s">
        <v>88</v>
      </c>
      <c r="I489" s="21">
        <v>22.974637099999999</v>
      </c>
      <c r="J489" s="74">
        <v>92.750520499999993</v>
      </c>
      <c r="K489" s="21" t="s">
        <v>2276</v>
      </c>
      <c r="L489" s="3">
        <v>2010</v>
      </c>
      <c r="M489" s="3">
        <v>2010</v>
      </c>
      <c r="N489" s="3" t="s">
        <v>2276</v>
      </c>
      <c r="O489" s="3" t="s">
        <v>67</v>
      </c>
      <c r="P489" s="5" t="s">
        <v>5187</v>
      </c>
      <c r="Q489" s="4" t="s">
        <v>2452</v>
      </c>
    </row>
    <row r="490" spans="1:17" ht="27" customHeight="1">
      <c r="A490" s="106">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5187</v>
      </c>
      <c r="Q490" s="4" t="s">
        <v>2498</v>
      </c>
    </row>
    <row r="491" spans="1:17" ht="32" customHeight="1">
      <c r="A491" s="106">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5187</v>
      </c>
      <c r="Q491" s="4" t="s">
        <v>2498</v>
      </c>
    </row>
    <row r="492" spans="1:17" ht="29">
      <c r="A492" s="106">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5187</v>
      </c>
      <c r="Q492" s="4" t="s">
        <v>2498</v>
      </c>
    </row>
    <row r="493" spans="1:17" ht="29">
      <c r="A493" s="106">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5187</v>
      </c>
      <c r="Q493" s="4" t="s">
        <v>2498</v>
      </c>
    </row>
    <row r="494" spans="1:17" ht="29">
      <c r="A494" s="106">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5187</v>
      </c>
      <c r="Q494" s="4" t="s">
        <v>2498</v>
      </c>
    </row>
    <row r="495" spans="1:17" ht="29">
      <c r="A495" s="106">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5187</v>
      </c>
      <c r="Q495" s="4" t="s">
        <v>2498</v>
      </c>
    </row>
    <row r="496" spans="1:17" ht="29">
      <c r="A496" s="106">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5187</v>
      </c>
      <c r="Q496" s="4" t="s">
        <v>2498</v>
      </c>
    </row>
    <row r="497" spans="1:17" ht="29">
      <c r="A497" s="106">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5187</v>
      </c>
      <c r="Q497" s="4" t="s">
        <v>2498</v>
      </c>
    </row>
    <row r="498" spans="1:17" ht="29">
      <c r="A498" s="106">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5187</v>
      </c>
      <c r="Q498" s="4" t="s">
        <v>2498</v>
      </c>
    </row>
    <row r="499" spans="1:17" ht="29">
      <c r="A499" s="106">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5187</v>
      </c>
      <c r="Q499" s="4" t="s">
        <v>2498</v>
      </c>
    </row>
    <row r="500" spans="1:17" ht="29">
      <c r="A500" s="106">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5187</v>
      </c>
      <c r="Q500" s="4" t="s">
        <v>2498</v>
      </c>
    </row>
    <row r="501" spans="1:17" ht="29">
      <c r="A501" s="106">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5187</v>
      </c>
      <c r="Q501" s="4" t="s">
        <v>2498</v>
      </c>
    </row>
    <row r="502" spans="1:17" ht="29">
      <c r="A502" s="106">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5187</v>
      </c>
      <c r="Q502" s="4" t="s">
        <v>2498</v>
      </c>
    </row>
    <row r="503" spans="1:17" ht="29">
      <c r="A503" s="106">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5187</v>
      </c>
      <c r="Q503" s="4" t="s">
        <v>2498</v>
      </c>
    </row>
    <row r="504" spans="1:17" ht="29">
      <c r="A504" s="106">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5187</v>
      </c>
      <c r="Q504" s="4" t="s">
        <v>2498</v>
      </c>
    </row>
    <row r="505" spans="1:17" ht="29">
      <c r="A505" s="106">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5187</v>
      </c>
      <c r="Q505" s="4" t="s">
        <v>2498</v>
      </c>
    </row>
    <row r="506" spans="1:17" ht="81.5" customHeight="1">
      <c r="A506" s="106">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5187</v>
      </c>
      <c r="Q506" s="4" t="s">
        <v>2533</v>
      </c>
    </row>
    <row r="507" spans="1:17" ht="78.5" customHeight="1">
      <c r="A507" s="106">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5187</v>
      </c>
      <c r="Q507" s="4" t="s">
        <v>2533</v>
      </c>
    </row>
    <row r="508" spans="1:17" ht="85.5" customHeight="1">
      <c r="A508" s="106">
        <v>93</v>
      </c>
      <c r="B508" s="40" t="s">
        <v>2530</v>
      </c>
      <c r="C508" s="11" t="s">
        <v>2531</v>
      </c>
      <c r="D508" s="3" t="s">
        <v>2398</v>
      </c>
      <c r="E508" s="3" t="s">
        <v>2405</v>
      </c>
      <c r="F508" s="113"/>
      <c r="G508" s="3"/>
      <c r="H508" s="3" t="s">
        <v>2519</v>
      </c>
      <c r="I508" s="21">
        <v>-4.0335159999999997</v>
      </c>
      <c r="J508" s="21">
        <v>21.730005999999999</v>
      </c>
      <c r="K508" s="114">
        <v>2345000</v>
      </c>
      <c r="L508" s="3">
        <v>2000</v>
      </c>
      <c r="M508" s="3">
        <v>2010</v>
      </c>
      <c r="N508" s="3" t="s">
        <v>2276</v>
      </c>
      <c r="O508" s="3" t="s">
        <v>149</v>
      </c>
      <c r="P508" s="5" t="s">
        <v>5187</v>
      </c>
      <c r="Q508" s="4" t="s">
        <v>2537</v>
      </c>
    </row>
    <row r="509" spans="1:17" ht="68.5" customHeight="1">
      <c r="A509" s="106">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5187</v>
      </c>
      <c r="Q509" s="4" t="s">
        <v>2543</v>
      </c>
    </row>
    <row r="510" spans="1:17" ht="44.5" customHeight="1">
      <c r="A510" s="106">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5187</v>
      </c>
      <c r="Q510" s="3"/>
    </row>
    <row r="511" spans="1:17" ht="40" customHeight="1">
      <c r="A511" s="106">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5187</v>
      </c>
      <c r="Q511" s="3"/>
    </row>
    <row r="512" spans="1:17" ht="33.5" customHeight="1">
      <c r="A512" s="106">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5187</v>
      </c>
      <c r="Q512" s="3" t="s">
        <v>2569</v>
      </c>
    </row>
    <row r="513" spans="1:17" ht="50" customHeight="1">
      <c r="A513" s="106">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5187</v>
      </c>
      <c r="Q513" s="3" t="s">
        <v>2569</v>
      </c>
    </row>
    <row r="514" spans="1:17" ht="44.5" customHeight="1">
      <c r="A514" s="106">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5187</v>
      </c>
      <c r="Q514" s="3" t="s">
        <v>2569</v>
      </c>
    </row>
    <row r="515" spans="1:17">
      <c r="A515" s="106">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5187</v>
      </c>
      <c r="Q515" s="3" t="s">
        <v>2569</v>
      </c>
    </row>
    <row r="516" spans="1:17">
      <c r="A516" s="106">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5187</v>
      </c>
      <c r="Q516" s="3" t="s">
        <v>2569</v>
      </c>
    </row>
    <row r="517" spans="1:17">
      <c r="A517" s="106">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5187</v>
      </c>
      <c r="Q517" s="3" t="s">
        <v>2569</v>
      </c>
    </row>
    <row r="518" spans="1:17">
      <c r="A518" s="106">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5187</v>
      </c>
      <c r="Q518" s="3" t="s">
        <v>2569</v>
      </c>
    </row>
    <row r="519" spans="1:17">
      <c r="A519" s="106">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5187</v>
      </c>
      <c r="Q519" s="3" t="s">
        <v>2569</v>
      </c>
    </row>
    <row r="520" spans="1:17">
      <c r="A520" s="106">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5187</v>
      </c>
      <c r="Q520" s="3" t="s">
        <v>2569</v>
      </c>
    </row>
    <row r="521" spans="1:17">
      <c r="A521" s="106">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5187</v>
      </c>
      <c r="Q521" s="3" t="s">
        <v>2569</v>
      </c>
    </row>
    <row r="522" spans="1:17">
      <c r="A522" s="106">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5187</v>
      </c>
      <c r="Q522" s="3" t="s">
        <v>2569</v>
      </c>
    </row>
    <row r="523" spans="1:17">
      <c r="A523" s="106">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5187</v>
      </c>
      <c r="Q523" s="3" t="s">
        <v>2569</v>
      </c>
    </row>
    <row r="524" spans="1:17" ht="37" customHeight="1">
      <c r="A524" s="106">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5187</v>
      </c>
      <c r="Q524" s="3" t="s">
        <v>2569</v>
      </c>
    </row>
    <row r="525" spans="1:17" ht="42.5" customHeight="1">
      <c r="A525" s="106">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5187</v>
      </c>
      <c r="Q525" s="3" t="s">
        <v>2569</v>
      </c>
    </row>
    <row r="526" spans="1:17" ht="42.5" customHeight="1">
      <c r="A526" s="106">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5187</v>
      </c>
      <c r="Q526" s="3" t="s">
        <v>2569</v>
      </c>
    </row>
    <row r="527" spans="1:17" ht="42" customHeight="1">
      <c r="A527" s="106">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5187</v>
      </c>
      <c r="Q527" s="3" t="s">
        <v>2569</v>
      </c>
    </row>
    <row r="528" spans="1:17" ht="41" customHeight="1">
      <c r="A528" s="106">
        <v>99</v>
      </c>
      <c r="B528" s="40" t="s">
        <v>2706</v>
      </c>
      <c r="C528" s="11" t="s">
        <v>2707</v>
      </c>
      <c r="D528" s="3" t="s">
        <v>2398</v>
      </c>
      <c r="E528" s="11" t="s">
        <v>2399</v>
      </c>
      <c r="F528" s="144" t="s">
        <v>2717</v>
      </c>
      <c r="G528" s="3" t="s">
        <v>2710</v>
      </c>
      <c r="H528" s="3" t="s">
        <v>121</v>
      </c>
      <c r="I528" s="21">
        <v>-2.1441834000000002</v>
      </c>
      <c r="J528" s="21">
        <v>-64.999331999999995</v>
      </c>
      <c r="K528" s="21">
        <v>34740</v>
      </c>
      <c r="L528" s="3">
        <v>2012</v>
      </c>
      <c r="M528" s="3">
        <v>2014</v>
      </c>
      <c r="N528" s="21">
        <f>(11532+3860)/K528</f>
        <v>0.44306275187104205</v>
      </c>
      <c r="O528" s="3" t="s">
        <v>67</v>
      </c>
      <c r="P528" s="5" t="s">
        <v>5187</v>
      </c>
      <c r="Q528" s="4" t="s">
        <v>2713</v>
      </c>
    </row>
    <row r="529" spans="1:17" ht="41" customHeight="1">
      <c r="A529" s="106">
        <v>99</v>
      </c>
      <c r="B529" s="40" t="s">
        <v>2706</v>
      </c>
      <c r="C529" s="11" t="s">
        <v>2708</v>
      </c>
      <c r="D529" s="3" t="s">
        <v>2398</v>
      </c>
      <c r="E529" s="11" t="s">
        <v>2399</v>
      </c>
      <c r="F529" s="144" t="s">
        <v>2718</v>
      </c>
      <c r="G529" s="3" t="s">
        <v>2711</v>
      </c>
      <c r="H529" s="3" t="s">
        <v>121</v>
      </c>
      <c r="I529" s="21">
        <v>-4.0921206000000003</v>
      </c>
      <c r="J529" s="21">
        <v>-55.367818100000001</v>
      </c>
      <c r="K529" s="21">
        <v>6775.1</v>
      </c>
      <c r="L529" s="3">
        <v>2010</v>
      </c>
      <c r="M529" s="3">
        <v>2010</v>
      </c>
      <c r="N529" s="3" t="s">
        <v>2276</v>
      </c>
      <c r="O529" s="3" t="s">
        <v>67</v>
      </c>
      <c r="P529" s="5" t="s">
        <v>5187</v>
      </c>
      <c r="Q529" s="4" t="s">
        <v>2714</v>
      </c>
    </row>
    <row r="530" spans="1:17" ht="41" customHeight="1">
      <c r="A530" s="106">
        <v>99</v>
      </c>
      <c r="B530" s="40" t="s">
        <v>2706</v>
      </c>
      <c r="C530" s="11" t="s">
        <v>2709</v>
      </c>
      <c r="D530" s="3" t="s">
        <v>2398</v>
      </c>
      <c r="E530" s="11" t="s">
        <v>2399</v>
      </c>
      <c r="F530" s="144" t="s">
        <v>2719</v>
      </c>
      <c r="G530" s="3" t="s">
        <v>2712</v>
      </c>
      <c r="H530" s="3" t="s">
        <v>121</v>
      </c>
      <c r="I530" s="21">
        <v>-3.1968033999999999</v>
      </c>
      <c r="J530" s="21">
        <v>-47.3195111</v>
      </c>
      <c r="K530" s="21">
        <v>19342</v>
      </c>
      <c r="L530" s="3">
        <v>2012</v>
      </c>
      <c r="M530" s="3">
        <v>2013</v>
      </c>
      <c r="N530" s="21">
        <f>91000/K530</f>
        <v>4.7047875090476685</v>
      </c>
      <c r="O530" s="3" t="s">
        <v>67</v>
      </c>
      <c r="P530" s="5" t="s">
        <v>5187</v>
      </c>
      <c r="Q530" s="4" t="s">
        <v>2715</v>
      </c>
    </row>
    <row r="531" spans="1:17" ht="41" customHeight="1">
      <c r="A531" s="106">
        <v>99</v>
      </c>
      <c r="B531" s="40" t="s">
        <v>2706</v>
      </c>
      <c r="C531" s="11" t="s">
        <v>2724</v>
      </c>
      <c r="D531" s="3" t="s">
        <v>2398</v>
      </c>
      <c r="E531" s="11" t="s">
        <v>2399</v>
      </c>
      <c r="F531" s="144" t="s">
        <v>2719</v>
      </c>
      <c r="G531" s="3" t="s">
        <v>2712</v>
      </c>
      <c r="H531" s="3" t="s">
        <v>121</v>
      </c>
      <c r="I531" s="21">
        <v>-3.1968033999999999</v>
      </c>
      <c r="J531" s="21">
        <v>-47.3195111</v>
      </c>
      <c r="K531" s="21">
        <v>19342</v>
      </c>
      <c r="L531" s="3">
        <v>2015</v>
      </c>
      <c r="M531" s="3">
        <v>2015</v>
      </c>
      <c r="N531" s="21">
        <f>91000/K531</f>
        <v>4.7047875090476685</v>
      </c>
      <c r="O531" s="3" t="s">
        <v>67</v>
      </c>
      <c r="P531" s="5" t="s">
        <v>5187</v>
      </c>
      <c r="Q531" s="4" t="s">
        <v>2715</v>
      </c>
    </row>
    <row r="532" spans="1:17" ht="42.5" customHeight="1">
      <c r="A532" s="106">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5187</v>
      </c>
      <c r="Q532" s="3"/>
    </row>
    <row r="533" spans="1:17" ht="38" customHeight="1">
      <c r="A533" s="106">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5187</v>
      </c>
      <c r="Q533" s="3" t="s">
        <v>2754</v>
      </c>
    </row>
    <row r="534" spans="1:17" ht="39" customHeight="1">
      <c r="A534" s="106">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5187</v>
      </c>
      <c r="Q534" s="3" t="s">
        <v>2754</v>
      </c>
    </row>
    <row r="535" spans="1:17" ht="46" customHeight="1">
      <c r="A535" s="106">
        <v>102</v>
      </c>
      <c r="B535" s="40" t="s">
        <v>2762</v>
      </c>
      <c r="C535" s="3" t="s">
        <v>2763</v>
      </c>
      <c r="D535" s="3" t="s">
        <v>2398</v>
      </c>
      <c r="E535" s="11" t="s">
        <v>2399</v>
      </c>
      <c r="F535" s="144"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5187</v>
      </c>
      <c r="Q535" s="3"/>
    </row>
    <row r="536" spans="1:17" ht="46" customHeight="1">
      <c r="A536" s="106">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5187</v>
      </c>
      <c r="Q536" s="4" t="s">
        <v>2790</v>
      </c>
    </row>
    <row r="537" spans="1:17" ht="43.5">
      <c r="A537" s="106">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5187</v>
      </c>
      <c r="Q537" s="4" t="s">
        <v>2790</v>
      </c>
    </row>
    <row r="538" spans="1:17" ht="43.5">
      <c r="A538" s="106">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5187</v>
      </c>
      <c r="Q538" s="4" t="s">
        <v>2790</v>
      </c>
    </row>
    <row r="539" spans="1:17" ht="43.5">
      <c r="A539" s="106">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5187</v>
      </c>
      <c r="Q539" s="4" t="s">
        <v>2790</v>
      </c>
    </row>
    <row r="540" spans="1:17" ht="43.5">
      <c r="A540" s="106">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5187</v>
      </c>
      <c r="Q540" s="4" t="s">
        <v>2790</v>
      </c>
    </row>
    <row r="541" spans="1:17" ht="35.5" customHeight="1">
      <c r="A541" s="106">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5187</v>
      </c>
      <c r="Q541" s="3" t="s">
        <v>2798</v>
      </c>
    </row>
    <row r="542" spans="1:17" ht="32" customHeight="1">
      <c r="A542" s="106">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5187</v>
      </c>
      <c r="Q542" s="3" t="s">
        <v>2798</v>
      </c>
    </row>
    <row r="543" spans="1:17" ht="30" customHeight="1">
      <c r="A543" s="106">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5187</v>
      </c>
      <c r="Q543" s="3" t="s">
        <v>2798</v>
      </c>
    </row>
    <row r="544" spans="1:17" ht="42.5" customHeight="1">
      <c r="A544" s="106">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5187</v>
      </c>
      <c r="Q544" s="3" t="s">
        <v>2214</v>
      </c>
    </row>
    <row r="545" spans="1:17" ht="45.5" customHeight="1">
      <c r="A545" s="106">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5187</v>
      </c>
      <c r="Q545" s="3" t="s">
        <v>2214</v>
      </c>
    </row>
    <row r="546" spans="1:17" ht="35.5" customHeight="1">
      <c r="A546" s="106">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5187</v>
      </c>
      <c r="Q546" s="3" t="s">
        <v>2214</v>
      </c>
    </row>
    <row r="547" spans="1:17" ht="34.5" customHeight="1">
      <c r="A547" s="106">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5187</v>
      </c>
      <c r="Q547" s="3" t="s">
        <v>2214</v>
      </c>
    </row>
    <row r="548" spans="1:17" ht="37" customHeight="1">
      <c r="A548" s="106">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5187</v>
      </c>
      <c r="Q548" s="3" t="s">
        <v>2214</v>
      </c>
    </row>
    <row r="549" spans="1:17" ht="48" customHeight="1">
      <c r="A549" s="106">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5187</v>
      </c>
      <c r="Q549" s="4" t="s">
        <v>2838</v>
      </c>
    </row>
    <row r="550" spans="1:17" ht="42.5" customHeight="1">
      <c r="A550" s="106">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5187</v>
      </c>
      <c r="Q550" s="3" t="s">
        <v>2214</v>
      </c>
    </row>
    <row r="551" spans="1:17" ht="46.5" customHeight="1">
      <c r="A551" s="106">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5187</v>
      </c>
      <c r="Q551" s="3" t="s">
        <v>2214</v>
      </c>
    </row>
    <row r="552" spans="1:17" ht="47" customHeight="1">
      <c r="A552" s="106">
        <v>107</v>
      </c>
      <c r="B552" s="40" t="s">
        <v>2849</v>
      </c>
      <c r="C552" s="3" t="s">
        <v>2848</v>
      </c>
      <c r="D552" s="11" t="s">
        <v>2398</v>
      </c>
      <c r="E552" s="11" t="s">
        <v>2399</v>
      </c>
      <c r="F552" s="3" t="s">
        <v>2276</v>
      </c>
      <c r="G552" s="3" t="s">
        <v>2850</v>
      </c>
      <c r="H552" s="3" t="s">
        <v>1143</v>
      </c>
      <c r="I552" s="21">
        <v>6.75</v>
      </c>
      <c r="J552" s="21">
        <f>-2 -(0.05)</f>
        <v>-2.0499999999999998</v>
      </c>
      <c r="K552" s="149">
        <v>2411</v>
      </c>
      <c r="L552" s="8">
        <v>2010</v>
      </c>
      <c r="M552" s="8">
        <v>2010</v>
      </c>
      <c r="N552" s="21">
        <f>139174/K552</f>
        <v>57.724595603484033</v>
      </c>
      <c r="O552" s="3" t="s">
        <v>67</v>
      </c>
      <c r="P552" s="5" t="s">
        <v>5187</v>
      </c>
      <c r="Q552" s="4" t="s">
        <v>2851</v>
      </c>
    </row>
    <row r="553" spans="1:17" ht="44.5" customHeight="1">
      <c r="A553" s="106">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5187</v>
      </c>
      <c r="Q553" s="4" t="s">
        <v>2798</v>
      </c>
    </row>
    <row r="554" spans="1:17" ht="55.5" customHeight="1">
      <c r="A554" s="106">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5187</v>
      </c>
      <c r="Q554" s="4" t="s">
        <v>2869</v>
      </c>
    </row>
    <row r="555" spans="1:17" ht="40" customHeight="1">
      <c r="A555" s="106">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5187</v>
      </c>
      <c r="Q555" s="4" t="s">
        <v>3017</v>
      </c>
    </row>
    <row r="556" spans="1:17" ht="34" customHeight="1">
      <c r="A556" s="106">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5187</v>
      </c>
      <c r="Q556" s="3" t="s">
        <v>2893</v>
      </c>
    </row>
    <row r="557" spans="1:17" ht="33.5" customHeight="1">
      <c r="A557" s="106">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5187</v>
      </c>
      <c r="Q557" s="3" t="s">
        <v>2893</v>
      </c>
    </row>
    <row r="558" spans="1:17" ht="35.5" customHeight="1">
      <c r="A558" s="106">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5187</v>
      </c>
      <c r="Q558" s="3" t="s">
        <v>2893</v>
      </c>
    </row>
    <row r="559" spans="1:17" ht="41.5" customHeight="1">
      <c r="A559" s="106">
        <v>110</v>
      </c>
      <c r="B559" s="40" t="s">
        <v>2885</v>
      </c>
      <c r="C559" s="11" t="s">
        <v>2924</v>
      </c>
      <c r="D559" s="3" t="s">
        <v>2398</v>
      </c>
      <c r="E559" s="3" t="s">
        <v>2399</v>
      </c>
      <c r="F559" s="11" t="s">
        <v>2925</v>
      </c>
      <c r="G559" s="3" t="s">
        <v>2276</v>
      </c>
      <c r="H559" s="11" t="s">
        <v>2926</v>
      </c>
      <c r="I559" s="21">
        <v>16.330165900000001</v>
      </c>
      <c r="J559" s="21">
        <v>-88.602237799999997</v>
      </c>
      <c r="K559" s="150">
        <v>152.5</v>
      </c>
      <c r="L559" s="3">
        <v>2016</v>
      </c>
      <c r="M559" s="3">
        <v>2018</v>
      </c>
      <c r="N559" s="3" t="s">
        <v>2276</v>
      </c>
      <c r="O559" s="3" t="s">
        <v>67</v>
      </c>
      <c r="P559" s="5" t="s">
        <v>5187</v>
      </c>
      <c r="Q559" s="3" t="s">
        <v>2927</v>
      </c>
    </row>
    <row r="560" spans="1:17" ht="50.5" customHeight="1">
      <c r="A560" s="106">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5187</v>
      </c>
      <c r="Q560" s="4" t="s">
        <v>2935</v>
      </c>
    </row>
    <row r="561" spans="1:17" ht="53" customHeight="1">
      <c r="A561" s="106">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5187</v>
      </c>
      <c r="Q561" s="4" t="s">
        <v>2935</v>
      </c>
    </row>
    <row r="562" spans="1:17" ht="50" customHeight="1">
      <c r="A562" s="106">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5187</v>
      </c>
      <c r="Q562" s="3"/>
    </row>
    <row r="563" spans="1:17" ht="44.5" customHeight="1">
      <c r="A563" s="106">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5187</v>
      </c>
      <c r="Q563" s="3" t="s">
        <v>2987</v>
      </c>
    </row>
    <row r="564" spans="1:17" ht="40" customHeight="1">
      <c r="A564" s="106">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5187</v>
      </c>
      <c r="Q564" s="3"/>
    </row>
    <row r="565" spans="1:17" ht="40" customHeight="1">
      <c r="A565" s="106">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5187</v>
      </c>
      <c r="Q565" s="4" t="s">
        <v>3020</v>
      </c>
    </row>
    <row r="566" spans="1:17" ht="34.5" customHeight="1">
      <c r="A566" s="106">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5187</v>
      </c>
      <c r="Q566" s="3"/>
    </row>
    <row r="567" spans="1:17" ht="35" customHeight="1">
      <c r="A567" s="106">
        <v>117</v>
      </c>
      <c r="B567" s="40" t="s">
        <v>3043</v>
      </c>
      <c r="C567" s="11" t="s">
        <v>3044</v>
      </c>
      <c r="D567" s="11" t="s">
        <v>2398</v>
      </c>
      <c r="E567" s="3" t="s">
        <v>2399</v>
      </c>
      <c r="F567" s="113" t="s">
        <v>3061</v>
      </c>
      <c r="G567" s="3" t="s">
        <v>3047</v>
      </c>
      <c r="H567" s="3" t="s">
        <v>121</v>
      </c>
      <c r="I567" s="21">
        <v>-10.285575</v>
      </c>
      <c r="J567" s="21">
        <v>-46.764769000000001</v>
      </c>
      <c r="K567" s="21">
        <f>1580-K569</f>
        <v>495.85365853658527</v>
      </c>
      <c r="L567" s="3">
        <v>2014</v>
      </c>
      <c r="M567" s="3">
        <v>2015</v>
      </c>
      <c r="N567" s="3" t="s">
        <v>2276</v>
      </c>
      <c r="O567" s="3" t="s">
        <v>67</v>
      </c>
      <c r="P567" s="5" t="s">
        <v>5187</v>
      </c>
      <c r="Q567" s="3" t="s">
        <v>3048</v>
      </c>
    </row>
    <row r="568" spans="1:17" ht="37" customHeight="1">
      <c r="A568" s="106">
        <v>117</v>
      </c>
      <c r="B568" s="40" t="s">
        <v>3043</v>
      </c>
      <c r="C568" s="11" t="s">
        <v>3045</v>
      </c>
      <c r="D568" s="11" t="s">
        <v>2398</v>
      </c>
      <c r="E568" s="3" t="s">
        <v>2399</v>
      </c>
      <c r="F568" s="113" t="s">
        <v>3061</v>
      </c>
      <c r="G568" s="4" t="s">
        <v>3046</v>
      </c>
      <c r="H568" s="3" t="s">
        <v>121</v>
      </c>
      <c r="I568" s="21">
        <v>-10.8193436</v>
      </c>
      <c r="J568" s="21">
        <v>-46.520679000000001</v>
      </c>
      <c r="K568" s="21" t="s">
        <v>2276</v>
      </c>
      <c r="L568" s="3">
        <v>2014</v>
      </c>
      <c r="M568" s="3">
        <v>2015</v>
      </c>
      <c r="N568" s="3" t="s">
        <v>2276</v>
      </c>
      <c r="O568" s="3" t="s">
        <v>67</v>
      </c>
      <c r="P568" s="5" t="s">
        <v>5187</v>
      </c>
      <c r="Q568" s="3" t="s">
        <v>3048</v>
      </c>
    </row>
    <row r="569" spans="1:17" ht="37.5" customHeight="1">
      <c r="A569" s="106">
        <v>117</v>
      </c>
      <c r="B569" s="40" t="s">
        <v>3043</v>
      </c>
      <c r="C569" s="11" t="s">
        <v>3062</v>
      </c>
      <c r="D569" s="11" t="s">
        <v>2398</v>
      </c>
      <c r="E569" s="3" t="s">
        <v>2399</v>
      </c>
      <c r="F569" s="113"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5187</v>
      </c>
      <c r="Q569" s="3" t="s">
        <v>3048</v>
      </c>
    </row>
    <row r="570" spans="1:17" ht="36" customHeight="1">
      <c r="A570" s="106">
        <v>117</v>
      </c>
      <c r="B570" s="40" t="s">
        <v>3043</v>
      </c>
      <c r="C570" s="11" t="s">
        <v>3063</v>
      </c>
      <c r="D570" s="11" t="s">
        <v>2398</v>
      </c>
      <c r="E570" s="3" t="s">
        <v>2399</v>
      </c>
      <c r="F570" s="113" t="s">
        <v>3064</v>
      </c>
      <c r="G570" s="4" t="s">
        <v>3046</v>
      </c>
      <c r="H570" s="3" t="s">
        <v>121</v>
      </c>
      <c r="I570" s="21">
        <v>-10.8193436</v>
      </c>
      <c r="J570" s="21">
        <v>-46.520679000000001</v>
      </c>
      <c r="K570" s="21" t="s">
        <v>2276</v>
      </c>
      <c r="L570" s="3">
        <v>2014</v>
      </c>
      <c r="M570" s="3">
        <v>2015</v>
      </c>
      <c r="N570" s="3" t="s">
        <v>2276</v>
      </c>
      <c r="O570" s="3" t="s">
        <v>67</v>
      </c>
      <c r="P570" s="5" t="s">
        <v>5187</v>
      </c>
      <c r="Q570" s="3" t="s">
        <v>3048</v>
      </c>
    </row>
    <row r="571" spans="1:17" ht="36" customHeight="1">
      <c r="A571" s="106">
        <v>118</v>
      </c>
      <c r="B571" s="40" t="s">
        <v>5037</v>
      </c>
      <c r="C571" s="11" t="s">
        <v>5040</v>
      </c>
      <c r="D571" s="11" t="s">
        <v>2398</v>
      </c>
      <c r="E571" s="3" t="s">
        <v>2399</v>
      </c>
      <c r="F571" s="113" t="s">
        <v>5038</v>
      </c>
      <c r="G571" s="4" t="s">
        <v>5039</v>
      </c>
      <c r="H571" s="3" t="s">
        <v>121</v>
      </c>
      <c r="I571">
        <f>-10-(22/60)</f>
        <v>-10.366666666666667</v>
      </c>
      <c r="J571" s="21">
        <f>-46-(46/60)</f>
        <v>-46.766666666666666</v>
      </c>
      <c r="K571" s="21">
        <v>8710</v>
      </c>
      <c r="L571" s="3">
        <v>2014</v>
      </c>
      <c r="M571" s="3">
        <v>2015</v>
      </c>
      <c r="N571" s="3" t="s">
        <v>2276</v>
      </c>
      <c r="O571" s="3" t="s">
        <v>67</v>
      </c>
      <c r="P571" s="5" t="s">
        <v>5187</v>
      </c>
      <c r="Q571" s="4" t="s">
        <v>5041</v>
      </c>
    </row>
    <row r="572" spans="1:17" ht="40" customHeight="1">
      <c r="A572" s="106">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5187</v>
      </c>
      <c r="Q572" s="4" t="s">
        <v>3117</v>
      </c>
    </row>
    <row r="573" spans="1:17" ht="39" customHeight="1">
      <c r="A573" s="106">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5187</v>
      </c>
      <c r="Q573" s="4" t="s">
        <v>3117</v>
      </c>
    </row>
    <row r="574" spans="1:17" ht="40" customHeight="1">
      <c r="A574" s="106">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5187</v>
      </c>
      <c r="Q574" s="4" t="s">
        <v>3117</v>
      </c>
    </row>
    <row r="575" spans="1:17" ht="34.5" customHeight="1">
      <c r="A575" s="106">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5187</v>
      </c>
      <c r="Q575" s="4" t="s">
        <v>3117</v>
      </c>
    </row>
    <row r="576" spans="1:17" ht="42.5" customHeight="1">
      <c r="A576" s="106">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5187</v>
      </c>
      <c r="Q576" s="4" t="s">
        <v>3117</v>
      </c>
    </row>
    <row r="577" spans="1:17" ht="38" customHeight="1">
      <c r="A577" s="106">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5187</v>
      </c>
      <c r="Q577" s="4" t="s">
        <v>3117</v>
      </c>
    </row>
    <row r="578" spans="1:17" ht="29" customHeight="1">
      <c r="A578" s="106">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5187</v>
      </c>
      <c r="Q578" s="3" t="s">
        <v>2214</v>
      </c>
    </row>
    <row r="579" spans="1:17" ht="30" customHeight="1">
      <c r="A579" s="106">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5187</v>
      </c>
      <c r="Q579" s="3" t="s">
        <v>2214</v>
      </c>
    </row>
    <row r="580" spans="1:17" ht="32" customHeight="1">
      <c r="A580" s="106">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5187</v>
      </c>
      <c r="Q580" s="3" t="s">
        <v>2214</v>
      </c>
    </row>
    <row r="581" spans="1:17" ht="31.5" customHeight="1">
      <c r="A581" s="106">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5187</v>
      </c>
      <c r="Q581" s="3" t="s">
        <v>2214</v>
      </c>
    </row>
    <row r="582" spans="1:17" ht="38" customHeight="1">
      <c r="A582" s="106">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5187</v>
      </c>
      <c r="Q582" s="3"/>
    </row>
    <row r="583" spans="1:17" ht="43.5" customHeight="1">
      <c r="A583" s="106">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5187</v>
      </c>
      <c r="Q583" s="4" t="s">
        <v>3232</v>
      </c>
    </row>
    <row r="584" spans="1:17" ht="38" customHeight="1">
      <c r="A584" s="106">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5187</v>
      </c>
      <c r="Q584" s="3"/>
    </row>
    <row r="585" spans="1:17" ht="32.5" customHeight="1">
      <c r="A585" s="106">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5187</v>
      </c>
      <c r="Q585" s="3"/>
    </row>
    <row r="586" spans="1:17" ht="37" customHeight="1">
      <c r="A586" s="106">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5187</v>
      </c>
      <c r="Q586" s="3"/>
    </row>
    <row r="587" spans="1:17" ht="35.5" customHeight="1">
      <c r="A587" s="106">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5187</v>
      </c>
      <c r="Q587" s="3"/>
    </row>
    <row r="588" spans="1:17" ht="39" customHeight="1">
      <c r="A588" s="106">
        <v>121</v>
      </c>
      <c r="B588" s="40" t="s">
        <v>3239</v>
      </c>
      <c r="C588" s="11" t="s">
        <v>3247</v>
      </c>
      <c r="D588" s="11" t="s">
        <v>2398</v>
      </c>
      <c r="E588" s="3" t="s">
        <v>2399</v>
      </c>
      <c r="F588" s="144"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5187</v>
      </c>
      <c r="Q588" s="4" t="s">
        <v>3268</v>
      </c>
    </row>
    <row r="589" spans="1:17" ht="34.5" customHeight="1">
      <c r="A589" s="106">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5187</v>
      </c>
      <c r="Q589" s="4"/>
    </row>
    <row r="590" spans="1:17" ht="33.5" customHeight="1">
      <c r="A590" s="106">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5187</v>
      </c>
      <c r="Q590" s="4"/>
    </row>
    <row r="591" spans="1:17" ht="28" customHeight="1">
      <c r="A591" s="106">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5187</v>
      </c>
      <c r="Q591" s="4"/>
    </row>
    <row r="592" spans="1:17" ht="35.5" customHeight="1">
      <c r="A592" s="106">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5187</v>
      </c>
      <c r="Q592" s="4"/>
    </row>
    <row r="593" spans="1:17" ht="32.5" customHeight="1">
      <c r="A593" s="106">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5187</v>
      </c>
      <c r="Q593" s="4"/>
    </row>
    <row r="594" spans="1:17" ht="36.5" customHeight="1">
      <c r="A594" s="106">
        <v>121</v>
      </c>
      <c r="B594" s="40" t="s">
        <v>3239</v>
      </c>
      <c r="C594" s="11" t="s">
        <v>3259</v>
      </c>
      <c r="D594" s="11" t="s">
        <v>2398</v>
      </c>
      <c r="E594" s="3" t="s">
        <v>2399</v>
      </c>
      <c r="F594" s="144" t="s">
        <v>3262</v>
      </c>
      <c r="G594" s="3" t="s">
        <v>3240</v>
      </c>
      <c r="H594" s="3" t="s">
        <v>770</v>
      </c>
      <c r="I594" s="21">
        <v>18.259933675000003</v>
      </c>
      <c r="J594" s="21">
        <v>-90.020224825</v>
      </c>
      <c r="K594" s="21" t="s">
        <v>2276</v>
      </c>
      <c r="L594" s="3">
        <v>1997</v>
      </c>
      <c r="M594" s="3">
        <v>2003</v>
      </c>
      <c r="N594" s="3" t="s">
        <v>2276</v>
      </c>
      <c r="O594" s="3" t="s">
        <v>67</v>
      </c>
      <c r="P594" s="5" t="s">
        <v>5187</v>
      </c>
      <c r="Q594" s="4" t="s">
        <v>3268</v>
      </c>
    </row>
    <row r="595" spans="1:17" ht="34.5" customHeight="1">
      <c r="A595" s="106">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5187</v>
      </c>
      <c r="Q595" s="3"/>
    </row>
    <row r="596" spans="1:17" ht="32" customHeight="1">
      <c r="A596" s="106">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5187</v>
      </c>
      <c r="Q596" s="3"/>
    </row>
    <row r="597" spans="1:17" ht="32.5" customHeight="1">
      <c r="A597" s="106">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5187</v>
      </c>
      <c r="Q597" s="3"/>
    </row>
    <row r="598" spans="1:17" ht="31.5" customHeight="1">
      <c r="A598" s="106">
        <v>122</v>
      </c>
      <c r="B598" s="40" t="s">
        <v>3285</v>
      </c>
      <c r="C598" s="11" t="s">
        <v>3286</v>
      </c>
      <c r="D598" s="11" t="s">
        <v>2398</v>
      </c>
      <c r="E598" s="3" t="s">
        <v>2399</v>
      </c>
      <c r="F598" s="4" t="s">
        <v>3288</v>
      </c>
      <c r="G598" s="3" t="s">
        <v>165</v>
      </c>
      <c r="H598" s="3" t="s">
        <v>121</v>
      </c>
      <c r="I598" s="21">
        <v>-13.3238237</v>
      </c>
      <c r="J598" s="21">
        <v>-51.679792200000001</v>
      </c>
      <c r="K598" s="157">
        <f>328966/100</f>
        <v>3289.66</v>
      </c>
      <c r="L598" s="3">
        <v>2001</v>
      </c>
      <c r="M598" s="3">
        <v>2002</v>
      </c>
      <c r="N598" s="3" t="s">
        <v>2276</v>
      </c>
      <c r="O598" s="3" t="s">
        <v>67</v>
      </c>
      <c r="P598" s="5" t="s">
        <v>5187</v>
      </c>
      <c r="Q598" s="3"/>
    </row>
    <row r="599" spans="1:17" ht="31" customHeight="1">
      <c r="A599" s="106">
        <v>122</v>
      </c>
      <c r="B599" s="40" t="s">
        <v>3285</v>
      </c>
      <c r="C599" s="11" t="s">
        <v>3287</v>
      </c>
      <c r="D599" s="11" t="s">
        <v>2398</v>
      </c>
      <c r="E599" s="3" t="s">
        <v>2399</v>
      </c>
      <c r="F599" s="3" t="s">
        <v>3289</v>
      </c>
      <c r="G599" s="3" t="s">
        <v>165</v>
      </c>
      <c r="H599" s="3" t="s">
        <v>121</v>
      </c>
      <c r="I599" s="159">
        <v>-14.3885811</v>
      </c>
      <c r="J599" s="159">
        <v>-52.014338700000003</v>
      </c>
      <c r="K599" s="157">
        <f>218515/100</f>
        <v>2185.15</v>
      </c>
      <c r="L599" s="3">
        <v>2001</v>
      </c>
      <c r="M599" s="3">
        <v>2002</v>
      </c>
      <c r="N599" s="3" t="s">
        <v>2276</v>
      </c>
      <c r="O599" s="3" t="s">
        <v>67</v>
      </c>
      <c r="P599" s="5" t="s">
        <v>5187</v>
      </c>
      <c r="Q599" s="3"/>
    </row>
    <row r="600" spans="1:17" ht="28" customHeight="1">
      <c r="A600" s="106">
        <v>123</v>
      </c>
      <c r="B600" s="40" t="s">
        <v>3296</v>
      </c>
      <c r="C600" s="11" t="s">
        <v>3297</v>
      </c>
      <c r="D600" s="11" t="s">
        <v>2398</v>
      </c>
      <c r="E600" s="3" t="s">
        <v>2399</v>
      </c>
      <c r="F600" s="3" t="s">
        <v>3299</v>
      </c>
      <c r="G600" s="3" t="s">
        <v>3298</v>
      </c>
      <c r="H600" s="3" t="s">
        <v>1950</v>
      </c>
      <c r="I600" s="159">
        <v>5.7156862000000004</v>
      </c>
      <c r="J600" s="159">
        <v>36.471662000000002</v>
      </c>
      <c r="K600" s="21">
        <f>40*40</f>
        <v>1600</v>
      </c>
      <c r="L600" s="3">
        <v>2008</v>
      </c>
      <c r="M600" s="3">
        <v>2008</v>
      </c>
      <c r="N600" s="3">
        <f>10000/K600</f>
        <v>6.25</v>
      </c>
      <c r="O600" s="3" t="s">
        <v>67</v>
      </c>
      <c r="P600" s="5" t="s">
        <v>5187</v>
      </c>
      <c r="Q600" s="4" t="s">
        <v>3304</v>
      </c>
    </row>
    <row r="601" spans="1:17" ht="32.5" customHeight="1">
      <c r="A601" s="106">
        <v>123</v>
      </c>
      <c r="B601" s="40" t="s">
        <v>3296</v>
      </c>
      <c r="C601" s="3" t="s">
        <v>3302</v>
      </c>
      <c r="D601" s="11" t="s">
        <v>2398</v>
      </c>
      <c r="E601" s="3" t="s">
        <v>2399</v>
      </c>
      <c r="F601" s="11" t="s">
        <v>3300</v>
      </c>
      <c r="G601" s="3" t="s">
        <v>3298</v>
      </c>
      <c r="H601" s="3" t="s">
        <v>1950</v>
      </c>
      <c r="I601" s="159">
        <v>5.8939000000000004</v>
      </c>
      <c r="J601" s="159">
        <v>36.153799999999997</v>
      </c>
      <c r="K601" s="21">
        <f t="shared" ref="K601:K605" si="4">40*40</f>
        <v>1600</v>
      </c>
      <c r="L601" s="3">
        <v>2008</v>
      </c>
      <c r="M601" s="3">
        <v>2008</v>
      </c>
      <c r="N601" s="3">
        <f t="shared" ref="N601:N602" si="5">10000/K601</f>
        <v>6.25</v>
      </c>
      <c r="O601" s="3" t="s">
        <v>67</v>
      </c>
      <c r="P601" s="5" t="s">
        <v>5187</v>
      </c>
      <c r="Q601" s="4" t="s">
        <v>3304</v>
      </c>
    </row>
    <row r="602" spans="1:17" ht="35.5" customHeight="1">
      <c r="A602" s="106">
        <v>123</v>
      </c>
      <c r="B602" s="40" t="s">
        <v>3296</v>
      </c>
      <c r="C602" s="3" t="s">
        <v>3303</v>
      </c>
      <c r="D602" s="11" t="s">
        <v>2398</v>
      </c>
      <c r="E602" s="3" t="s">
        <v>2399</v>
      </c>
      <c r="F602" s="11" t="s">
        <v>3301</v>
      </c>
      <c r="G602" s="3" t="s">
        <v>3298</v>
      </c>
      <c r="H602" s="3" t="s">
        <v>1950</v>
      </c>
      <c r="I602" s="159">
        <f>5+(35/60)</f>
        <v>5.583333333333333</v>
      </c>
      <c r="J602" s="159">
        <f>35 + (56/60)</f>
        <v>35.93333333333333</v>
      </c>
      <c r="K602" s="21">
        <f t="shared" si="4"/>
        <v>1600</v>
      </c>
      <c r="L602" s="3">
        <v>2008</v>
      </c>
      <c r="M602" s="3">
        <v>2008</v>
      </c>
      <c r="N602" s="3">
        <f t="shared" si="5"/>
        <v>6.25</v>
      </c>
      <c r="O602" s="3" t="s">
        <v>67</v>
      </c>
      <c r="P602" s="5" t="s">
        <v>5187</v>
      </c>
      <c r="Q602" s="4" t="s">
        <v>3304</v>
      </c>
    </row>
    <row r="603" spans="1:17" ht="36.5" customHeight="1">
      <c r="A603" s="106">
        <v>123</v>
      </c>
      <c r="B603" s="40" t="s">
        <v>3296</v>
      </c>
      <c r="C603" s="11" t="s">
        <v>3305</v>
      </c>
      <c r="D603" s="11" t="s">
        <v>2398</v>
      </c>
      <c r="E603" s="3" t="s">
        <v>2399</v>
      </c>
      <c r="F603" s="3" t="s">
        <v>3299</v>
      </c>
      <c r="G603" s="3" t="s">
        <v>3298</v>
      </c>
      <c r="H603" s="3" t="s">
        <v>1950</v>
      </c>
      <c r="I603" s="159">
        <v>5.7156862000000004</v>
      </c>
      <c r="J603" s="159">
        <v>36.471662000000002</v>
      </c>
      <c r="K603" s="21">
        <f>40*40</f>
        <v>1600</v>
      </c>
      <c r="L603" s="3">
        <v>1968</v>
      </c>
      <c r="M603" s="3">
        <v>1970</v>
      </c>
      <c r="N603" s="3">
        <f>6000/K603</f>
        <v>3.75</v>
      </c>
      <c r="O603" s="3" t="s">
        <v>67</v>
      </c>
      <c r="P603" s="5" t="s">
        <v>5187</v>
      </c>
      <c r="Q603" s="4" t="s">
        <v>3304</v>
      </c>
    </row>
    <row r="604" spans="1:17" ht="33.5" customHeight="1">
      <c r="A604" s="106">
        <v>123</v>
      </c>
      <c r="B604" s="40" t="s">
        <v>3296</v>
      </c>
      <c r="C604" s="3" t="s">
        <v>3306</v>
      </c>
      <c r="D604" s="11" t="s">
        <v>2398</v>
      </c>
      <c r="E604" s="3" t="s">
        <v>2399</v>
      </c>
      <c r="F604" s="11" t="s">
        <v>3300</v>
      </c>
      <c r="G604" s="3" t="s">
        <v>3298</v>
      </c>
      <c r="H604" s="3" t="s">
        <v>1950</v>
      </c>
      <c r="I604" s="159">
        <v>5.8939000000000004</v>
      </c>
      <c r="J604" s="159">
        <v>36.153799999999997</v>
      </c>
      <c r="K604" s="21">
        <f t="shared" si="4"/>
        <v>1600</v>
      </c>
      <c r="L604" s="3">
        <v>1968</v>
      </c>
      <c r="M604" s="3">
        <v>1970</v>
      </c>
      <c r="N604" s="3">
        <f t="shared" ref="N604:N605" si="6">6000/K604</f>
        <v>3.75</v>
      </c>
      <c r="O604" s="3" t="s">
        <v>67</v>
      </c>
      <c r="P604" s="5" t="s">
        <v>5187</v>
      </c>
      <c r="Q604" s="4" t="s">
        <v>3304</v>
      </c>
    </row>
    <row r="605" spans="1:17" ht="32" customHeight="1">
      <c r="A605" s="106">
        <v>123</v>
      </c>
      <c r="B605" s="40" t="s">
        <v>3296</v>
      </c>
      <c r="C605" s="3" t="s">
        <v>3307</v>
      </c>
      <c r="D605" s="11" t="s">
        <v>2398</v>
      </c>
      <c r="E605" s="3" t="s">
        <v>2399</v>
      </c>
      <c r="F605" s="11" t="s">
        <v>3301</v>
      </c>
      <c r="G605" s="3" t="s">
        <v>3298</v>
      </c>
      <c r="H605" s="3" t="s">
        <v>1950</v>
      </c>
      <c r="I605" s="159">
        <f>5+(35/60)</f>
        <v>5.583333333333333</v>
      </c>
      <c r="J605" s="159">
        <f>35 + (56/60)</f>
        <v>35.93333333333333</v>
      </c>
      <c r="K605" s="21">
        <f t="shared" si="4"/>
        <v>1600</v>
      </c>
      <c r="L605" s="3">
        <v>1968</v>
      </c>
      <c r="M605" s="3">
        <v>1970</v>
      </c>
      <c r="N605" s="3">
        <f t="shared" si="6"/>
        <v>3.75</v>
      </c>
      <c r="O605" s="3" t="s">
        <v>67</v>
      </c>
      <c r="P605" s="5" t="s">
        <v>5187</v>
      </c>
      <c r="Q605" s="4" t="s">
        <v>3304</v>
      </c>
    </row>
    <row r="606" spans="1:17" ht="29" customHeight="1">
      <c r="A606" s="106">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5187</v>
      </c>
      <c r="Q606" s="3"/>
    </row>
    <row r="607" spans="1:17" ht="37" customHeight="1">
      <c r="A607" s="106">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5187</v>
      </c>
      <c r="Q607" s="3" t="s">
        <v>2214</v>
      </c>
    </row>
    <row r="608" spans="1:17" ht="39" customHeight="1">
      <c r="A608" s="106">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5187</v>
      </c>
      <c r="Q608" s="3"/>
    </row>
    <row r="609" spans="1:17" ht="32" customHeight="1">
      <c r="A609" s="106">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5187</v>
      </c>
      <c r="Q609" s="4" t="s">
        <v>3385</v>
      </c>
    </row>
    <row r="610" spans="1:17" ht="36.5" customHeight="1">
      <c r="A610" s="106">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5187</v>
      </c>
      <c r="Q610" s="4" t="s">
        <v>3385</v>
      </c>
    </row>
    <row r="611" spans="1:17" ht="32" customHeight="1">
      <c r="A611" s="106">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5187</v>
      </c>
      <c r="Q611" s="3"/>
    </row>
    <row r="612" spans="1:17" ht="31" customHeight="1">
      <c r="A612" s="106">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5187</v>
      </c>
      <c r="Q612" s="3"/>
    </row>
    <row r="613" spans="1:17" ht="29" customHeight="1">
      <c r="A613" s="106">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5187</v>
      </c>
      <c r="Q613" s="3"/>
    </row>
    <row r="614" spans="1:17" ht="33" customHeight="1">
      <c r="A614" s="106">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5187</v>
      </c>
      <c r="Q614" s="4" t="s">
        <v>3406</v>
      </c>
    </row>
    <row r="615" spans="1:17" ht="33.5" customHeight="1">
      <c r="A615" s="106">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5187</v>
      </c>
      <c r="Q615" s="4" t="s">
        <v>3406</v>
      </c>
    </row>
    <row r="616" spans="1:17" ht="32" customHeight="1">
      <c r="A616" s="106">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5187</v>
      </c>
      <c r="Q616" s="4" t="s">
        <v>3406</v>
      </c>
    </row>
    <row r="617" spans="1:17" ht="39" customHeight="1">
      <c r="A617" s="106">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5187</v>
      </c>
      <c r="Q617" s="3" t="s">
        <v>2214</v>
      </c>
    </row>
    <row r="618" spans="1:17" ht="39" customHeight="1">
      <c r="A618" s="106">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5187</v>
      </c>
      <c r="Q618" s="3" t="s">
        <v>3428</v>
      </c>
    </row>
    <row r="619" spans="1:17" ht="40.5" customHeight="1">
      <c r="A619" s="106">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5187</v>
      </c>
      <c r="Q619" s="3" t="s">
        <v>3446</v>
      </c>
    </row>
    <row r="620" spans="1:17" ht="43" customHeight="1">
      <c r="A620" s="106">
        <v>133</v>
      </c>
      <c r="B620" s="40" t="s">
        <v>3461</v>
      </c>
      <c r="C620" s="3" t="s">
        <v>3460</v>
      </c>
      <c r="D620" s="3" t="s">
        <v>2398</v>
      </c>
      <c r="E620" s="3" t="s">
        <v>2399</v>
      </c>
      <c r="F620" s="3" t="s">
        <v>3462</v>
      </c>
      <c r="G620" s="3" t="s">
        <v>2276</v>
      </c>
      <c r="H620" s="3" t="s">
        <v>603</v>
      </c>
      <c r="I620" s="88">
        <f>-16-(0.266666666666667)</f>
        <v>-16.266666666666666</v>
      </c>
      <c r="J620" s="88">
        <f>46 +( 55/60)</f>
        <v>46.916666666666664</v>
      </c>
      <c r="K620" s="21" t="s">
        <v>2276</v>
      </c>
      <c r="L620" s="3">
        <v>1997</v>
      </c>
      <c r="M620" s="3">
        <v>1997</v>
      </c>
      <c r="N620" s="21" t="s">
        <v>2276</v>
      </c>
      <c r="O620" s="3" t="s">
        <v>67</v>
      </c>
      <c r="P620" s="5" t="s">
        <v>5187</v>
      </c>
      <c r="Q620" s="3"/>
    </row>
    <row r="621" spans="1:17" ht="44" customHeight="1">
      <c r="A621" s="106">
        <v>134</v>
      </c>
      <c r="B621" s="40" t="s">
        <v>3487</v>
      </c>
      <c r="C621" s="3" t="s">
        <v>3491</v>
      </c>
      <c r="D621" s="3" t="s">
        <v>2398</v>
      </c>
      <c r="E621" s="3" t="s">
        <v>2637</v>
      </c>
      <c r="F621" s="3" t="s">
        <v>3488</v>
      </c>
      <c r="G621" s="3" t="s">
        <v>3489</v>
      </c>
      <c r="H621" s="3" t="s">
        <v>3490</v>
      </c>
      <c r="I621" s="88">
        <v>-18.755756000000002</v>
      </c>
      <c r="J621" s="88">
        <v>31.550623000000002</v>
      </c>
      <c r="K621" s="21" t="s">
        <v>2276</v>
      </c>
      <c r="L621" s="3">
        <v>2009</v>
      </c>
      <c r="M621" s="3">
        <v>2014</v>
      </c>
      <c r="N621" s="21" t="s">
        <v>2276</v>
      </c>
      <c r="O621" s="3" t="s">
        <v>67</v>
      </c>
      <c r="P621" s="5" t="s">
        <v>5187</v>
      </c>
      <c r="Q621" s="3"/>
    </row>
    <row r="622" spans="1:17" ht="45.5" customHeight="1">
      <c r="A622" s="106">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5187</v>
      </c>
      <c r="Q622" s="3" t="s">
        <v>3493</v>
      </c>
    </row>
    <row r="623" spans="1:17" ht="55.5" customHeight="1">
      <c r="A623" s="106">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5187</v>
      </c>
      <c r="Q623" s="4" t="s">
        <v>3552</v>
      </c>
    </row>
    <row r="624" spans="1:17" ht="44.5" customHeight="1">
      <c r="A624" s="106">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5187</v>
      </c>
      <c r="Q624" s="3"/>
    </row>
    <row r="625" spans="1:17" ht="42.5" customHeight="1">
      <c r="A625" s="106">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5187</v>
      </c>
      <c r="Q625" s="3" t="s">
        <v>3579</v>
      </c>
    </row>
    <row r="626" spans="1:17" ht="55" customHeight="1">
      <c r="A626" s="106">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5187</v>
      </c>
      <c r="Q626" s="3" t="s">
        <v>2214</v>
      </c>
    </row>
    <row r="627" spans="1:17" ht="55" customHeight="1">
      <c r="A627" s="106">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5187</v>
      </c>
      <c r="Q627" s="3" t="s">
        <v>2214</v>
      </c>
    </row>
    <row r="628" spans="1:17" ht="55" customHeight="1">
      <c r="A628" s="106">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5187</v>
      </c>
      <c r="Q628" s="3" t="s">
        <v>2214</v>
      </c>
    </row>
    <row r="629" spans="1:17" ht="55" customHeight="1">
      <c r="A629" s="106">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5187</v>
      </c>
      <c r="Q629" s="3" t="s">
        <v>2214</v>
      </c>
    </row>
    <row r="630" spans="1:17" ht="55" customHeight="1">
      <c r="A630" s="106">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5187</v>
      </c>
      <c r="Q630" s="3" t="s">
        <v>2214</v>
      </c>
    </row>
    <row r="631" spans="1:17" ht="49" customHeight="1">
      <c r="A631" s="106">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5187</v>
      </c>
      <c r="Q631" s="3" t="s">
        <v>2214</v>
      </c>
    </row>
    <row r="632" spans="1:17" ht="37" customHeight="1">
      <c r="A632" s="106">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5187</v>
      </c>
      <c r="Q632" s="3"/>
    </row>
    <row r="633" spans="1:17" ht="37" customHeight="1">
      <c r="A633" s="106">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5187</v>
      </c>
      <c r="Q633" s="3"/>
    </row>
    <row r="634" spans="1:17" ht="37" customHeight="1">
      <c r="A634" s="106">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5187</v>
      </c>
      <c r="Q634" s="3"/>
    </row>
    <row r="635" spans="1:17" ht="36.5" customHeight="1">
      <c r="A635" s="106">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5187</v>
      </c>
      <c r="Q635" s="3"/>
    </row>
    <row r="636" spans="1:17" ht="42" customHeight="1">
      <c r="A636" s="106">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5187</v>
      </c>
      <c r="Q636" s="3"/>
    </row>
    <row r="637" spans="1:17" ht="35.5" customHeight="1">
      <c r="A637" s="106">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5187</v>
      </c>
      <c r="Q637" s="3"/>
    </row>
    <row r="638" spans="1:17" ht="38" customHeight="1">
      <c r="A638" s="106">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5187</v>
      </c>
      <c r="Q638" s="3"/>
    </row>
    <row r="639" spans="1:17" ht="36.5" customHeight="1">
      <c r="A639" s="106">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5187</v>
      </c>
      <c r="Q639" s="3"/>
    </row>
    <row r="640" spans="1:17" ht="38" customHeight="1">
      <c r="A640" s="106">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5187</v>
      </c>
      <c r="Q640" s="3" t="s">
        <v>3719</v>
      </c>
    </row>
    <row r="641" spans="1:17" ht="40" customHeight="1">
      <c r="A641" s="106">
        <v>143</v>
      </c>
      <c r="B641" s="40" t="s">
        <v>5034</v>
      </c>
      <c r="C641" s="11" t="s">
        <v>3737</v>
      </c>
      <c r="D641" s="11" t="s">
        <v>2398</v>
      </c>
      <c r="E641" s="3" t="s">
        <v>2399</v>
      </c>
      <c r="F641" s="3" t="s">
        <v>3738</v>
      </c>
      <c r="G641" s="3" t="s">
        <v>3739</v>
      </c>
      <c r="H641" s="3" t="s">
        <v>1950</v>
      </c>
      <c r="I641" s="21">
        <f>6+49/60</f>
        <v>6.8166666666666664</v>
      </c>
      <c r="J641" s="21">
        <f>39+15/60</f>
        <v>39.25</v>
      </c>
      <c r="K641" s="75">
        <f>50*25</f>
        <v>1250</v>
      </c>
      <c r="L641" s="95">
        <v>2005</v>
      </c>
      <c r="M641" s="3">
        <v>2008</v>
      </c>
      <c r="N641" s="21" t="s">
        <v>2276</v>
      </c>
      <c r="O641" s="3" t="s">
        <v>67</v>
      </c>
      <c r="P641" s="5" t="s">
        <v>5187</v>
      </c>
      <c r="Q641" s="3"/>
    </row>
    <row r="642" spans="1:17" ht="34.5" customHeight="1">
      <c r="A642" s="106">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5187</v>
      </c>
      <c r="Q642" s="3"/>
    </row>
    <row r="643" spans="1:17" ht="34.5" customHeight="1">
      <c r="A643" s="106">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5187</v>
      </c>
      <c r="Q643" s="3"/>
    </row>
    <row r="644" spans="1:17" ht="36.5" customHeight="1">
      <c r="A644" s="106">
        <v>145</v>
      </c>
      <c r="B644" s="40" t="s">
        <v>3768</v>
      </c>
      <c r="C644" s="3" t="s">
        <v>3769</v>
      </c>
      <c r="D644" s="11" t="s">
        <v>2398</v>
      </c>
      <c r="E644" s="3" t="s">
        <v>2399</v>
      </c>
      <c r="F644" s="3" t="s">
        <v>3772</v>
      </c>
      <c r="G644" s="3" t="s">
        <v>3771</v>
      </c>
      <c r="H644" s="3" t="s">
        <v>3770</v>
      </c>
      <c r="I644" s="21">
        <v>-31.304893799999999</v>
      </c>
      <c r="J644" s="21">
        <v>30.2599901</v>
      </c>
      <c r="K644" s="21" t="s">
        <v>2276</v>
      </c>
      <c r="L644" s="163">
        <v>1995</v>
      </c>
      <c r="M644" s="163">
        <v>1995</v>
      </c>
      <c r="N644" s="21" t="s">
        <v>2276</v>
      </c>
      <c r="O644" s="3" t="s">
        <v>67</v>
      </c>
      <c r="P644" s="5" t="s">
        <v>5187</v>
      </c>
      <c r="Q644" s="3"/>
    </row>
    <row r="645" spans="1:17" ht="41" customHeight="1">
      <c r="A645" s="106">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5187</v>
      </c>
      <c r="Q645" s="3"/>
    </row>
    <row r="646" spans="1:17" ht="38.5" customHeight="1">
      <c r="A646" s="106">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5187</v>
      </c>
      <c r="Q646" s="3"/>
    </row>
    <row r="647" spans="1:17" ht="42" customHeight="1">
      <c r="A647" s="106">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5187</v>
      </c>
      <c r="Q647" s="3"/>
    </row>
    <row r="648" spans="1:17" ht="41.5" customHeight="1">
      <c r="A648" s="106">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5187</v>
      </c>
      <c r="Q648" s="3"/>
    </row>
    <row r="649" spans="1:17" ht="36" customHeight="1">
      <c r="A649" s="106">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5187</v>
      </c>
      <c r="Q649" s="3"/>
    </row>
    <row r="650" spans="1:17" ht="47.5" customHeight="1">
      <c r="A650" s="106">
        <v>150</v>
      </c>
      <c r="B650" s="40" t="s">
        <v>3840</v>
      </c>
      <c r="C650" s="11" t="s">
        <v>3841</v>
      </c>
      <c r="D650" s="11" t="s">
        <v>2398</v>
      </c>
      <c r="E650" s="11" t="s">
        <v>2399</v>
      </c>
      <c r="F650" s="144" t="s">
        <v>3842</v>
      </c>
      <c r="G650" s="3" t="s">
        <v>3843</v>
      </c>
      <c r="H650" s="3" t="s">
        <v>3718</v>
      </c>
      <c r="I650" s="21">
        <v>-20.291195299999998</v>
      </c>
      <c r="J650" s="21">
        <v>19.796045500000002</v>
      </c>
      <c r="K650" s="21">
        <v>4500</v>
      </c>
      <c r="L650" s="3">
        <v>2002</v>
      </c>
      <c r="M650" s="3">
        <v>2002</v>
      </c>
      <c r="N650" s="21" t="s">
        <v>2276</v>
      </c>
      <c r="O650" s="3" t="s">
        <v>67</v>
      </c>
      <c r="P650" s="5" t="s">
        <v>5187</v>
      </c>
      <c r="Q650" s="4" t="s">
        <v>3844</v>
      </c>
    </row>
    <row r="651" spans="1:17" ht="55" customHeight="1">
      <c r="A651" s="106">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5187</v>
      </c>
      <c r="Q651" s="4" t="s">
        <v>3853</v>
      </c>
    </row>
    <row r="652" spans="1:17" ht="65.5" customHeight="1">
      <c r="A652" s="106">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5187</v>
      </c>
      <c r="Q652" s="4" t="s">
        <v>3863</v>
      </c>
    </row>
    <row r="653" spans="1:17" ht="47.5" customHeight="1">
      <c r="A653" s="106">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5187</v>
      </c>
      <c r="Q653" s="3"/>
    </row>
    <row r="654" spans="1:17" ht="47" customHeight="1">
      <c r="A654" s="106">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5187</v>
      </c>
      <c r="Q654" s="3"/>
    </row>
    <row r="655" spans="1:17" ht="41.5" customHeight="1">
      <c r="A655" s="106">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5187</v>
      </c>
      <c r="Q655" s="3"/>
    </row>
    <row r="656" spans="1:17" ht="41.5" customHeight="1">
      <c r="A656" s="106">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5187</v>
      </c>
      <c r="Q656" s="3"/>
    </row>
    <row r="657" spans="1:17" ht="41.5" customHeight="1">
      <c r="A657" s="106">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5187</v>
      </c>
      <c r="Q657" s="3"/>
    </row>
    <row r="658" spans="1:17" ht="41.5" customHeight="1">
      <c r="A658" s="106">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5187</v>
      </c>
      <c r="Q658" s="3"/>
    </row>
    <row r="659" spans="1:17" ht="41.5" customHeight="1">
      <c r="A659" s="106">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5187</v>
      </c>
      <c r="Q659" s="3"/>
    </row>
    <row r="660" spans="1:17" ht="41.5" customHeight="1">
      <c r="A660" s="106">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5187</v>
      </c>
      <c r="Q660" s="3"/>
    </row>
    <row r="661" spans="1:17" ht="31" customHeight="1">
      <c r="A661" s="106">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5187</v>
      </c>
      <c r="Q661" s="24" t="s">
        <v>4382</v>
      </c>
    </row>
    <row r="662" spans="1:17" ht="31" customHeight="1">
      <c r="A662" s="106">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5187</v>
      </c>
      <c r="Q662" s="24" t="s">
        <v>4382</v>
      </c>
    </row>
    <row r="663" spans="1:17" ht="31" customHeight="1">
      <c r="A663" s="106">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5187</v>
      </c>
      <c r="Q663" s="24" t="s">
        <v>4382</v>
      </c>
    </row>
    <row r="664" spans="1:17" ht="31" customHeight="1">
      <c r="A664" s="106">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5187</v>
      </c>
      <c r="Q664" s="24" t="s">
        <v>4382</v>
      </c>
    </row>
    <row r="665" spans="1:17" ht="31" customHeight="1">
      <c r="A665" s="106">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5187</v>
      </c>
      <c r="Q665" s="24" t="s">
        <v>4382</v>
      </c>
    </row>
    <row r="666" spans="1:17" ht="31" customHeight="1">
      <c r="A666" s="106">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5187</v>
      </c>
      <c r="Q666" s="24" t="s">
        <v>4382</v>
      </c>
    </row>
    <row r="667" spans="1:17" ht="31" customHeight="1">
      <c r="A667" s="106">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5187</v>
      </c>
      <c r="Q667" s="24" t="s">
        <v>4382</v>
      </c>
    </row>
    <row r="668" spans="1:17" ht="31" customHeight="1">
      <c r="A668" s="106">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5187</v>
      </c>
      <c r="Q668" s="24" t="s">
        <v>4382</v>
      </c>
    </row>
    <row r="669" spans="1:17" ht="31" customHeight="1">
      <c r="A669" s="106">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5187</v>
      </c>
      <c r="Q669" s="24" t="s">
        <v>4382</v>
      </c>
    </row>
    <row r="670" spans="1:17" ht="30" customHeight="1">
      <c r="A670" s="106">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5187</v>
      </c>
      <c r="Q670" s="24" t="s">
        <v>4382</v>
      </c>
    </row>
    <row r="671" spans="1:17" ht="30" customHeight="1">
      <c r="A671" s="106">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5187</v>
      </c>
      <c r="Q671" s="24" t="s">
        <v>4382</v>
      </c>
    </row>
    <row r="672" spans="1:17" ht="34.5" customHeight="1">
      <c r="A672" s="106">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5187</v>
      </c>
      <c r="Q672" s="24" t="s">
        <v>4382</v>
      </c>
    </row>
    <row r="673" spans="1:17" ht="35" customHeight="1">
      <c r="A673" s="106">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5187</v>
      </c>
      <c r="Q673" s="3" t="s">
        <v>3971</v>
      </c>
    </row>
    <row r="674" spans="1:17" ht="39.5" customHeight="1">
      <c r="A674" s="106">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5187</v>
      </c>
      <c r="Q674" s="3" t="s">
        <v>3971</v>
      </c>
    </row>
    <row r="675" spans="1:17" ht="35.5" customHeight="1">
      <c r="A675" s="106">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5187</v>
      </c>
      <c r="Q675" s="3" t="s">
        <v>3971</v>
      </c>
    </row>
    <row r="676" spans="1:17" ht="47" customHeight="1">
      <c r="A676" s="106">
        <v>157</v>
      </c>
      <c r="B676" s="40" t="s">
        <v>3988</v>
      </c>
      <c r="C676" s="11" t="s">
        <v>3989</v>
      </c>
      <c r="D676" s="11" t="s">
        <v>2398</v>
      </c>
      <c r="E676" s="11" t="s">
        <v>2399</v>
      </c>
      <c r="F676" s="3" t="s">
        <v>3992</v>
      </c>
      <c r="G676" s="3" t="s">
        <v>3991</v>
      </c>
      <c r="H676" s="11" t="s">
        <v>1950</v>
      </c>
      <c r="I676" s="21">
        <v>5.5543749</v>
      </c>
      <c r="J676" s="21">
        <v>39.390632600000004</v>
      </c>
      <c r="K676" s="21" t="s">
        <v>2276</v>
      </c>
      <c r="L676" s="167" t="s">
        <v>2276</v>
      </c>
      <c r="M676" s="167" t="s">
        <v>2276</v>
      </c>
      <c r="N676" s="21" t="s">
        <v>2276</v>
      </c>
      <c r="O676" s="3" t="s">
        <v>67</v>
      </c>
      <c r="P676" s="5" t="s">
        <v>5187</v>
      </c>
      <c r="Q676" s="165" t="s">
        <v>3996</v>
      </c>
    </row>
    <row r="677" spans="1:17" ht="46.5" customHeight="1">
      <c r="A677" s="106">
        <v>157</v>
      </c>
      <c r="B677" s="40" t="s">
        <v>3988</v>
      </c>
      <c r="C677" s="11" t="s">
        <v>3990</v>
      </c>
      <c r="D677" s="11" t="s">
        <v>2398</v>
      </c>
      <c r="E677" s="11" t="s">
        <v>2399</v>
      </c>
      <c r="F677" s="3" t="s">
        <v>3993</v>
      </c>
      <c r="G677" s="3" t="s">
        <v>3991</v>
      </c>
      <c r="H677" s="11" t="s">
        <v>1950</v>
      </c>
      <c r="I677" s="21">
        <v>4.7750095999999997</v>
      </c>
      <c r="J677" s="21">
        <v>39.5168842</v>
      </c>
      <c r="K677" s="21" t="s">
        <v>2276</v>
      </c>
      <c r="L677" s="167" t="s">
        <v>2276</v>
      </c>
      <c r="M677" s="167" t="s">
        <v>2276</v>
      </c>
      <c r="N677" s="21" t="s">
        <v>2276</v>
      </c>
      <c r="O677" s="3" t="s">
        <v>67</v>
      </c>
      <c r="P677" s="5" t="s">
        <v>5187</v>
      </c>
      <c r="Q677" s="165" t="s">
        <v>3996</v>
      </c>
    </row>
    <row r="678" spans="1:17" ht="47" customHeight="1">
      <c r="A678" s="106">
        <v>157</v>
      </c>
      <c r="B678" s="40" t="s">
        <v>3988</v>
      </c>
      <c r="C678" s="11" t="s">
        <v>3995</v>
      </c>
      <c r="D678" s="11" t="s">
        <v>2398</v>
      </c>
      <c r="E678" s="11" t="s">
        <v>2399</v>
      </c>
      <c r="F678" s="3" t="s">
        <v>3994</v>
      </c>
      <c r="G678" s="3" t="s">
        <v>3991</v>
      </c>
      <c r="H678" s="11" t="s">
        <v>1950</v>
      </c>
      <c r="I678" s="21">
        <v>6.6468730000000003</v>
      </c>
      <c r="J678" s="21">
        <v>39.360786500000003</v>
      </c>
      <c r="K678" s="21" t="s">
        <v>2276</v>
      </c>
      <c r="L678" s="167" t="s">
        <v>2276</v>
      </c>
      <c r="M678" s="167" t="s">
        <v>2276</v>
      </c>
      <c r="N678" s="21" t="s">
        <v>2276</v>
      </c>
      <c r="O678" s="3" t="s">
        <v>67</v>
      </c>
      <c r="P678" s="5" t="s">
        <v>5187</v>
      </c>
      <c r="Q678" s="165" t="s">
        <v>3996</v>
      </c>
    </row>
    <row r="679" spans="1:17" ht="47" customHeight="1">
      <c r="A679" s="106">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5187</v>
      </c>
      <c r="Q679" s="4" t="s">
        <v>4018</v>
      </c>
    </row>
    <row r="680" spans="1:17" ht="32" customHeight="1">
      <c r="A680" s="106">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5187</v>
      </c>
      <c r="Q680" s="3"/>
    </row>
    <row r="681" spans="1:17" ht="32" customHeight="1">
      <c r="A681" s="106">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5187</v>
      </c>
      <c r="Q681" s="3"/>
    </row>
    <row r="682" spans="1:17" ht="32" customHeight="1">
      <c r="A682" s="106">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5187</v>
      </c>
      <c r="Q682" s="3"/>
    </row>
    <row r="683" spans="1:17" ht="32" customHeight="1">
      <c r="A683" s="106">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5187</v>
      </c>
      <c r="Q683" s="3"/>
    </row>
    <row r="684" spans="1:17" ht="30" customHeight="1">
      <c r="A684" s="106">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5187</v>
      </c>
      <c r="Q684" s="3"/>
    </row>
    <row r="685" spans="1:17" ht="30" customHeight="1">
      <c r="A685" s="106">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5187</v>
      </c>
      <c r="Q685" s="3"/>
    </row>
    <row r="686" spans="1:17" ht="30" customHeight="1">
      <c r="A686" s="106">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5187</v>
      </c>
      <c r="Q686" s="3"/>
    </row>
    <row r="687" spans="1:17" ht="30" customHeight="1">
      <c r="A687" s="106">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5187</v>
      </c>
      <c r="Q687" s="3"/>
    </row>
    <row r="688" spans="1:17" ht="30" customHeight="1">
      <c r="A688" s="106">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5187</v>
      </c>
      <c r="Q688" s="3"/>
    </row>
    <row r="689" spans="1:17" ht="30" customHeight="1">
      <c r="A689" s="106">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5187</v>
      </c>
      <c r="Q689" s="3"/>
    </row>
    <row r="690" spans="1:17" ht="30" customHeight="1">
      <c r="A690" s="106">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5187</v>
      </c>
      <c r="Q690" s="3"/>
    </row>
    <row r="691" spans="1:17" ht="53.5" customHeight="1">
      <c r="A691" s="106">
        <v>161</v>
      </c>
      <c r="B691" s="40" t="s">
        <v>4085</v>
      </c>
      <c r="C691" s="11" t="s">
        <v>4086</v>
      </c>
      <c r="D691" s="11" t="s">
        <v>2398</v>
      </c>
      <c r="E691" s="3" t="s">
        <v>2399</v>
      </c>
      <c r="F691" s="3" t="s">
        <v>2276</v>
      </c>
      <c r="G691" s="3" t="s">
        <v>4087</v>
      </c>
      <c r="H691" s="3" t="s">
        <v>4032</v>
      </c>
      <c r="I691" s="21">
        <v>49</v>
      </c>
      <c r="J691" s="21">
        <v>105</v>
      </c>
      <c r="K691" s="21">
        <f>900*400</f>
        <v>360000</v>
      </c>
      <c r="L691" s="95">
        <v>1982</v>
      </c>
      <c r="M691" s="3">
        <v>2020</v>
      </c>
      <c r="N691" s="21" t="s">
        <v>2276</v>
      </c>
      <c r="O691" s="3" t="s">
        <v>67</v>
      </c>
      <c r="P691" s="5" t="s">
        <v>5187</v>
      </c>
      <c r="Q691" s="4" t="s">
        <v>4088</v>
      </c>
    </row>
    <row r="692" spans="1:17" ht="55.5" customHeight="1">
      <c r="A692" s="106">
        <v>162</v>
      </c>
      <c r="B692" s="40" t="s">
        <v>4107</v>
      </c>
      <c r="C692" s="11" t="s">
        <v>4108</v>
      </c>
      <c r="D692" s="11" t="s">
        <v>2398</v>
      </c>
      <c r="E692" s="3" t="s">
        <v>2414</v>
      </c>
      <c r="F692" s="144" t="s">
        <v>4115</v>
      </c>
      <c r="G692" s="3" t="s">
        <v>4111</v>
      </c>
      <c r="H692" s="3" t="s">
        <v>4112</v>
      </c>
      <c r="I692" s="21">
        <v>38.209899499999999</v>
      </c>
      <c r="J692" s="21">
        <v>-96.467848599999996</v>
      </c>
      <c r="K692" s="21" t="s">
        <v>2276</v>
      </c>
      <c r="L692" s="95">
        <v>1880</v>
      </c>
      <c r="M692" s="11">
        <v>1990</v>
      </c>
      <c r="N692" s="21" t="s">
        <v>2276</v>
      </c>
      <c r="O692" s="3" t="s">
        <v>67</v>
      </c>
      <c r="P692" s="5" t="s">
        <v>5187</v>
      </c>
      <c r="Q692" s="4" t="s">
        <v>4116</v>
      </c>
    </row>
    <row r="693" spans="1:17" ht="52.5" customHeight="1">
      <c r="A693" s="106">
        <v>162</v>
      </c>
      <c r="B693" s="40" t="s">
        <v>4107</v>
      </c>
      <c r="C693" s="11" t="s">
        <v>4109</v>
      </c>
      <c r="D693" s="11" t="s">
        <v>2398</v>
      </c>
      <c r="E693" s="3" t="s">
        <v>2414</v>
      </c>
      <c r="F693" s="144" t="s">
        <v>4114</v>
      </c>
      <c r="G693" s="3" t="s">
        <v>4113</v>
      </c>
      <c r="H693" s="3" t="s">
        <v>4110</v>
      </c>
      <c r="I693" s="21">
        <v>-45.481157699999997</v>
      </c>
      <c r="J693" s="21">
        <v>170.21678069999999</v>
      </c>
      <c r="K693" s="21" t="s">
        <v>2276</v>
      </c>
      <c r="L693" s="95">
        <v>1865</v>
      </c>
      <c r="M693" s="11">
        <v>1990</v>
      </c>
      <c r="N693" s="21" t="s">
        <v>2276</v>
      </c>
      <c r="O693" s="3" t="s">
        <v>67</v>
      </c>
      <c r="P693" s="5" t="s">
        <v>5187</v>
      </c>
      <c r="Q693" s="4" t="s">
        <v>4116</v>
      </c>
    </row>
    <row r="694" spans="1:17" ht="47.5" customHeight="1">
      <c r="A694" s="106">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5187</v>
      </c>
      <c r="Q694" s="3"/>
    </row>
    <row r="695" spans="1:17" ht="48" customHeight="1">
      <c r="A695" s="106">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5">
        <v>2014</v>
      </c>
      <c r="M695" s="165">
        <v>2014</v>
      </c>
      <c r="N695" s="21" t="s">
        <v>2276</v>
      </c>
      <c r="O695" s="3" t="s">
        <v>67</v>
      </c>
      <c r="P695" s="5" t="s">
        <v>5187</v>
      </c>
      <c r="Q695" s="166" t="s">
        <v>4141</v>
      </c>
    </row>
    <row r="696" spans="1:17" ht="29" customHeight="1">
      <c r="A696" s="106">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5187</v>
      </c>
      <c r="Q696" s="3"/>
    </row>
    <row r="697" spans="1:17" ht="29" customHeight="1">
      <c r="A697" s="106">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5187</v>
      </c>
      <c r="Q697" s="3"/>
    </row>
    <row r="698" spans="1:17" ht="35.5" customHeight="1">
      <c r="A698" s="106">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5187</v>
      </c>
      <c r="Q698" s="3"/>
    </row>
    <row r="699" spans="1:17" ht="32.5" customHeight="1">
      <c r="A699" s="106">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5187</v>
      </c>
      <c r="Q699" s="3"/>
    </row>
    <row r="700" spans="1:17" ht="43" customHeight="1">
      <c r="A700" s="106">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5187</v>
      </c>
      <c r="Q700" s="3"/>
    </row>
    <row r="701" spans="1:17" ht="44" customHeight="1">
      <c r="A701" s="106">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5187</v>
      </c>
      <c r="Q701" s="3"/>
    </row>
    <row r="702" spans="1:17" ht="37" customHeight="1">
      <c r="A702" s="106">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5187</v>
      </c>
      <c r="Q702" s="41" t="s">
        <v>6087</v>
      </c>
    </row>
    <row r="703" spans="1:17" ht="34.5" customHeight="1">
      <c r="A703" s="106">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5187</v>
      </c>
      <c r="Q703" s="41" t="s">
        <v>6087</v>
      </c>
    </row>
    <row r="704" spans="1:17" ht="33.5" customHeight="1">
      <c r="A704" s="106">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5187</v>
      </c>
      <c r="Q704" s="41" t="s">
        <v>6087</v>
      </c>
    </row>
    <row r="705" spans="1:17" ht="49" customHeight="1">
      <c r="A705" s="106">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5187</v>
      </c>
      <c r="Q705" s="4" t="s">
        <v>4331</v>
      </c>
    </row>
    <row r="706" spans="1:17" ht="39" customHeight="1">
      <c r="A706" s="170">
        <v>170</v>
      </c>
      <c r="B706" s="54" t="s">
        <v>4315</v>
      </c>
      <c r="C706" s="35" t="s">
        <v>4317</v>
      </c>
      <c r="D706" s="35" t="s">
        <v>2398</v>
      </c>
      <c r="E706" s="38" t="s">
        <v>2399</v>
      </c>
      <c r="F706" s="38" t="s">
        <v>4327</v>
      </c>
      <c r="G706" s="38" t="s">
        <v>4316</v>
      </c>
      <c r="H706" s="35" t="s">
        <v>4314</v>
      </c>
      <c r="I706" s="14">
        <v>36.688008000000004</v>
      </c>
      <c r="J706" s="14">
        <v>-5.7051084000000003</v>
      </c>
      <c r="K706" s="73">
        <f>23.46/10</f>
        <v>2.3460000000000001</v>
      </c>
      <c r="L706" s="38">
        <v>2003</v>
      </c>
      <c r="M706" s="38">
        <v>2009</v>
      </c>
      <c r="N706" s="73" t="s">
        <v>2276</v>
      </c>
      <c r="O706" s="38" t="s">
        <v>67</v>
      </c>
      <c r="P706" s="5" t="s">
        <v>5187</v>
      </c>
      <c r="Q706" s="168" t="s">
        <v>4328</v>
      </c>
    </row>
    <row r="707" spans="1:17" ht="39" customHeight="1">
      <c r="A707" s="106">
        <v>170</v>
      </c>
      <c r="B707" s="40" t="s">
        <v>4315</v>
      </c>
      <c r="C707" s="11" t="s">
        <v>4318</v>
      </c>
      <c r="D707" s="35" t="s">
        <v>2398</v>
      </c>
      <c r="E707" s="38" t="s">
        <v>2399</v>
      </c>
      <c r="F707" s="38" t="s">
        <v>4327</v>
      </c>
      <c r="G707" s="38" t="s">
        <v>4316</v>
      </c>
      <c r="H707" s="35" t="s">
        <v>4314</v>
      </c>
      <c r="I707" s="21">
        <v>37.498520499999998</v>
      </c>
      <c r="J707" s="21">
        <v>-7.0745521</v>
      </c>
      <c r="K707" s="73">
        <f t="shared" ref="K707:K715" si="8">23.46/10</f>
        <v>2.3460000000000001</v>
      </c>
      <c r="L707" s="38">
        <v>2003</v>
      </c>
      <c r="M707" s="38">
        <v>2009</v>
      </c>
      <c r="N707" s="73" t="s">
        <v>2276</v>
      </c>
      <c r="O707" s="38" t="s">
        <v>67</v>
      </c>
      <c r="P707" s="5" t="s">
        <v>5187</v>
      </c>
      <c r="Q707" s="168" t="s">
        <v>4328</v>
      </c>
    </row>
    <row r="708" spans="1:17" ht="39" customHeight="1">
      <c r="A708" s="106">
        <v>170</v>
      </c>
      <c r="B708" s="40" t="s">
        <v>4315</v>
      </c>
      <c r="C708" s="11" t="s">
        <v>4319</v>
      </c>
      <c r="D708" s="35" t="s">
        <v>2398</v>
      </c>
      <c r="E708" s="38" t="s">
        <v>2399</v>
      </c>
      <c r="F708" s="38" t="s">
        <v>4327</v>
      </c>
      <c r="G708" s="38" t="s">
        <v>4316</v>
      </c>
      <c r="H708" s="35" t="s">
        <v>4314</v>
      </c>
      <c r="I708" s="21">
        <v>38.043869299999997</v>
      </c>
      <c r="J708" s="21">
        <v>-5.1794403999999998</v>
      </c>
      <c r="K708" s="73">
        <f t="shared" si="8"/>
        <v>2.3460000000000001</v>
      </c>
      <c r="L708" s="38">
        <v>2003</v>
      </c>
      <c r="M708" s="38">
        <v>2009</v>
      </c>
      <c r="N708" s="73" t="s">
        <v>2276</v>
      </c>
      <c r="O708" s="38" t="s">
        <v>67</v>
      </c>
      <c r="P708" s="5" t="s">
        <v>5187</v>
      </c>
      <c r="Q708" s="168" t="s">
        <v>4328</v>
      </c>
    </row>
    <row r="709" spans="1:17" ht="39" customHeight="1">
      <c r="A709" s="106">
        <v>170</v>
      </c>
      <c r="B709" s="40" t="s">
        <v>4315</v>
      </c>
      <c r="C709" s="11" t="s">
        <v>4320</v>
      </c>
      <c r="D709" s="35" t="s">
        <v>2398</v>
      </c>
      <c r="E709" s="38" t="s">
        <v>2399</v>
      </c>
      <c r="F709" s="38" t="s">
        <v>4327</v>
      </c>
      <c r="G709" s="38" t="s">
        <v>4316</v>
      </c>
      <c r="H709" s="35" t="s">
        <v>4314</v>
      </c>
      <c r="I709" s="21">
        <f>38+27/60</f>
        <v>38.450000000000003</v>
      </c>
      <c r="J709" s="21">
        <f>-2-36/60</f>
        <v>-2.6</v>
      </c>
      <c r="K709" s="73">
        <f t="shared" si="8"/>
        <v>2.3460000000000001</v>
      </c>
      <c r="L709" s="38">
        <v>2003</v>
      </c>
      <c r="M709" s="38">
        <v>2009</v>
      </c>
      <c r="N709" s="73" t="s">
        <v>2276</v>
      </c>
      <c r="O709" s="38" t="s">
        <v>67</v>
      </c>
      <c r="P709" s="5" t="s">
        <v>5187</v>
      </c>
      <c r="Q709" s="168" t="s">
        <v>4328</v>
      </c>
    </row>
    <row r="710" spans="1:17" ht="39" customHeight="1">
      <c r="A710" s="106">
        <v>170</v>
      </c>
      <c r="B710" s="40" t="s">
        <v>4315</v>
      </c>
      <c r="C710" s="11" t="s">
        <v>4321</v>
      </c>
      <c r="D710" s="35" t="s">
        <v>2398</v>
      </c>
      <c r="E710" s="38" t="s">
        <v>2399</v>
      </c>
      <c r="F710" s="38" t="s">
        <v>4327</v>
      </c>
      <c r="G710" s="38" t="s">
        <v>4316</v>
      </c>
      <c r="H710" s="35" t="s">
        <v>4314</v>
      </c>
      <c r="I710" s="21">
        <f>38 + 29/60</f>
        <v>38.483333333333334</v>
      </c>
      <c r="J710" s="21">
        <f>-2-49/60</f>
        <v>-2.8166666666666664</v>
      </c>
      <c r="K710" s="73">
        <f t="shared" si="8"/>
        <v>2.3460000000000001</v>
      </c>
      <c r="L710" s="38">
        <v>2003</v>
      </c>
      <c r="M710" s="38">
        <v>2009</v>
      </c>
      <c r="N710" s="73" t="s">
        <v>2276</v>
      </c>
      <c r="O710" s="38" t="s">
        <v>67</v>
      </c>
      <c r="P710" s="5" t="s">
        <v>5187</v>
      </c>
      <c r="Q710" s="168" t="s">
        <v>4328</v>
      </c>
    </row>
    <row r="711" spans="1:17" ht="39" customHeight="1">
      <c r="A711" s="106">
        <v>170</v>
      </c>
      <c r="B711" s="40" t="s">
        <v>4315</v>
      </c>
      <c r="C711" s="11" t="s">
        <v>4322</v>
      </c>
      <c r="D711" s="35" t="s">
        <v>2398</v>
      </c>
      <c r="E711" s="38" t="s">
        <v>2399</v>
      </c>
      <c r="F711" s="38" t="s">
        <v>4327</v>
      </c>
      <c r="G711" s="38" t="s">
        <v>4316</v>
      </c>
      <c r="H711" s="35" t="s">
        <v>4314</v>
      </c>
      <c r="I711" s="21">
        <v>37.8344892</v>
      </c>
      <c r="J711" s="21">
        <v>-2.9360164000000002</v>
      </c>
      <c r="K711" s="73">
        <f t="shared" si="8"/>
        <v>2.3460000000000001</v>
      </c>
      <c r="L711" s="38">
        <v>2003</v>
      </c>
      <c r="M711" s="38">
        <v>2009</v>
      </c>
      <c r="N711" s="73" t="s">
        <v>2276</v>
      </c>
      <c r="O711" s="38" t="s">
        <v>67</v>
      </c>
      <c r="P711" s="5" t="s">
        <v>5187</v>
      </c>
      <c r="Q711" s="168" t="s">
        <v>4328</v>
      </c>
    </row>
    <row r="712" spans="1:17" ht="39" customHeight="1">
      <c r="A712" s="106">
        <v>170</v>
      </c>
      <c r="B712" s="40" t="s">
        <v>4315</v>
      </c>
      <c r="C712" s="11" t="s">
        <v>4323</v>
      </c>
      <c r="D712" s="35" t="s">
        <v>2398</v>
      </c>
      <c r="E712" s="38" t="s">
        <v>2399</v>
      </c>
      <c r="F712" s="38" t="s">
        <v>4327</v>
      </c>
      <c r="G712" s="38" t="s">
        <v>4316</v>
      </c>
      <c r="H712" s="35" t="s">
        <v>4314</v>
      </c>
      <c r="I712" s="21">
        <v>37.064624000000002</v>
      </c>
      <c r="J712" s="21">
        <v>-3.3127602</v>
      </c>
      <c r="K712" s="73">
        <f t="shared" si="8"/>
        <v>2.3460000000000001</v>
      </c>
      <c r="L712" s="38">
        <v>2003</v>
      </c>
      <c r="M712" s="38">
        <v>2009</v>
      </c>
      <c r="N712" s="73" t="s">
        <v>2276</v>
      </c>
      <c r="O712" s="38" t="s">
        <v>67</v>
      </c>
      <c r="P712" s="5" t="s">
        <v>5187</v>
      </c>
      <c r="Q712" s="168" t="s">
        <v>4328</v>
      </c>
    </row>
    <row r="713" spans="1:17" ht="39" customHeight="1">
      <c r="A713" s="106">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5187</v>
      </c>
      <c r="Q713" s="4" t="s">
        <v>4328</v>
      </c>
    </row>
    <row r="714" spans="1:17" ht="39" customHeight="1">
      <c r="A714" s="106">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5187</v>
      </c>
      <c r="Q714" s="4" t="s">
        <v>4328</v>
      </c>
    </row>
    <row r="715" spans="1:17" ht="39" customHeight="1">
      <c r="A715" s="106">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5187</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5187</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5187</v>
      </c>
      <c r="Q717" s="3" t="s">
        <v>4361</v>
      </c>
    </row>
    <row r="718" spans="1:17" ht="35.5" customHeight="1">
      <c r="A718" s="171">
        <v>172</v>
      </c>
      <c r="B718" s="61" t="s">
        <v>4388</v>
      </c>
      <c r="C718" s="23" t="s">
        <v>4387</v>
      </c>
      <c r="D718" s="22" t="s">
        <v>2416</v>
      </c>
      <c r="E718" s="22" t="s">
        <v>2400</v>
      </c>
      <c r="F718" s="3" t="s">
        <v>2276</v>
      </c>
      <c r="G718" s="23" t="s">
        <v>3934</v>
      </c>
      <c r="H718" s="23" t="s">
        <v>3933</v>
      </c>
      <c r="I718" s="77">
        <v>13.349641399999999</v>
      </c>
      <c r="J718" s="77">
        <v>-16.019096399999999</v>
      </c>
      <c r="K718" s="21" t="s">
        <v>2276</v>
      </c>
      <c r="L718" s="22">
        <v>2008</v>
      </c>
      <c r="M718" s="22">
        <v>2009</v>
      </c>
      <c r="N718" s="77" t="s">
        <v>2276</v>
      </c>
      <c r="O718" s="3" t="s">
        <v>67</v>
      </c>
      <c r="P718" s="5" t="s">
        <v>5187</v>
      </c>
      <c r="Q718" s="24" t="s">
        <v>4394</v>
      </c>
    </row>
    <row r="719" spans="1:17" ht="35.5" customHeight="1">
      <c r="A719" s="171">
        <v>172</v>
      </c>
      <c r="B719" s="61" t="s">
        <v>4388</v>
      </c>
      <c r="C719" s="23" t="s">
        <v>4389</v>
      </c>
      <c r="D719" s="22" t="s">
        <v>2416</v>
      </c>
      <c r="E719" s="22" t="s">
        <v>2400</v>
      </c>
      <c r="F719" s="33" t="s">
        <v>2276</v>
      </c>
      <c r="G719" s="23" t="s">
        <v>3935</v>
      </c>
      <c r="H719" s="23" t="s">
        <v>3933</v>
      </c>
      <c r="I719" s="77">
        <v>13.7160305</v>
      </c>
      <c r="J719" s="77">
        <v>-15.100198600000001</v>
      </c>
      <c r="K719" s="21" t="s">
        <v>2276</v>
      </c>
      <c r="L719" s="22">
        <v>2008</v>
      </c>
      <c r="M719" s="22">
        <v>2009</v>
      </c>
      <c r="N719" s="77" t="s">
        <v>2276</v>
      </c>
      <c r="O719" s="3" t="s">
        <v>67</v>
      </c>
      <c r="P719" s="5" t="s">
        <v>5187</v>
      </c>
      <c r="Q719" s="24" t="s">
        <v>4394</v>
      </c>
    </row>
    <row r="720" spans="1:17" ht="35.5" customHeight="1">
      <c r="A720" s="171">
        <v>172</v>
      </c>
      <c r="B720" s="61" t="s">
        <v>4388</v>
      </c>
      <c r="C720" s="23" t="s">
        <v>4390</v>
      </c>
      <c r="D720" s="22" t="s">
        <v>2416</v>
      </c>
      <c r="E720" s="22" t="s">
        <v>2400</v>
      </c>
      <c r="F720" s="3" t="s">
        <v>2276</v>
      </c>
      <c r="G720" s="23" t="s">
        <v>4412</v>
      </c>
      <c r="H720" s="23" t="s">
        <v>3933</v>
      </c>
      <c r="I720" s="77">
        <v>13.5721112</v>
      </c>
      <c r="J720" s="77">
        <v>-15.2698559</v>
      </c>
      <c r="K720" s="21" t="s">
        <v>2276</v>
      </c>
      <c r="L720" s="22">
        <v>2008</v>
      </c>
      <c r="M720" s="22">
        <v>2009</v>
      </c>
      <c r="N720" s="77" t="s">
        <v>2276</v>
      </c>
      <c r="O720" s="3" t="s">
        <v>67</v>
      </c>
      <c r="P720" s="5" t="s">
        <v>5187</v>
      </c>
      <c r="Q720" s="24" t="s">
        <v>4394</v>
      </c>
    </row>
    <row r="721" spans="1:17" ht="35.5" customHeight="1">
      <c r="A721" s="171">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7">
        <v>13</v>
      </c>
      <c r="O721" s="3" t="s">
        <v>67</v>
      </c>
      <c r="P721" s="5" t="s">
        <v>5187</v>
      </c>
      <c r="Q721" s="24" t="s">
        <v>4394</v>
      </c>
    </row>
    <row r="722" spans="1:17" ht="35.5" customHeight="1">
      <c r="A722" s="171">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7" t="s">
        <v>2276</v>
      </c>
      <c r="O722" s="3" t="s">
        <v>67</v>
      </c>
      <c r="P722" s="5" t="s">
        <v>5187</v>
      </c>
      <c r="Q722" s="24" t="s">
        <v>4394</v>
      </c>
    </row>
    <row r="723" spans="1:17" ht="35.5" customHeight="1">
      <c r="A723" s="171">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7" t="s">
        <v>2276</v>
      </c>
      <c r="O723" s="3" t="s">
        <v>67</v>
      </c>
      <c r="P723" s="5" t="s">
        <v>5187</v>
      </c>
      <c r="Q723" s="24" t="s">
        <v>4394</v>
      </c>
    </row>
    <row r="724" spans="1:17" ht="41" customHeight="1">
      <c r="A724" s="171">
        <v>173</v>
      </c>
      <c r="B724" s="40" t="s">
        <v>4419</v>
      </c>
      <c r="C724" s="23" t="s">
        <v>4418</v>
      </c>
      <c r="D724" s="3" t="s">
        <v>2398</v>
      </c>
      <c r="E724" s="3" t="s">
        <v>2637</v>
      </c>
      <c r="F724" s="3" t="s">
        <v>2276</v>
      </c>
      <c r="G724" s="3" t="s">
        <v>4423</v>
      </c>
      <c r="H724" s="3" t="s">
        <v>4420</v>
      </c>
      <c r="I724" s="21">
        <v>35.279265500000001</v>
      </c>
      <c r="J724" s="21">
        <v>63.872084999999998</v>
      </c>
      <c r="K724" s="77" t="s">
        <v>2276</v>
      </c>
      <c r="L724" s="95">
        <v>2006</v>
      </c>
      <c r="M724" s="172">
        <v>2006</v>
      </c>
      <c r="N724" s="77" t="s">
        <v>2276</v>
      </c>
      <c r="O724" s="3" t="s">
        <v>67</v>
      </c>
      <c r="P724" s="5" t="s">
        <v>5187</v>
      </c>
      <c r="Q724" s="3"/>
    </row>
    <row r="725" spans="1:17" ht="38" customHeight="1">
      <c r="A725" s="171">
        <v>173</v>
      </c>
      <c r="B725" s="40" t="s">
        <v>4419</v>
      </c>
      <c r="C725" s="23" t="s">
        <v>4421</v>
      </c>
      <c r="D725" s="3" t="s">
        <v>2398</v>
      </c>
      <c r="E725" s="3" t="s">
        <v>2637</v>
      </c>
      <c r="F725" s="3" t="s">
        <v>4424</v>
      </c>
      <c r="G725" s="3" t="s">
        <v>2276</v>
      </c>
      <c r="H725" s="11" t="s">
        <v>4422</v>
      </c>
      <c r="I725" s="21">
        <v>35.866898399999997</v>
      </c>
      <c r="J725" s="21">
        <v>61.665154600000001</v>
      </c>
      <c r="K725" s="77" t="s">
        <v>2276</v>
      </c>
      <c r="L725" s="95">
        <v>2006</v>
      </c>
      <c r="M725" s="172">
        <v>2006</v>
      </c>
      <c r="N725" s="77" t="s">
        <v>2276</v>
      </c>
      <c r="O725" s="3" t="s">
        <v>67</v>
      </c>
      <c r="P725" s="5" t="s">
        <v>5187</v>
      </c>
      <c r="Q725" s="3"/>
    </row>
    <row r="726" spans="1:17" ht="50" customHeight="1">
      <c r="A726" s="171">
        <v>174</v>
      </c>
      <c r="B726" s="40" t="s">
        <v>4435</v>
      </c>
      <c r="C726" s="23" t="s">
        <v>4436</v>
      </c>
      <c r="D726" s="3" t="s">
        <v>2398</v>
      </c>
      <c r="E726" s="3" t="s">
        <v>2399</v>
      </c>
      <c r="F726" s="3" t="s">
        <v>4437</v>
      </c>
      <c r="G726" s="3" t="s">
        <v>3771</v>
      </c>
      <c r="H726" s="3" t="s">
        <v>3770</v>
      </c>
      <c r="I726" s="21">
        <v>-33.5</v>
      </c>
      <c r="J726" s="21">
        <v>25.332999999999998</v>
      </c>
      <c r="K726" s="21" t="s">
        <v>2276</v>
      </c>
      <c r="L726" s="95">
        <v>2001</v>
      </c>
      <c r="M726" s="172">
        <v>2002</v>
      </c>
      <c r="N726" s="77" t="s">
        <v>2276</v>
      </c>
      <c r="O726" s="3" t="s">
        <v>67</v>
      </c>
      <c r="P726" s="5" t="s">
        <v>5187</v>
      </c>
      <c r="Q726" s="3"/>
    </row>
    <row r="727" spans="1:17" ht="44.5" customHeight="1">
      <c r="A727" s="171">
        <v>175</v>
      </c>
      <c r="B727" s="40" t="s">
        <v>4447</v>
      </c>
      <c r="C727" s="23" t="s">
        <v>4448</v>
      </c>
      <c r="D727" s="3" t="s">
        <v>2398</v>
      </c>
      <c r="E727" s="3" t="s">
        <v>2636</v>
      </c>
      <c r="F727" s="3" t="s">
        <v>4449</v>
      </c>
      <c r="G727" s="3" t="s">
        <v>4450</v>
      </c>
      <c r="H727" s="3" t="s">
        <v>770</v>
      </c>
      <c r="I727" s="21">
        <v>16.594422600000001</v>
      </c>
      <c r="J727" s="21">
        <v>-92.363898300000002</v>
      </c>
      <c r="K727" s="21" t="s">
        <v>2276</v>
      </c>
      <c r="L727" s="172">
        <v>1990</v>
      </c>
      <c r="M727" s="172">
        <v>1990</v>
      </c>
      <c r="N727" s="77" t="s">
        <v>2276</v>
      </c>
      <c r="O727" s="3" t="s">
        <v>67</v>
      </c>
      <c r="P727" s="5" t="s">
        <v>5187</v>
      </c>
      <c r="Q727" s="4" t="s">
        <v>4455</v>
      </c>
    </row>
    <row r="728" spans="1:17" ht="43.5" customHeight="1">
      <c r="A728" s="171">
        <v>175</v>
      </c>
      <c r="B728" s="40" t="s">
        <v>4447</v>
      </c>
      <c r="C728" s="23" t="s">
        <v>4451</v>
      </c>
      <c r="D728" s="3" t="s">
        <v>2398</v>
      </c>
      <c r="E728" s="3" t="s">
        <v>2637</v>
      </c>
      <c r="F728" s="3" t="s">
        <v>4452</v>
      </c>
      <c r="G728" s="3" t="s">
        <v>4450</v>
      </c>
      <c r="H728" s="3" t="s">
        <v>770</v>
      </c>
      <c r="I728" s="21">
        <v>16.594422600000001</v>
      </c>
      <c r="J728" s="21">
        <v>-92.363898300000002</v>
      </c>
      <c r="K728" s="21" t="s">
        <v>2276</v>
      </c>
      <c r="L728" s="172">
        <v>2010</v>
      </c>
      <c r="M728" s="172">
        <v>2010</v>
      </c>
      <c r="N728" s="77" t="s">
        <v>2276</v>
      </c>
      <c r="O728" s="3" t="s">
        <v>67</v>
      </c>
      <c r="P728" s="5" t="s">
        <v>5187</v>
      </c>
      <c r="Q728" s="4" t="s">
        <v>4456</v>
      </c>
    </row>
    <row r="729" spans="1:17" ht="52" customHeight="1">
      <c r="A729" s="171">
        <v>175</v>
      </c>
      <c r="B729" s="41" t="s">
        <v>4454</v>
      </c>
      <c r="C729" s="23" t="s">
        <v>4453</v>
      </c>
      <c r="D729" s="3" t="s">
        <v>2398</v>
      </c>
      <c r="E729" s="3" t="s">
        <v>2637</v>
      </c>
      <c r="F729" s="3" t="s">
        <v>4452</v>
      </c>
      <c r="G729" s="3" t="s">
        <v>4450</v>
      </c>
      <c r="H729" s="3" t="s">
        <v>770</v>
      </c>
      <c r="I729" s="21">
        <v>20.597460399999999</v>
      </c>
      <c r="J729" s="21">
        <v>-88.162852200000003</v>
      </c>
      <c r="K729" s="21" t="s">
        <v>2276</v>
      </c>
      <c r="L729" s="172">
        <v>1990</v>
      </c>
      <c r="M729" s="172">
        <v>1990</v>
      </c>
      <c r="N729" s="77" t="s">
        <v>2276</v>
      </c>
      <c r="O729" s="3" t="s">
        <v>67</v>
      </c>
      <c r="P729" s="5" t="s">
        <v>5187</v>
      </c>
      <c r="Q729" s="3"/>
    </row>
    <row r="730" spans="1:17" ht="58.5" customHeight="1">
      <c r="A730" s="171">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7" t="s">
        <v>2276</v>
      </c>
      <c r="O730" s="3" t="s">
        <v>67</v>
      </c>
      <c r="P730" s="5" t="s">
        <v>5187</v>
      </c>
      <c r="Q730" s="3"/>
    </row>
    <row r="731" spans="1:17" ht="49" customHeight="1">
      <c r="A731" s="171">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7">
        <f>202/K731</f>
        <v>8.9777777777777776E-2</v>
      </c>
      <c r="O731" s="3" t="s">
        <v>67</v>
      </c>
      <c r="P731" s="5" t="s">
        <v>5187</v>
      </c>
      <c r="Q731" s="3"/>
    </row>
    <row r="732" spans="1:17" ht="49" customHeight="1">
      <c r="A732" s="171">
        <v>177</v>
      </c>
      <c r="B732" s="40" t="s">
        <v>4484</v>
      </c>
      <c r="C732" s="3" t="s">
        <v>4487</v>
      </c>
      <c r="D732" s="3" t="s">
        <v>2398</v>
      </c>
      <c r="E732" s="4" t="s">
        <v>2639</v>
      </c>
      <c r="F732" s="3" t="s">
        <v>4486</v>
      </c>
      <c r="G732" s="3" t="s">
        <v>2276</v>
      </c>
      <c r="H732" s="3" t="s">
        <v>1951</v>
      </c>
      <c r="I732" s="21">
        <v>-1.25</v>
      </c>
      <c r="J732" s="21">
        <v>35.25</v>
      </c>
      <c r="K732" s="21">
        <v>2250</v>
      </c>
      <c r="L732" s="174">
        <v>1967</v>
      </c>
      <c r="M732" s="174">
        <v>1982</v>
      </c>
      <c r="N732" s="77">
        <f>1283/K732</f>
        <v>0.57022222222222219</v>
      </c>
      <c r="O732" s="3" t="s">
        <v>67</v>
      </c>
      <c r="P732" s="5" t="s">
        <v>5187</v>
      </c>
      <c r="Q732" s="3"/>
    </row>
    <row r="733" spans="1:17" ht="49" customHeight="1">
      <c r="A733" s="171">
        <v>177</v>
      </c>
      <c r="B733" s="40" t="s">
        <v>4484</v>
      </c>
      <c r="C733" s="3" t="s">
        <v>4488</v>
      </c>
      <c r="D733" s="3" t="s">
        <v>2398</v>
      </c>
      <c r="E733" s="4" t="s">
        <v>2639</v>
      </c>
      <c r="F733" s="3" t="s">
        <v>4486</v>
      </c>
      <c r="G733" s="3" t="s">
        <v>2276</v>
      </c>
      <c r="H733" s="3" t="s">
        <v>1951</v>
      </c>
      <c r="I733" s="21">
        <v>-1.25</v>
      </c>
      <c r="J733" s="21">
        <v>35.25</v>
      </c>
      <c r="K733" s="21">
        <v>2250</v>
      </c>
      <c r="L733" s="174">
        <v>1983</v>
      </c>
      <c r="M733" s="174">
        <v>1998</v>
      </c>
      <c r="N733" s="77">
        <f>4151/K733</f>
        <v>1.8448888888888888</v>
      </c>
      <c r="O733" s="3" t="s">
        <v>67</v>
      </c>
      <c r="P733" s="5" t="s">
        <v>5187</v>
      </c>
      <c r="Q733" s="3"/>
    </row>
    <row r="734" spans="1:17" ht="49" customHeight="1">
      <c r="A734" s="171">
        <v>177</v>
      </c>
      <c r="B734" s="40" t="s">
        <v>4484</v>
      </c>
      <c r="C734" s="3" t="s">
        <v>4489</v>
      </c>
      <c r="D734" s="3" t="s">
        <v>2398</v>
      </c>
      <c r="E734" s="4" t="s">
        <v>2639</v>
      </c>
      <c r="F734" s="3" t="s">
        <v>4486</v>
      </c>
      <c r="G734" s="3" t="s">
        <v>2276</v>
      </c>
      <c r="H734" s="3" t="s">
        <v>1951</v>
      </c>
      <c r="I734" s="21">
        <v>-1.25</v>
      </c>
      <c r="J734" s="21">
        <v>35.25</v>
      </c>
      <c r="K734" s="21">
        <v>2250</v>
      </c>
      <c r="L734" s="174">
        <v>1999</v>
      </c>
      <c r="M734" s="174">
        <v>2000</v>
      </c>
      <c r="N734" s="77">
        <f>8428/K734</f>
        <v>3.7457777777777777</v>
      </c>
      <c r="O734" s="3" t="s">
        <v>67</v>
      </c>
      <c r="P734" s="5" t="s">
        <v>5187</v>
      </c>
      <c r="Q734" s="3"/>
    </row>
    <row r="735" spans="1:17" ht="50" customHeight="1">
      <c r="A735" s="171">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5187</v>
      </c>
      <c r="Q735" s="3" t="s">
        <v>4507</v>
      </c>
    </row>
    <row r="736" spans="1:17" ht="45" customHeight="1">
      <c r="A736" s="171">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5187</v>
      </c>
      <c r="Q736" s="3"/>
    </row>
    <row r="737" spans="1:17" ht="43" customHeight="1">
      <c r="A737" s="171">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5187</v>
      </c>
      <c r="Q737" s="3"/>
    </row>
    <row r="738" spans="1:17" ht="43" customHeight="1">
      <c r="A738" s="171">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5187</v>
      </c>
      <c r="Q738" s="3"/>
    </row>
    <row r="739" spans="1:17" ht="43" customHeight="1">
      <c r="A739" s="171">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5187</v>
      </c>
      <c r="Q739" s="3"/>
    </row>
    <row r="740" spans="1:17" ht="43" customHeight="1">
      <c r="A740" s="171">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5187</v>
      </c>
      <c r="Q740" s="3"/>
    </row>
    <row r="741" spans="1:17" ht="43" customHeight="1">
      <c r="A741" s="171">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5187</v>
      </c>
      <c r="Q741" s="3"/>
    </row>
    <row r="742" spans="1:17" ht="43.5" customHeight="1">
      <c r="A742" s="171">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5187</v>
      </c>
      <c r="Q742" s="3"/>
    </row>
    <row r="743" spans="1:17" ht="44.5" customHeight="1">
      <c r="A743" s="171">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5187</v>
      </c>
      <c r="Q743" s="3"/>
    </row>
    <row r="744" spans="1:17" ht="43" customHeight="1">
      <c r="A744" s="171">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5187</v>
      </c>
      <c r="Q744" s="3"/>
    </row>
    <row r="745" spans="1:17" ht="42.5" customHeight="1">
      <c r="A745" s="171">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5187</v>
      </c>
      <c r="Q745" s="3"/>
    </row>
    <row r="746" spans="1:17" ht="42.5" customHeight="1">
      <c r="A746" s="171">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5187</v>
      </c>
      <c r="Q746" s="3"/>
    </row>
    <row r="747" spans="1:17" ht="42" customHeight="1">
      <c r="A747" s="171">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5187</v>
      </c>
      <c r="Q747" s="3"/>
    </row>
    <row r="748" spans="1:17" ht="57" customHeight="1">
      <c r="A748" s="171">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5187</v>
      </c>
      <c r="Q748" s="3"/>
    </row>
    <row r="749" spans="1:17" ht="41" customHeight="1">
      <c r="A749" s="171">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5187</v>
      </c>
      <c r="Q749" s="3"/>
    </row>
    <row r="750" spans="1:17" ht="37" customHeight="1">
      <c r="A750" s="171">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5187</v>
      </c>
      <c r="Q750" s="3"/>
    </row>
    <row r="751" spans="1:17" ht="41" customHeight="1">
      <c r="A751" s="171">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5187</v>
      </c>
      <c r="Q751" s="3"/>
    </row>
    <row r="752" spans="1:17" ht="43" customHeight="1">
      <c r="A752" s="171">
        <v>182</v>
      </c>
      <c r="B752" s="40" t="s">
        <v>4625</v>
      </c>
      <c r="C752" s="11" t="s">
        <v>4620</v>
      </c>
      <c r="D752" s="3" t="s">
        <v>2398</v>
      </c>
      <c r="E752" s="3" t="s">
        <v>2399</v>
      </c>
      <c r="F752" s="3" t="s">
        <v>4626</v>
      </c>
      <c r="G752" s="3" t="s">
        <v>2276</v>
      </c>
      <c r="H752" s="3" t="s">
        <v>1948</v>
      </c>
      <c r="I752" s="21">
        <v>-26</v>
      </c>
      <c r="J752" s="21">
        <v>22.4</v>
      </c>
      <c r="K752" s="21" t="s">
        <v>2276</v>
      </c>
      <c r="L752" s="165">
        <v>2004</v>
      </c>
      <c r="M752" s="165">
        <v>2004</v>
      </c>
      <c r="N752" s="21" t="s">
        <v>2276</v>
      </c>
      <c r="O752" s="3" t="s">
        <v>67</v>
      </c>
      <c r="P752" s="5" t="s">
        <v>5187</v>
      </c>
      <c r="Q752" s="4" t="s">
        <v>4627</v>
      </c>
    </row>
    <row r="753" spans="1:17" ht="44.5" customHeight="1">
      <c r="A753" s="171">
        <v>182</v>
      </c>
      <c r="B753" s="40" t="s">
        <v>4625</v>
      </c>
      <c r="C753" s="11" t="s">
        <v>4621</v>
      </c>
      <c r="D753" s="3" t="s">
        <v>2398</v>
      </c>
      <c r="E753" s="3" t="s">
        <v>2399</v>
      </c>
      <c r="F753" s="3" t="s">
        <v>4623</v>
      </c>
      <c r="G753" s="3" t="s">
        <v>2276</v>
      </c>
      <c r="H753" s="3" t="s">
        <v>1948</v>
      </c>
      <c r="I753" s="21">
        <v>-21</v>
      </c>
      <c r="J753" s="21">
        <v>24.75</v>
      </c>
      <c r="K753" s="21" t="s">
        <v>2276</v>
      </c>
      <c r="L753" s="165">
        <v>2004</v>
      </c>
      <c r="M753" s="165">
        <v>2004</v>
      </c>
      <c r="N753" s="21" t="s">
        <v>2276</v>
      </c>
      <c r="O753" s="3" t="s">
        <v>67</v>
      </c>
      <c r="P753" s="5" t="s">
        <v>5187</v>
      </c>
      <c r="Q753" s="4" t="s">
        <v>4627</v>
      </c>
    </row>
    <row r="754" spans="1:17" ht="43.5" customHeight="1">
      <c r="A754" s="171">
        <v>182</v>
      </c>
      <c r="B754" s="40" t="s">
        <v>4625</v>
      </c>
      <c r="C754" s="11" t="s">
        <v>4622</v>
      </c>
      <c r="D754" s="3" t="s">
        <v>2398</v>
      </c>
      <c r="E754" s="3" t="s">
        <v>2399</v>
      </c>
      <c r="F754" s="3" t="s">
        <v>4624</v>
      </c>
      <c r="G754" s="3" t="s">
        <v>2276</v>
      </c>
      <c r="H754" s="3" t="s">
        <v>1948</v>
      </c>
      <c r="I754" s="21">
        <v>-24.5992307</v>
      </c>
      <c r="J754" s="21">
        <v>26.0002967</v>
      </c>
      <c r="K754" s="21" t="s">
        <v>2276</v>
      </c>
      <c r="L754" s="165">
        <v>2004</v>
      </c>
      <c r="M754" s="165">
        <v>2004</v>
      </c>
      <c r="N754" s="21" t="s">
        <v>2276</v>
      </c>
      <c r="O754" s="3" t="s">
        <v>67</v>
      </c>
      <c r="P754" s="5" t="s">
        <v>5187</v>
      </c>
      <c r="Q754" s="4" t="s">
        <v>4627</v>
      </c>
    </row>
    <row r="755" spans="1:17" ht="42" customHeight="1">
      <c r="A755" s="171">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5187</v>
      </c>
      <c r="Q755" s="19" t="s">
        <v>4649</v>
      </c>
    </row>
    <row r="756" spans="1:17" ht="49" customHeight="1">
      <c r="A756" s="171">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5187</v>
      </c>
      <c r="Q756" s="19" t="s">
        <v>4649</v>
      </c>
    </row>
    <row r="757" spans="1:17" ht="41" customHeight="1">
      <c r="A757" s="171">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5187</v>
      </c>
      <c r="Q757" s="19" t="s">
        <v>4663</v>
      </c>
    </row>
    <row r="758" spans="1:17" ht="42.5" customHeight="1">
      <c r="A758" s="171">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5187</v>
      </c>
      <c r="Q758" s="4" t="s">
        <v>4705</v>
      </c>
    </row>
    <row r="759" spans="1:17" ht="42.5" customHeight="1">
      <c r="A759" s="171">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5187</v>
      </c>
      <c r="Q759" s="4" t="s">
        <v>4705</v>
      </c>
    </row>
    <row r="760" spans="1:17" ht="42.5" customHeight="1">
      <c r="A760" s="171">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5187</v>
      </c>
      <c r="Q760" s="4" t="s">
        <v>4705</v>
      </c>
    </row>
    <row r="761" spans="1:17" ht="42.5" customHeight="1">
      <c r="A761" s="171">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5187</v>
      </c>
      <c r="Q761" s="4" t="s">
        <v>4705</v>
      </c>
    </row>
    <row r="762" spans="1:17" ht="43.5" customHeight="1">
      <c r="A762" s="171">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5187</v>
      </c>
      <c r="Q762" s="4" t="s">
        <v>4701</v>
      </c>
    </row>
    <row r="763" spans="1:17" ht="41.5" customHeight="1">
      <c r="A763" s="171">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5187</v>
      </c>
      <c r="Q763" s="4" t="s">
        <v>4701</v>
      </c>
    </row>
    <row r="764" spans="1:17" ht="41.5" customHeight="1">
      <c r="A764" s="171">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5187</v>
      </c>
      <c r="Q764" s="4" t="s">
        <v>4701</v>
      </c>
    </row>
    <row r="765" spans="1:17" ht="42.5" customHeight="1">
      <c r="A765" s="171">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5187</v>
      </c>
      <c r="Q765" s="3" t="s">
        <v>4719</v>
      </c>
    </row>
    <row r="766" spans="1:17" ht="43" customHeight="1">
      <c r="A766" s="171">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5187</v>
      </c>
      <c r="Q766" s="3" t="s">
        <v>4719</v>
      </c>
    </row>
    <row r="767" spans="1:17" ht="39.5" customHeight="1">
      <c r="A767" s="171">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5187</v>
      </c>
      <c r="Q767" s="3" t="s">
        <v>4719</v>
      </c>
    </row>
    <row r="768" spans="1:17" ht="39.5" customHeight="1">
      <c r="A768" s="171">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5187</v>
      </c>
      <c r="Q768" s="3" t="s">
        <v>4719</v>
      </c>
    </row>
    <row r="769" spans="1:17" s="122" customFormat="1" ht="49.5" customHeight="1">
      <c r="A769" s="171">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5187</v>
      </c>
      <c r="Q769" s="3" t="s">
        <v>4719</v>
      </c>
    </row>
    <row r="770" spans="1:17" s="122" customFormat="1" ht="49.5" customHeight="1">
      <c r="A770" s="171">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5187</v>
      </c>
      <c r="Q770" s="3" t="s">
        <v>4719</v>
      </c>
    </row>
    <row r="771" spans="1:17" s="122" customFormat="1" ht="49.5" customHeight="1">
      <c r="A771" s="171">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5187</v>
      </c>
      <c r="Q771" s="4" t="s">
        <v>4767</v>
      </c>
    </row>
    <row r="772" spans="1:17" ht="42" customHeight="1">
      <c r="A772" s="171">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5187</v>
      </c>
      <c r="Q772" s="3"/>
    </row>
    <row r="773" spans="1:17" ht="39" customHeight="1">
      <c r="A773" s="171">
        <v>191</v>
      </c>
      <c r="B773" s="40" t="s">
        <v>4776</v>
      </c>
      <c r="C773" s="11" t="s">
        <v>4777</v>
      </c>
      <c r="D773" s="3" t="s">
        <v>2398</v>
      </c>
      <c r="E773" s="3" t="s">
        <v>2637</v>
      </c>
      <c r="F773" s="3" t="s">
        <v>4779</v>
      </c>
      <c r="G773" s="3" t="s">
        <v>4778</v>
      </c>
      <c r="H773" s="3" t="s">
        <v>1951</v>
      </c>
      <c r="I773" s="21">
        <v>0.93876939999999998</v>
      </c>
      <c r="J773" s="21">
        <v>36.035071299999998</v>
      </c>
      <c r="K773" s="21">
        <v>436</v>
      </c>
      <c r="L773" s="95">
        <v>2014</v>
      </c>
      <c r="M773" s="3">
        <v>2015</v>
      </c>
      <c r="N773" s="21">
        <v>27</v>
      </c>
      <c r="O773" s="3" t="s">
        <v>67</v>
      </c>
      <c r="P773" s="5" t="s">
        <v>5187</v>
      </c>
      <c r="Q773" s="3"/>
    </row>
    <row r="774" spans="1:17" ht="66.5" customHeight="1">
      <c r="A774" s="171">
        <v>191</v>
      </c>
      <c r="B774" s="40" t="s">
        <v>4776</v>
      </c>
      <c r="C774" s="11" t="s">
        <v>4781</v>
      </c>
      <c r="D774" s="3" t="s">
        <v>2398</v>
      </c>
      <c r="E774" s="3" t="s">
        <v>2637</v>
      </c>
      <c r="F774" s="3" t="s">
        <v>4779</v>
      </c>
      <c r="G774" s="3" t="s">
        <v>4778</v>
      </c>
      <c r="H774" s="3" t="s">
        <v>1951</v>
      </c>
      <c r="I774" s="21">
        <v>0.93876939999999998</v>
      </c>
      <c r="J774" s="21">
        <v>36.035071299999998</v>
      </c>
      <c r="K774" s="21">
        <v>436</v>
      </c>
      <c r="L774" s="95">
        <v>1975</v>
      </c>
      <c r="M774" s="3">
        <v>1990</v>
      </c>
      <c r="N774" s="21" t="s">
        <v>2276</v>
      </c>
      <c r="O774" s="3" t="s">
        <v>67</v>
      </c>
      <c r="P774" s="5" t="s">
        <v>5187</v>
      </c>
      <c r="Q774" s="19" t="s">
        <v>4782</v>
      </c>
    </row>
    <row r="775" spans="1:17" ht="72.5" customHeight="1">
      <c r="A775" s="171">
        <v>192</v>
      </c>
      <c r="B775" s="40" t="s">
        <v>4790</v>
      </c>
      <c r="C775" s="11" t="s">
        <v>4791</v>
      </c>
      <c r="D775" s="3" t="s">
        <v>2398</v>
      </c>
      <c r="E775" s="3" t="s">
        <v>2422</v>
      </c>
      <c r="F775" s="3" t="s">
        <v>4792</v>
      </c>
      <c r="G775" s="3" t="s">
        <v>4778</v>
      </c>
      <c r="H775" s="3" t="s">
        <v>1951</v>
      </c>
      <c r="I775" s="21">
        <v>0.93876939999999998</v>
      </c>
      <c r="J775" s="21">
        <v>36.035071299999998</v>
      </c>
      <c r="K775" s="21" t="s">
        <v>2276</v>
      </c>
      <c r="L775" s="95">
        <v>1950</v>
      </c>
      <c r="M775" s="3">
        <v>2000</v>
      </c>
      <c r="N775" s="21" t="s">
        <v>2276</v>
      </c>
      <c r="O775" s="3" t="s">
        <v>67</v>
      </c>
      <c r="P775" s="5" t="s">
        <v>5187</v>
      </c>
      <c r="Q775" s="19" t="s">
        <v>4782</v>
      </c>
    </row>
    <row r="776" spans="1:17" ht="58" customHeight="1">
      <c r="A776" s="171">
        <v>192</v>
      </c>
      <c r="B776" s="40" t="s">
        <v>4790</v>
      </c>
      <c r="C776" s="11" t="s">
        <v>4793</v>
      </c>
      <c r="D776" s="3" t="s">
        <v>2398</v>
      </c>
      <c r="E776" s="3" t="s">
        <v>2422</v>
      </c>
      <c r="F776" s="3" t="s">
        <v>4792</v>
      </c>
      <c r="G776" s="3" t="s">
        <v>4778</v>
      </c>
      <c r="H776" s="3" t="s">
        <v>1951</v>
      </c>
      <c r="I776" s="21">
        <v>0.71382299999999999</v>
      </c>
      <c r="J776" s="21">
        <v>36.003399799999997</v>
      </c>
      <c r="K776" s="21" t="s">
        <v>2276</v>
      </c>
      <c r="L776" s="94">
        <v>2000</v>
      </c>
      <c r="M776" s="11">
        <v>2015</v>
      </c>
      <c r="N776" s="21" t="s">
        <v>2276</v>
      </c>
      <c r="O776" s="3" t="s">
        <v>67</v>
      </c>
      <c r="P776" s="5" t="s">
        <v>5187</v>
      </c>
      <c r="Q776" s="3"/>
    </row>
    <row r="777" spans="1:17" ht="43" customHeight="1">
      <c r="A777" s="171">
        <v>193</v>
      </c>
      <c r="B777" s="40" t="s">
        <v>4798</v>
      </c>
      <c r="C777" s="11" t="s">
        <v>4799</v>
      </c>
      <c r="D777" s="11" t="s">
        <v>2398</v>
      </c>
      <c r="E777" s="3" t="s">
        <v>2422</v>
      </c>
      <c r="F777" s="3" t="s">
        <v>4801</v>
      </c>
      <c r="G777" s="3" t="s">
        <v>2276</v>
      </c>
      <c r="H777" s="3" t="s">
        <v>4032</v>
      </c>
      <c r="I777" s="21">
        <v>48</v>
      </c>
      <c r="J777" s="21">
        <v>107.5</v>
      </c>
      <c r="K777" s="21">
        <v>8735</v>
      </c>
      <c r="L777" s="95">
        <v>1924</v>
      </c>
      <c r="M777" s="3">
        <v>1990</v>
      </c>
      <c r="N777" s="21" t="s">
        <v>2276</v>
      </c>
      <c r="O777" s="3" t="s">
        <v>67</v>
      </c>
      <c r="P777" s="5" t="s">
        <v>5187</v>
      </c>
      <c r="Q777" s="4" t="s">
        <v>4800</v>
      </c>
    </row>
    <row r="778" spans="1:17" ht="40" customHeight="1">
      <c r="A778" s="171">
        <v>193</v>
      </c>
      <c r="B778" s="40" t="s">
        <v>4798</v>
      </c>
      <c r="C778" s="11" t="s">
        <v>4802</v>
      </c>
      <c r="D778" s="11" t="s">
        <v>2398</v>
      </c>
      <c r="E778" s="3" t="s">
        <v>2422</v>
      </c>
      <c r="F778" s="3" t="s">
        <v>4801</v>
      </c>
      <c r="G778" s="3" t="s">
        <v>2276</v>
      </c>
      <c r="H778" s="3" t="s">
        <v>4032</v>
      </c>
      <c r="I778" s="21">
        <v>48</v>
      </c>
      <c r="J778" s="21">
        <v>107.5</v>
      </c>
      <c r="K778" s="21">
        <v>8735</v>
      </c>
      <c r="L778" s="94">
        <v>1990</v>
      </c>
      <c r="M778" s="11">
        <v>2009</v>
      </c>
      <c r="N778" s="21">
        <f>1221000/K778</f>
        <v>139.78248425872926</v>
      </c>
      <c r="O778" s="3" t="s">
        <v>67</v>
      </c>
      <c r="P778" s="5" t="s">
        <v>5187</v>
      </c>
      <c r="Q778" s="4" t="s">
        <v>4800</v>
      </c>
    </row>
    <row r="779" spans="1:17" ht="45" customHeight="1">
      <c r="A779" s="171">
        <v>193</v>
      </c>
      <c r="B779" s="40" t="s">
        <v>4798</v>
      </c>
      <c r="C779" s="11" t="s">
        <v>4803</v>
      </c>
      <c r="D779" s="11" t="s">
        <v>2398</v>
      </c>
      <c r="E779" s="3" t="s">
        <v>2399</v>
      </c>
      <c r="F779" s="64" t="s">
        <v>4806</v>
      </c>
      <c r="G779" s="3" t="s">
        <v>4809</v>
      </c>
      <c r="H779" s="3" t="s">
        <v>4032</v>
      </c>
      <c r="I779" s="21">
        <v>48</v>
      </c>
      <c r="J779" s="21">
        <v>107</v>
      </c>
      <c r="K779" s="21">
        <v>2</v>
      </c>
      <c r="L779" s="94">
        <v>1990</v>
      </c>
      <c r="M779" s="11">
        <v>2009</v>
      </c>
      <c r="N779" s="21" t="s">
        <v>2276</v>
      </c>
      <c r="O779" s="3" t="s">
        <v>67</v>
      </c>
      <c r="P779" s="5" t="s">
        <v>5187</v>
      </c>
      <c r="Q779" s="3" t="s">
        <v>2214</v>
      </c>
    </row>
    <row r="780" spans="1:17" ht="45" customHeight="1">
      <c r="A780" s="171">
        <v>193</v>
      </c>
      <c r="B780" s="40" t="s">
        <v>4798</v>
      </c>
      <c r="C780" s="11" t="s">
        <v>4804</v>
      </c>
      <c r="D780" s="11" t="s">
        <v>2398</v>
      </c>
      <c r="E780" s="3" t="s">
        <v>2399</v>
      </c>
      <c r="F780" s="64" t="s">
        <v>4807</v>
      </c>
      <c r="G780" s="3" t="s">
        <v>2276</v>
      </c>
      <c r="H780" s="3" t="s">
        <v>4032</v>
      </c>
      <c r="I780" s="21">
        <v>48</v>
      </c>
      <c r="J780" s="21">
        <v>107.5</v>
      </c>
      <c r="K780" s="21">
        <v>2</v>
      </c>
      <c r="L780" s="94">
        <v>1990</v>
      </c>
      <c r="M780" s="11">
        <v>2009</v>
      </c>
      <c r="N780" s="21" t="s">
        <v>2276</v>
      </c>
      <c r="O780" s="3" t="s">
        <v>67</v>
      </c>
      <c r="P780" s="5" t="s">
        <v>5187</v>
      </c>
      <c r="Q780" s="3" t="s">
        <v>2214</v>
      </c>
    </row>
    <row r="781" spans="1:17" ht="45" customHeight="1">
      <c r="A781" s="171">
        <v>193</v>
      </c>
      <c r="B781" s="40" t="s">
        <v>4798</v>
      </c>
      <c r="C781" s="11" t="s">
        <v>4805</v>
      </c>
      <c r="D781" s="11" t="s">
        <v>2398</v>
      </c>
      <c r="E781" s="3" t="s">
        <v>2399</v>
      </c>
      <c r="F781" s="64" t="s">
        <v>4808</v>
      </c>
      <c r="G781" s="3" t="s">
        <v>2276</v>
      </c>
      <c r="H781" s="3" t="s">
        <v>4032</v>
      </c>
      <c r="I781" s="21">
        <v>48.2</v>
      </c>
      <c r="J781" s="21">
        <v>108</v>
      </c>
      <c r="K781" s="21">
        <v>3.6</v>
      </c>
      <c r="L781" s="94">
        <v>1990</v>
      </c>
      <c r="M781" s="11">
        <v>2009</v>
      </c>
      <c r="N781" s="21" t="s">
        <v>2276</v>
      </c>
      <c r="O781" s="3" t="s">
        <v>67</v>
      </c>
      <c r="P781" s="5" t="s">
        <v>5187</v>
      </c>
      <c r="Q781" s="3" t="s">
        <v>2214</v>
      </c>
    </row>
    <row r="782" spans="1:17" ht="51" customHeight="1">
      <c r="A782" s="171">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5187</v>
      </c>
      <c r="Q782" s="4" t="s">
        <v>4842</v>
      </c>
    </row>
    <row r="783" spans="1:17" ht="55" customHeight="1">
      <c r="A783" s="171">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6">
        <f>1549</f>
        <v>1549</v>
      </c>
      <c r="L783" s="23">
        <v>1988</v>
      </c>
      <c r="M783" s="11">
        <v>2000</v>
      </c>
      <c r="N783" s="74" t="s">
        <v>2276</v>
      </c>
      <c r="O783" s="11" t="s">
        <v>67</v>
      </c>
      <c r="P783" s="5" t="s">
        <v>5187</v>
      </c>
      <c r="Q783" s="19" t="s">
        <v>4888</v>
      </c>
    </row>
    <row r="784" spans="1:17" ht="55" customHeight="1">
      <c r="A784" s="171">
        <v>195</v>
      </c>
      <c r="B784" s="57" t="s">
        <v>4849</v>
      </c>
      <c r="C784" s="11" t="s">
        <v>4850</v>
      </c>
      <c r="D784" s="11" t="s">
        <v>2398</v>
      </c>
      <c r="E784" s="11" t="s">
        <v>4847</v>
      </c>
      <c r="F784" s="179" t="s">
        <v>4874</v>
      </c>
      <c r="G784" s="23" t="s">
        <v>4316</v>
      </c>
      <c r="H784" s="23" t="s">
        <v>4314</v>
      </c>
      <c r="I784" s="21">
        <v>-2.1917559999999998</v>
      </c>
      <c r="J784" s="21">
        <v>36.722192</v>
      </c>
      <c r="K784" s="180">
        <f>45663/100</f>
        <v>456.63</v>
      </c>
      <c r="L784" s="23">
        <v>1988</v>
      </c>
      <c r="M784" s="11">
        <v>2000</v>
      </c>
      <c r="N784" s="74" t="s">
        <v>2276</v>
      </c>
      <c r="O784" s="11" t="s">
        <v>67</v>
      </c>
      <c r="P784" s="5" t="s">
        <v>5187</v>
      </c>
      <c r="Q784" s="19"/>
    </row>
    <row r="785" spans="1:17" ht="55" customHeight="1">
      <c r="A785" s="171">
        <v>195</v>
      </c>
      <c r="B785" s="57" t="s">
        <v>4849</v>
      </c>
      <c r="C785" s="11" t="s">
        <v>4851</v>
      </c>
      <c r="D785" s="11" t="s">
        <v>2398</v>
      </c>
      <c r="E785" s="11" t="s">
        <v>4847</v>
      </c>
      <c r="F785" s="179" t="s">
        <v>4875</v>
      </c>
      <c r="G785" s="23" t="s">
        <v>4316</v>
      </c>
      <c r="H785" s="23" t="s">
        <v>4314</v>
      </c>
      <c r="I785" s="21">
        <v>-2.0469151000000001</v>
      </c>
      <c r="J785" s="21">
        <v>37.769821</v>
      </c>
      <c r="K785" s="76">
        <f>22670/100</f>
        <v>226.7</v>
      </c>
      <c r="L785" s="23">
        <v>1988</v>
      </c>
      <c r="M785" s="11">
        <v>2000</v>
      </c>
      <c r="N785" s="74" t="s">
        <v>2276</v>
      </c>
      <c r="O785" s="11" t="s">
        <v>67</v>
      </c>
      <c r="P785" s="5" t="s">
        <v>5187</v>
      </c>
      <c r="Q785" s="19"/>
    </row>
    <row r="786" spans="1:17" ht="55" customHeight="1">
      <c r="A786" s="171">
        <v>195</v>
      </c>
      <c r="B786" s="57" t="s">
        <v>4849</v>
      </c>
      <c r="C786" s="11" t="s">
        <v>4852</v>
      </c>
      <c r="D786" s="11" t="s">
        <v>2398</v>
      </c>
      <c r="E786" s="11" t="s">
        <v>4847</v>
      </c>
      <c r="F786" s="23" t="s">
        <v>4876</v>
      </c>
      <c r="G786" s="23" t="s">
        <v>4316</v>
      </c>
      <c r="H786" s="23" t="s">
        <v>4314</v>
      </c>
      <c r="I786" s="21">
        <v>-5.3672516000000003</v>
      </c>
      <c r="J786" s="21">
        <v>36.759118000000001</v>
      </c>
      <c r="K786" s="76">
        <f>51695/100</f>
        <v>516.95000000000005</v>
      </c>
      <c r="L786" s="23">
        <v>1988</v>
      </c>
      <c r="M786" s="11">
        <v>2000</v>
      </c>
      <c r="N786" s="74" t="s">
        <v>2276</v>
      </c>
      <c r="O786" s="11" t="s">
        <v>67</v>
      </c>
      <c r="P786" s="5" t="s">
        <v>5187</v>
      </c>
      <c r="Q786" s="19"/>
    </row>
    <row r="787" spans="1:17" ht="55" customHeight="1">
      <c r="A787" s="171">
        <v>195</v>
      </c>
      <c r="B787" s="57" t="s">
        <v>4849</v>
      </c>
      <c r="C787" s="11" t="s">
        <v>4853</v>
      </c>
      <c r="D787" s="11" t="s">
        <v>2398</v>
      </c>
      <c r="E787" s="11" t="s">
        <v>4847</v>
      </c>
      <c r="F787" s="23" t="s">
        <v>4877</v>
      </c>
      <c r="G787" s="23" t="s">
        <v>4316</v>
      </c>
      <c r="H787" s="23" t="s">
        <v>4314</v>
      </c>
      <c r="I787" s="21">
        <v>-6.1727332932400003</v>
      </c>
      <c r="J787" s="21">
        <v>36.418017296363203</v>
      </c>
      <c r="K787" s="76">
        <f>10522/100</f>
        <v>105.22</v>
      </c>
      <c r="L787" s="23">
        <v>1988</v>
      </c>
      <c r="M787" s="11">
        <v>2000</v>
      </c>
      <c r="N787" s="74" t="s">
        <v>2276</v>
      </c>
      <c r="O787" s="11" t="s">
        <v>67</v>
      </c>
      <c r="P787" s="5" t="s">
        <v>5187</v>
      </c>
      <c r="Q787" s="19"/>
    </row>
    <row r="788" spans="1:17" ht="55" customHeight="1">
      <c r="A788" s="171">
        <v>195</v>
      </c>
      <c r="B788" s="57" t="s">
        <v>4849</v>
      </c>
      <c r="C788" s="11" t="s">
        <v>4854</v>
      </c>
      <c r="D788" s="11" t="s">
        <v>2398</v>
      </c>
      <c r="E788" s="11" t="s">
        <v>4847</v>
      </c>
      <c r="F788" s="23" t="s">
        <v>4878</v>
      </c>
      <c r="G788" s="23" t="s">
        <v>4316</v>
      </c>
      <c r="H788" s="23" t="s">
        <v>4314</v>
      </c>
      <c r="I788" s="21">
        <v>-5.6037464999999997</v>
      </c>
      <c r="J788" s="21">
        <v>36.3485941</v>
      </c>
      <c r="K788" s="76">
        <f>167767/100</f>
        <v>1677.67</v>
      </c>
      <c r="L788" s="23">
        <v>1988</v>
      </c>
      <c r="M788" s="11">
        <v>2000</v>
      </c>
      <c r="N788" s="74" t="s">
        <v>2276</v>
      </c>
      <c r="O788" s="11" t="s">
        <v>67</v>
      </c>
      <c r="P788" s="5" t="s">
        <v>5187</v>
      </c>
      <c r="Q788" s="19"/>
    </row>
    <row r="789" spans="1:17" ht="55" customHeight="1">
      <c r="A789" s="171">
        <v>195</v>
      </c>
      <c r="B789" s="57" t="s">
        <v>4849</v>
      </c>
      <c r="C789" s="11" t="s">
        <v>4855</v>
      </c>
      <c r="D789" s="11" t="s">
        <v>2398</v>
      </c>
      <c r="E789" s="11" t="s">
        <v>4847</v>
      </c>
      <c r="F789" s="23" t="s">
        <v>4879</v>
      </c>
      <c r="G789" s="23" t="s">
        <v>4316</v>
      </c>
      <c r="H789" s="23" t="s">
        <v>4314</v>
      </c>
      <c r="I789" s="21">
        <v>-5.9487895999999996</v>
      </c>
      <c r="J789" s="21">
        <v>36.186901400000004</v>
      </c>
      <c r="K789" s="76">
        <f>4863/100</f>
        <v>48.63</v>
      </c>
      <c r="L789" s="23">
        <v>1988</v>
      </c>
      <c r="M789" s="11">
        <v>2000</v>
      </c>
      <c r="N789" s="74" t="s">
        <v>2276</v>
      </c>
      <c r="O789" s="11" t="s">
        <v>67</v>
      </c>
      <c r="P789" s="5" t="s">
        <v>5187</v>
      </c>
      <c r="Q789" s="19"/>
    </row>
    <row r="790" spans="1:17" ht="55" customHeight="1">
      <c r="A790" s="171">
        <v>195</v>
      </c>
      <c r="B790" s="57" t="s">
        <v>4849</v>
      </c>
      <c r="C790" s="11" t="s">
        <v>4856</v>
      </c>
      <c r="D790" s="11" t="s">
        <v>2398</v>
      </c>
      <c r="E790" s="11" t="s">
        <v>4847</v>
      </c>
      <c r="F790" s="23" t="s">
        <v>4880</v>
      </c>
      <c r="G790" s="23" t="s">
        <v>4316</v>
      </c>
      <c r="H790" s="23" t="s">
        <v>4314</v>
      </c>
      <c r="I790" s="21">
        <v>-5.5894766999999996</v>
      </c>
      <c r="J790" s="21">
        <v>36.013178799999999</v>
      </c>
      <c r="K790" s="76">
        <f>18931/100</f>
        <v>189.31</v>
      </c>
      <c r="L790" s="23">
        <v>1988</v>
      </c>
      <c r="M790" s="11">
        <v>2000</v>
      </c>
      <c r="N790" s="74" t="s">
        <v>2276</v>
      </c>
      <c r="O790" s="11" t="s">
        <v>67</v>
      </c>
      <c r="P790" s="5" t="s">
        <v>5187</v>
      </c>
      <c r="Q790" s="19"/>
    </row>
    <row r="791" spans="1:17" ht="55" customHeight="1">
      <c r="A791" s="171">
        <v>195</v>
      </c>
      <c r="B791" s="57" t="s">
        <v>4849</v>
      </c>
      <c r="C791" s="11" t="s">
        <v>4857</v>
      </c>
      <c r="D791" s="11" t="s">
        <v>2398</v>
      </c>
      <c r="E791" s="11" t="s">
        <v>4847</v>
      </c>
      <c r="F791" s="11" t="s">
        <v>4881</v>
      </c>
      <c r="G791" s="11" t="s">
        <v>4316</v>
      </c>
      <c r="H791" s="11" t="s">
        <v>4314</v>
      </c>
      <c r="I791" s="21">
        <v>-4.2739966999999996</v>
      </c>
      <c r="J791" s="21">
        <v>38.198005999999999</v>
      </c>
      <c r="K791" s="74">
        <f>38449/100</f>
        <v>384.49</v>
      </c>
      <c r="L791" s="11">
        <v>1988</v>
      </c>
      <c r="M791" s="11">
        <v>2000</v>
      </c>
      <c r="N791" s="74" t="s">
        <v>2276</v>
      </c>
      <c r="O791" s="11" t="s">
        <v>67</v>
      </c>
      <c r="P791" s="5" t="s">
        <v>5187</v>
      </c>
      <c r="Q791" s="19"/>
    </row>
    <row r="792" spans="1:17" ht="55" customHeight="1">
      <c r="A792" s="171">
        <v>195</v>
      </c>
      <c r="B792" s="57" t="s">
        <v>4849</v>
      </c>
      <c r="C792" s="11" t="s">
        <v>4858</v>
      </c>
      <c r="D792" s="11" t="s">
        <v>2398</v>
      </c>
      <c r="E792" s="11" t="s">
        <v>4847</v>
      </c>
      <c r="F792" s="11" t="s">
        <v>4882</v>
      </c>
      <c r="G792" s="11" t="s">
        <v>4316</v>
      </c>
      <c r="H792" s="11" t="s">
        <v>4314</v>
      </c>
      <c r="I792" s="21">
        <v>-5.2688879999999996</v>
      </c>
      <c r="J792" s="21">
        <v>37.9029746</v>
      </c>
      <c r="K792" s="74">
        <f>60042/100</f>
        <v>600.41999999999996</v>
      </c>
      <c r="L792" s="11">
        <v>1988</v>
      </c>
      <c r="M792" s="11">
        <v>2000</v>
      </c>
      <c r="N792" s="74" t="s">
        <v>2276</v>
      </c>
      <c r="O792" s="11" t="s">
        <v>67</v>
      </c>
      <c r="P792" s="5" t="s">
        <v>5187</v>
      </c>
      <c r="Q792" s="19"/>
    </row>
    <row r="793" spans="1:17" ht="55" customHeight="1">
      <c r="A793" s="171">
        <v>195</v>
      </c>
      <c r="B793" s="57" t="s">
        <v>4849</v>
      </c>
      <c r="C793" s="11" t="s">
        <v>4859</v>
      </c>
      <c r="D793" s="11" t="s">
        <v>2398</v>
      </c>
      <c r="E793" s="11" t="s">
        <v>4847</v>
      </c>
      <c r="F793" s="11" t="s">
        <v>4883</v>
      </c>
      <c r="G793" s="11" t="s">
        <v>4316</v>
      </c>
      <c r="H793" s="11" t="s">
        <v>4314</v>
      </c>
      <c r="I793" s="21">
        <v>-4.3359635000000001</v>
      </c>
      <c r="J793" s="21">
        <v>37.452826100000003</v>
      </c>
      <c r="K793" s="74">
        <f>32056/100</f>
        <v>320.56</v>
      </c>
      <c r="L793" s="11">
        <v>1988</v>
      </c>
      <c r="M793" s="11">
        <v>2000</v>
      </c>
      <c r="N793" s="74" t="s">
        <v>2276</v>
      </c>
      <c r="O793" s="11" t="s">
        <v>67</v>
      </c>
      <c r="P793" s="5" t="s">
        <v>5187</v>
      </c>
      <c r="Q793" s="19"/>
    </row>
    <row r="794" spans="1:17" ht="55" customHeight="1">
      <c r="A794" s="171">
        <v>195</v>
      </c>
      <c r="B794" s="57" t="s">
        <v>4849</v>
      </c>
      <c r="C794" s="11" t="s">
        <v>4860</v>
      </c>
      <c r="D794" s="11" t="s">
        <v>2398</v>
      </c>
      <c r="E794" s="11" t="s">
        <v>4847</v>
      </c>
      <c r="F794" s="11" t="s">
        <v>4884</v>
      </c>
      <c r="G794" s="11" t="s">
        <v>4316</v>
      </c>
      <c r="H794" s="11" t="s">
        <v>4314</v>
      </c>
      <c r="I794" s="21">
        <v>-3.1620577999999999</v>
      </c>
      <c r="J794" s="21">
        <v>37.092430700000001</v>
      </c>
      <c r="K794" s="74">
        <f>86208/100</f>
        <v>862.08</v>
      </c>
      <c r="L794" s="11">
        <v>1988</v>
      </c>
      <c r="M794" s="11">
        <v>2000</v>
      </c>
      <c r="N794" s="74" t="s">
        <v>2276</v>
      </c>
      <c r="O794" s="11" t="s">
        <v>67</v>
      </c>
      <c r="P794" s="5" t="s">
        <v>5187</v>
      </c>
      <c r="Q794" s="19"/>
    </row>
    <row r="795" spans="1:17" ht="55" customHeight="1">
      <c r="A795" s="171">
        <v>195</v>
      </c>
      <c r="B795" s="57" t="s">
        <v>4849</v>
      </c>
      <c r="C795" s="11" t="s">
        <v>4861</v>
      </c>
      <c r="D795" s="11" t="s">
        <v>2398</v>
      </c>
      <c r="E795" s="11" t="s">
        <v>4847</v>
      </c>
      <c r="F795" s="11" t="s">
        <v>4885</v>
      </c>
      <c r="G795" s="11" t="s">
        <v>4316</v>
      </c>
      <c r="H795" s="11" t="s">
        <v>4314</v>
      </c>
      <c r="I795" s="21">
        <v>-2.7488888999999999</v>
      </c>
      <c r="J795" s="21">
        <v>37.252222199999999</v>
      </c>
      <c r="K795" s="74">
        <f>53649/100</f>
        <v>536.49</v>
      </c>
      <c r="L795" s="11">
        <v>1988</v>
      </c>
      <c r="M795" s="11">
        <v>2000</v>
      </c>
      <c r="N795" s="74" t="s">
        <v>2276</v>
      </c>
      <c r="O795" s="11" t="s">
        <v>67</v>
      </c>
      <c r="P795" s="5" t="s">
        <v>5187</v>
      </c>
      <c r="Q795" s="19"/>
    </row>
    <row r="796" spans="1:17" ht="55" customHeight="1">
      <c r="A796" s="171">
        <v>195</v>
      </c>
      <c r="B796" s="57" t="s">
        <v>4849</v>
      </c>
      <c r="C796" s="11" t="s">
        <v>4862</v>
      </c>
      <c r="D796" s="11" t="s">
        <v>2398</v>
      </c>
      <c r="E796" s="11" t="s">
        <v>4847</v>
      </c>
      <c r="F796" s="11" t="s">
        <v>4886</v>
      </c>
      <c r="G796" s="11" t="s">
        <v>4316</v>
      </c>
      <c r="H796" s="11" t="s">
        <v>4314</v>
      </c>
      <c r="I796" s="21">
        <v>-2.7580700999999999</v>
      </c>
      <c r="J796" s="21">
        <v>37.882684699999999</v>
      </c>
      <c r="K796" s="74">
        <f>12300/100</f>
        <v>123</v>
      </c>
      <c r="L796" s="11">
        <v>1988</v>
      </c>
      <c r="M796" s="11">
        <v>2000</v>
      </c>
      <c r="N796" s="74" t="s">
        <v>2276</v>
      </c>
      <c r="O796" s="11" t="s">
        <v>67</v>
      </c>
      <c r="P796" s="5" t="s">
        <v>5187</v>
      </c>
      <c r="Q796" s="19"/>
    </row>
    <row r="797" spans="1:17" ht="55" customHeight="1">
      <c r="A797" s="171">
        <v>195</v>
      </c>
      <c r="B797" s="57" t="s">
        <v>4849</v>
      </c>
      <c r="C797" s="11" t="s">
        <v>4863</v>
      </c>
      <c r="D797" s="11" t="s">
        <v>2398</v>
      </c>
      <c r="E797" s="11" t="s">
        <v>4847</v>
      </c>
      <c r="F797" s="11" t="s">
        <v>4887</v>
      </c>
      <c r="G797" s="11" t="s">
        <v>4316</v>
      </c>
      <c r="H797" s="11" t="s">
        <v>4314</v>
      </c>
      <c r="I797" s="21">
        <v>-3.4884496</v>
      </c>
      <c r="J797" s="21">
        <v>37.253073399999998</v>
      </c>
      <c r="K797" s="74">
        <f>12128/100</f>
        <v>121.28</v>
      </c>
      <c r="L797" s="11">
        <v>1988</v>
      </c>
      <c r="M797" s="11">
        <v>2000</v>
      </c>
      <c r="N797" s="74" t="s">
        <v>2276</v>
      </c>
      <c r="O797" s="11" t="s">
        <v>67</v>
      </c>
      <c r="P797" s="5" t="s">
        <v>5187</v>
      </c>
      <c r="Q797" s="19"/>
    </row>
    <row r="798" spans="1:17" ht="55" customHeight="1">
      <c r="A798" s="171">
        <v>195</v>
      </c>
      <c r="B798" s="57" t="s">
        <v>4849</v>
      </c>
      <c r="C798" s="11" t="s">
        <v>4864</v>
      </c>
      <c r="D798" s="11" t="s">
        <v>2398</v>
      </c>
      <c r="E798" s="11" t="s">
        <v>4847</v>
      </c>
      <c r="F798" s="11" t="s">
        <v>4889</v>
      </c>
      <c r="G798" s="11" t="s">
        <v>4316</v>
      </c>
      <c r="H798" s="11" t="s">
        <v>4314</v>
      </c>
      <c r="I798" s="21">
        <v>-6.4344466999999996</v>
      </c>
      <c r="J798" s="21">
        <v>37.0427289</v>
      </c>
      <c r="K798" s="74">
        <v>1300</v>
      </c>
      <c r="L798" s="11">
        <v>1988</v>
      </c>
      <c r="M798" s="11">
        <v>2000</v>
      </c>
      <c r="N798" s="74" t="s">
        <v>2276</v>
      </c>
      <c r="O798" s="11" t="s">
        <v>67</v>
      </c>
      <c r="P798" s="5" t="s">
        <v>5187</v>
      </c>
      <c r="Q798" s="19"/>
    </row>
    <row r="799" spans="1:17" ht="55" customHeight="1">
      <c r="A799" s="171">
        <v>195</v>
      </c>
      <c r="B799" s="57" t="s">
        <v>4849</v>
      </c>
      <c r="C799" s="11" t="s">
        <v>4865</v>
      </c>
      <c r="D799" s="11" t="s">
        <v>2398</v>
      </c>
      <c r="E799" s="11" t="s">
        <v>4847</v>
      </c>
      <c r="F799" s="11" t="s">
        <v>4890</v>
      </c>
      <c r="G799" s="11" t="s">
        <v>4316</v>
      </c>
      <c r="H799" s="11" t="s">
        <v>4314</v>
      </c>
      <c r="I799" s="21">
        <v>-6.8333332999999996</v>
      </c>
      <c r="J799" s="21">
        <v>37.933333300000001</v>
      </c>
      <c r="K799" s="74">
        <f>184000/100</f>
        <v>1840</v>
      </c>
      <c r="L799" s="11">
        <v>1988</v>
      </c>
      <c r="M799" s="11">
        <v>2000</v>
      </c>
      <c r="N799" s="74" t="s">
        <v>2276</v>
      </c>
      <c r="O799" s="11" t="s">
        <v>67</v>
      </c>
      <c r="P799" s="5" t="s">
        <v>5187</v>
      </c>
      <c r="Q799" s="19"/>
    </row>
    <row r="800" spans="1:17" ht="55" customHeight="1">
      <c r="A800" s="171">
        <v>195</v>
      </c>
      <c r="B800" s="57" t="s">
        <v>4849</v>
      </c>
      <c r="C800" s="11" t="s">
        <v>4866</v>
      </c>
      <c r="D800" s="11" t="s">
        <v>2398</v>
      </c>
      <c r="E800" s="11" t="s">
        <v>4847</v>
      </c>
      <c r="F800" s="11" t="s">
        <v>4891</v>
      </c>
      <c r="G800" s="11" t="s">
        <v>4316</v>
      </c>
      <c r="H800" s="11" t="s">
        <v>4314</v>
      </c>
      <c r="I800" s="21">
        <v>-3.561026</v>
      </c>
      <c r="J800" s="21">
        <v>38.410043199999997</v>
      </c>
      <c r="K800" s="74">
        <f>7649/100</f>
        <v>76.489999999999995</v>
      </c>
      <c r="L800" s="11">
        <v>1988</v>
      </c>
      <c r="M800" s="11">
        <v>2000</v>
      </c>
      <c r="N800" s="74" t="s">
        <v>2276</v>
      </c>
      <c r="O800" s="11" t="s">
        <v>67</v>
      </c>
      <c r="P800" s="5" t="s">
        <v>5187</v>
      </c>
      <c r="Q800" s="19"/>
    </row>
    <row r="801" spans="1:17" ht="55" customHeight="1">
      <c r="A801" s="171">
        <v>195</v>
      </c>
      <c r="B801" s="57" t="s">
        <v>4849</v>
      </c>
      <c r="C801" s="11" t="s">
        <v>4867</v>
      </c>
      <c r="D801" s="11" t="s">
        <v>2398</v>
      </c>
      <c r="E801" s="11" t="s">
        <v>4847</v>
      </c>
      <c r="F801" s="11" t="s">
        <v>4892</v>
      </c>
      <c r="G801" s="11" t="s">
        <v>4316</v>
      </c>
      <c r="H801" s="11" t="s">
        <v>4314</v>
      </c>
      <c r="I801" s="21">
        <v>-4.0286780000000002</v>
      </c>
      <c r="J801" s="21">
        <v>38.2897569</v>
      </c>
      <c r="K801" s="74">
        <f>74774/100</f>
        <v>747.74</v>
      </c>
      <c r="L801" s="11">
        <v>1988</v>
      </c>
      <c r="M801" s="11">
        <v>2000</v>
      </c>
      <c r="N801" s="74" t="s">
        <v>2276</v>
      </c>
      <c r="O801" s="11" t="s">
        <v>67</v>
      </c>
      <c r="P801" s="5" t="s">
        <v>5187</v>
      </c>
      <c r="Q801" s="19"/>
    </row>
    <row r="802" spans="1:17" ht="55" customHeight="1">
      <c r="A802" s="171">
        <v>195</v>
      </c>
      <c r="B802" s="57" t="s">
        <v>4849</v>
      </c>
      <c r="C802" s="11" t="s">
        <v>4868</v>
      </c>
      <c r="D802" s="11" t="s">
        <v>2398</v>
      </c>
      <c r="E802" s="11" t="s">
        <v>4847</v>
      </c>
      <c r="F802" s="19" t="s">
        <v>4893</v>
      </c>
      <c r="G802" s="11" t="s">
        <v>4316</v>
      </c>
      <c r="H802" s="11" t="s">
        <v>4314</v>
      </c>
      <c r="I802" s="21">
        <v>-2.7381671999999999</v>
      </c>
      <c r="J802" s="21">
        <v>38.158175999999997</v>
      </c>
      <c r="K802" s="74">
        <f>209920/100</f>
        <v>2099.1999999999998</v>
      </c>
      <c r="L802" s="11">
        <v>1988</v>
      </c>
      <c r="M802" s="11">
        <v>2000</v>
      </c>
      <c r="N802" s="74" t="s">
        <v>2276</v>
      </c>
      <c r="O802" s="11" t="s">
        <v>67</v>
      </c>
      <c r="P802" s="5" t="s">
        <v>5187</v>
      </c>
      <c r="Q802" s="19"/>
    </row>
    <row r="803" spans="1:17" ht="55" customHeight="1">
      <c r="A803" s="171">
        <v>195</v>
      </c>
      <c r="B803" s="57" t="s">
        <v>4849</v>
      </c>
      <c r="C803" s="11" t="s">
        <v>4869</v>
      </c>
      <c r="D803" s="11" t="s">
        <v>2398</v>
      </c>
      <c r="E803" s="11" t="s">
        <v>4847</v>
      </c>
      <c r="F803" s="11" t="s">
        <v>4894</v>
      </c>
      <c r="G803" s="11" t="s">
        <v>4316</v>
      </c>
      <c r="H803" s="11" t="s">
        <v>4314</v>
      </c>
      <c r="I803" s="21">
        <v>-3.4291667000000001</v>
      </c>
      <c r="J803" s="21">
        <v>37.745833300000001</v>
      </c>
      <c r="K803" s="74">
        <f>19000/100</f>
        <v>190</v>
      </c>
      <c r="L803" s="11">
        <v>1988</v>
      </c>
      <c r="M803" s="11">
        <v>2000</v>
      </c>
      <c r="N803" s="74" t="s">
        <v>2276</v>
      </c>
      <c r="O803" s="11" t="s">
        <v>67</v>
      </c>
      <c r="P803" s="5" t="s">
        <v>5187</v>
      </c>
      <c r="Q803" s="19"/>
    </row>
    <row r="804" spans="1:17" ht="55" customHeight="1">
      <c r="A804" s="171">
        <v>195</v>
      </c>
      <c r="B804" s="57" t="s">
        <v>4849</v>
      </c>
      <c r="C804" s="11" t="s">
        <v>4870</v>
      </c>
      <c r="D804" s="11" t="s">
        <v>2398</v>
      </c>
      <c r="E804" s="11" t="s">
        <v>4847</v>
      </c>
      <c r="F804" s="11" t="s">
        <v>4895</v>
      </c>
      <c r="G804" s="11" t="s">
        <v>4316</v>
      </c>
      <c r="H804" s="11" t="s">
        <v>4314</v>
      </c>
      <c r="I804" s="21">
        <v>-4.3667907000000001</v>
      </c>
      <c r="J804" s="21">
        <v>36.841895800000003</v>
      </c>
      <c r="K804" s="74">
        <f>4996/100</f>
        <v>49.96</v>
      </c>
      <c r="L804" s="11">
        <v>1988</v>
      </c>
      <c r="M804" s="11">
        <v>2000</v>
      </c>
      <c r="N804" s="74" t="s">
        <v>2276</v>
      </c>
      <c r="O804" s="11" t="s">
        <v>67</v>
      </c>
      <c r="P804" s="5" t="s">
        <v>5187</v>
      </c>
      <c r="Q804" s="19"/>
    </row>
    <row r="805" spans="1:17" ht="55" customHeight="1">
      <c r="A805" s="171">
        <v>195</v>
      </c>
      <c r="B805" s="57" t="s">
        <v>4849</v>
      </c>
      <c r="C805" s="11" t="s">
        <v>4871</v>
      </c>
      <c r="D805" s="11" t="s">
        <v>2398</v>
      </c>
      <c r="E805" s="11" t="s">
        <v>4847</v>
      </c>
      <c r="F805" s="19" t="s">
        <v>4896</v>
      </c>
      <c r="G805" s="11" t="s">
        <v>4316</v>
      </c>
      <c r="H805" s="11" t="s">
        <v>4314</v>
      </c>
      <c r="I805" s="21">
        <v>-3.8652695000000001</v>
      </c>
      <c r="J805" s="21">
        <v>36.847572800000002</v>
      </c>
      <c r="K805" s="74">
        <f>40663/100</f>
        <v>406.63</v>
      </c>
      <c r="L805" s="11">
        <v>1988</v>
      </c>
      <c r="M805" s="11">
        <v>2000</v>
      </c>
      <c r="N805" s="74" t="s">
        <v>2276</v>
      </c>
      <c r="O805" s="11" t="s">
        <v>67</v>
      </c>
      <c r="P805" s="5" t="s">
        <v>5187</v>
      </c>
      <c r="Q805" s="19"/>
    </row>
    <row r="806" spans="1:17" ht="55" customHeight="1">
      <c r="A806" s="171">
        <v>195</v>
      </c>
      <c r="B806" s="57" t="s">
        <v>4849</v>
      </c>
      <c r="C806" s="11" t="s">
        <v>4872</v>
      </c>
      <c r="D806" s="11" t="s">
        <v>2398</v>
      </c>
      <c r="E806" s="11" t="s">
        <v>4847</v>
      </c>
      <c r="F806" s="11" t="s">
        <v>4897</v>
      </c>
      <c r="G806" s="11" t="s">
        <v>4316</v>
      </c>
      <c r="H806" s="11" t="s">
        <v>4314</v>
      </c>
      <c r="I806" s="21">
        <v>-4.9350928999999999</v>
      </c>
      <c r="J806" s="21">
        <v>36.722982799999997</v>
      </c>
      <c r="K806" s="74">
        <f>18530/100</f>
        <v>185.3</v>
      </c>
      <c r="L806" s="11">
        <v>1988</v>
      </c>
      <c r="M806" s="11">
        <v>2000</v>
      </c>
      <c r="N806" s="74" t="s">
        <v>2276</v>
      </c>
      <c r="O806" s="11" t="s">
        <v>67</v>
      </c>
      <c r="P806" s="5" t="s">
        <v>5187</v>
      </c>
      <c r="Q806" s="19"/>
    </row>
    <row r="807" spans="1:17" ht="55" customHeight="1">
      <c r="A807" s="171">
        <v>195</v>
      </c>
      <c r="B807" s="57" t="s">
        <v>4849</v>
      </c>
      <c r="C807" s="11" t="s">
        <v>4873</v>
      </c>
      <c r="D807" s="11" t="s">
        <v>2398</v>
      </c>
      <c r="E807" s="11" t="s">
        <v>4847</v>
      </c>
      <c r="F807" s="11" t="s">
        <v>4898</v>
      </c>
      <c r="G807" s="11" t="s">
        <v>4316</v>
      </c>
      <c r="H807" s="11" t="s">
        <v>4314</v>
      </c>
      <c r="I807" s="21">
        <v>-5.8142885</v>
      </c>
      <c r="J807" s="21">
        <v>37.919785300000001</v>
      </c>
      <c r="K807" s="74">
        <f>177484/100</f>
        <v>1774.84</v>
      </c>
      <c r="L807" s="11">
        <v>1988</v>
      </c>
      <c r="M807" s="11">
        <v>2000</v>
      </c>
      <c r="N807" s="74" t="s">
        <v>2276</v>
      </c>
      <c r="O807" s="11" t="s">
        <v>67</v>
      </c>
      <c r="P807" s="5" t="s">
        <v>5187</v>
      </c>
      <c r="Q807" s="19"/>
    </row>
    <row r="808" spans="1:17" ht="43.5" customHeight="1">
      <c r="A808" s="171">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5187</v>
      </c>
      <c r="Q808" s="3" t="s">
        <v>4930</v>
      </c>
    </row>
    <row r="809" spans="1:17" ht="41.5" customHeight="1">
      <c r="A809" s="171">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5187</v>
      </c>
      <c r="Q809" s="3" t="s">
        <v>4930</v>
      </c>
    </row>
    <row r="810" spans="1:17" ht="39" customHeight="1">
      <c r="A810" s="171">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5187</v>
      </c>
      <c r="Q810" s="3" t="s">
        <v>4940</v>
      </c>
    </row>
    <row r="811" spans="1:17" ht="31.5" customHeight="1">
      <c r="A811" s="171">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5187</v>
      </c>
      <c r="Q811" s="3"/>
    </row>
    <row r="812" spans="1:17" ht="36.5" customHeight="1">
      <c r="A812" s="171">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5187</v>
      </c>
      <c r="Q812" s="3" t="s">
        <v>4663</v>
      </c>
    </row>
    <row r="813" spans="1:17" ht="41.5" customHeight="1">
      <c r="A813" s="171">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5187</v>
      </c>
      <c r="Q813" s="3"/>
    </row>
    <row r="814" spans="1:17" ht="40.5" customHeight="1">
      <c r="A814" s="171">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5187</v>
      </c>
      <c r="Q814" s="3"/>
    </row>
    <row r="815" spans="1:17" ht="42" customHeight="1">
      <c r="A815" s="171">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5187</v>
      </c>
      <c r="Q815" s="3"/>
    </row>
    <row r="816" spans="1:17" ht="48.5" customHeight="1">
      <c r="A816" s="171">
        <v>199</v>
      </c>
      <c r="B816" s="40" t="s">
        <v>4979</v>
      </c>
      <c r="C816" s="11" t="s">
        <v>4977</v>
      </c>
      <c r="D816" s="3" t="s">
        <v>2398</v>
      </c>
      <c r="E816" s="3" t="s">
        <v>2422</v>
      </c>
      <c r="F816" s="11" t="s">
        <v>4981</v>
      </c>
      <c r="G816" s="11" t="s">
        <v>4980</v>
      </c>
      <c r="H816" s="11" t="s">
        <v>1948</v>
      </c>
      <c r="I816" s="21">
        <v>-25.25</v>
      </c>
      <c r="J816" s="21">
        <v>21.75</v>
      </c>
      <c r="K816" s="21" t="s">
        <v>2276</v>
      </c>
      <c r="L816" s="3">
        <v>1976</v>
      </c>
      <c r="M816" s="165">
        <v>2004</v>
      </c>
      <c r="N816" s="21" t="s">
        <v>2276</v>
      </c>
      <c r="O816" s="11" t="s">
        <v>67</v>
      </c>
      <c r="P816" s="5" t="s">
        <v>5187</v>
      </c>
      <c r="Q816" s="4" t="s">
        <v>4982</v>
      </c>
    </row>
    <row r="817" spans="1:17" ht="43" customHeight="1">
      <c r="A817" s="171">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5187</v>
      </c>
      <c r="Q817" s="4" t="s">
        <v>4996</v>
      </c>
    </row>
    <row r="818" spans="1:17" ht="35.5" customHeight="1">
      <c r="A818" s="171">
        <v>201</v>
      </c>
      <c r="B818" s="40" t="s">
        <v>5087</v>
      </c>
      <c r="C818" s="11" t="s">
        <v>5088</v>
      </c>
      <c r="D818" s="3" t="s">
        <v>2398</v>
      </c>
      <c r="E818" s="3" t="s">
        <v>2399</v>
      </c>
      <c r="F818" s="3" t="s">
        <v>5089</v>
      </c>
      <c r="G818" s="3" t="s">
        <v>5090</v>
      </c>
      <c r="H818" s="11" t="s">
        <v>5091</v>
      </c>
      <c r="I818" s="21">
        <f>66+37/69</f>
        <v>66.536231884057969</v>
      </c>
      <c r="J818" s="21">
        <f>19+50/60</f>
        <v>19.833333333333332</v>
      </c>
      <c r="K818" s="21">
        <v>19334</v>
      </c>
      <c r="L818" s="11">
        <v>2018</v>
      </c>
      <c r="M818" s="11">
        <v>2018</v>
      </c>
      <c r="N818" s="21" t="s">
        <v>2276</v>
      </c>
      <c r="O818" s="11" t="s">
        <v>67</v>
      </c>
      <c r="P818" s="11" t="s">
        <v>5188</v>
      </c>
      <c r="Q818" s="4" t="s">
        <v>5092</v>
      </c>
    </row>
    <row r="819" spans="1:17" ht="43.5" customHeight="1">
      <c r="A819" s="171">
        <v>202</v>
      </c>
      <c r="B819" s="40" t="s">
        <v>5099</v>
      </c>
      <c r="C819" s="11" t="s">
        <v>5100</v>
      </c>
      <c r="D819" s="3" t="s">
        <v>2398</v>
      </c>
      <c r="E819" s="3" t="s">
        <v>2399</v>
      </c>
      <c r="F819" s="3" t="s">
        <v>2276</v>
      </c>
      <c r="G819" s="11" t="s">
        <v>5101</v>
      </c>
      <c r="H819" s="11" t="s">
        <v>1952</v>
      </c>
      <c r="I819" s="21">
        <v>7.8402092000000003</v>
      </c>
      <c r="J819" s="21">
        <v>3.9292001000000001</v>
      </c>
      <c r="K819" s="21">
        <v>28454</v>
      </c>
      <c r="L819" s="11">
        <v>2014</v>
      </c>
      <c r="M819" s="11">
        <v>2014</v>
      </c>
      <c r="N819" s="21" t="s">
        <v>2276</v>
      </c>
      <c r="O819" s="11" t="s">
        <v>67</v>
      </c>
      <c r="P819" s="11" t="s">
        <v>5188</v>
      </c>
      <c r="Q819" s="3"/>
    </row>
    <row r="820" spans="1:17" ht="43.5" customHeight="1">
      <c r="A820" s="171">
        <v>202</v>
      </c>
      <c r="B820" s="40" t="s">
        <v>5099</v>
      </c>
      <c r="C820" s="11" t="s">
        <v>5104</v>
      </c>
      <c r="D820" s="3" t="s">
        <v>2398</v>
      </c>
      <c r="E820" s="3" t="s">
        <v>2399</v>
      </c>
      <c r="F820" s="3" t="s">
        <v>2276</v>
      </c>
      <c r="G820" s="11" t="s">
        <v>5102</v>
      </c>
      <c r="H820" s="11" t="s">
        <v>1952</v>
      </c>
      <c r="I820" s="21">
        <v>7.538119</v>
      </c>
      <c r="J820" s="21">
        <v>4.5552811000000002</v>
      </c>
      <c r="K820" s="21">
        <v>9251</v>
      </c>
      <c r="L820" s="11">
        <v>2014</v>
      </c>
      <c r="M820" s="11">
        <v>2014</v>
      </c>
      <c r="N820" s="21" t="s">
        <v>2276</v>
      </c>
      <c r="O820" s="11" t="s">
        <v>67</v>
      </c>
      <c r="P820" s="11" t="s">
        <v>5188</v>
      </c>
      <c r="Q820" s="3"/>
    </row>
    <row r="821" spans="1:17" ht="43.5" customHeight="1">
      <c r="A821" s="171">
        <v>202</v>
      </c>
      <c r="B821" s="40" t="s">
        <v>5099</v>
      </c>
      <c r="C821" s="11" t="s">
        <v>5105</v>
      </c>
      <c r="D821" s="3" t="s">
        <v>2398</v>
      </c>
      <c r="E821" s="3" t="s">
        <v>2399</v>
      </c>
      <c r="F821" s="3" t="s">
        <v>2276</v>
      </c>
      <c r="G821" s="11" t="s">
        <v>5103</v>
      </c>
      <c r="H821" s="11" t="s">
        <v>1952</v>
      </c>
      <c r="I821" s="21">
        <v>7.1165304999999996</v>
      </c>
      <c r="J821" s="21">
        <v>3.6499621000000002</v>
      </c>
      <c r="K821" s="21">
        <v>16980</v>
      </c>
      <c r="L821" s="11">
        <v>2014</v>
      </c>
      <c r="M821" s="11">
        <v>2014</v>
      </c>
      <c r="N821" s="21" t="s">
        <v>2276</v>
      </c>
      <c r="O821" s="11" t="s">
        <v>67</v>
      </c>
      <c r="P821" s="11" t="s">
        <v>5188</v>
      </c>
      <c r="Q821" s="3"/>
    </row>
    <row r="822" spans="1:17" ht="43.5" customHeight="1">
      <c r="A822" s="171">
        <v>203</v>
      </c>
      <c r="B822" s="40" t="s">
        <v>5108</v>
      </c>
      <c r="C822" s="3" t="s">
        <v>5109</v>
      </c>
      <c r="D822" s="3" t="s">
        <v>2398</v>
      </c>
      <c r="E822" s="3" t="s">
        <v>2399</v>
      </c>
      <c r="F822" s="3" t="s">
        <v>2276</v>
      </c>
      <c r="G822" s="3" t="s">
        <v>5107</v>
      </c>
      <c r="H822" s="11" t="s">
        <v>1952</v>
      </c>
      <c r="I822" s="21">
        <v>9</v>
      </c>
      <c r="J822" s="21">
        <v>12.5</v>
      </c>
      <c r="K822" s="21">
        <v>7282.2</v>
      </c>
      <c r="L822" s="3">
        <v>2015</v>
      </c>
      <c r="M822" s="3">
        <v>2015</v>
      </c>
      <c r="N822" s="21" t="s">
        <v>2276</v>
      </c>
      <c r="O822" s="11" t="s">
        <v>67</v>
      </c>
      <c r="P822" s="11" t="s">
        <v>5188</v>
      </c>
      <c r="Q822" s="3"/>
    </row>
    <row r="823" spans="1:17" ht="43" customHeight="1">
      <c r="A823" s="171">
        <v>204</v>
      </c>
      <c r="B823" s="40" t="s">
        <v>5116</v>
      </c>
      <c r="C823" s="11" t="s">
        <v>5117</v>
      </c>
      <c r="D823" s="3" t="s">
        <v>2398</v>
      </c>
      <c r="E823" s="3" t="s">
        <v>2399</v>
      </c>
      <c r="F823" s="11" t="s">
        <v>5118</v>
      </c>
      <c r="G823" s="11" t="s">
        <v>5119</v>
      </c>
      <c r="H823" s="11" t="s">
        <v>1952</v>
      </c>
      <c r="I823" s="21">
        <f>AVERAGE(9 + 11/60, 9+39/60)</f>
        <v>9.4166666666666679</v>
      </c>
      <c r="J823" s="21">
        <f>AVERAGE(12 + 11/60, 12 + 49/60)</f>
        <v>12.5</v>
      </c>
      <c r="K823" s="21" t="s">
        <v>2276</v>
      </c>
      <c r="L823" s="11">
        <v>2016</v>
      </c>
      <c r="M823" s="11">
        <v>2016</v>
      </c>
      <c r="N823" s="21" t="s">
        <v>2276</v>
      </c>
      <c r="O823" s="11" t="s">
        <v>67</v>
      </c>
      <c r="P823" s="11" t="s">
        <v>5188</v>
      </c>
      <c r="Q823" s="3"/>
    </row>
    <row r="824" spans="1:17" ht="57" customHeight="1">
      <c r="A824" s="171">
        <v>205</v>
      </c>
      <c r="B824" s="40" t="s">
        <v>5122</v>
      </c>
      <c r="C824" s="11" t="s">
        <v>5123</v>
      </c>
      <c r="D824" s="3" t="s">
        <v>2398</v>
      </c>
      <c r="E824" s="3" t="s">
        <v>2422</v>
      </c>
      <c r="F824" s="64" t="s">
        <v>5134</v>
      </c>
      <c r="G824" s="3" t="s">
        <v>5133</v>
      </c>
      <c r="H824" s="11" t="s">
        <v>3414</v>
      </c>
      <c r="I824" s="184">
        <v>-16.347667699999999</v>
      </c>
      <c r="J824" s="21">
        <v>132.70656389999999</v>
      </c>
      <c r="K824" s="21">
        <v>26000</v>
      </c>
      <c r="L824" s="3">
        <v>1996</v>
      </c>
      <c r="M824" s="3">
        <v>2005</v>
      </c>
      <c r="N824" s="21" t="s">
        <v>2276</v>
      </c>
      <c r="O824" s="11" t="s">
        <v>67</v>
      </c>
      <c r="P824" s="11" t="s">
        <v>5188</v>
      </c>
      <c r="Q824" s="4" t="s">
        <v>5139</v>
      </c>
    </row>
    <row r="825" spans="1:17" ht="57" customHeight="1">
      <c r="A825" s="171">
        <v>205</v>
      </c>
      <c r="B825" s="40" t="s">
        <v>5122</v>
      </c>
      <c r="C825" s="11" t="s">
        <v>5124</v>
      </c>
      <c r="D825" s="3" t="s">
        <v>2398</v>
      </c>
      <c r="E825" s="3" t="s">
        <v>2422</v>
      </c>
      <c r="F825" s="64" t="s">
        <v>5135</v>
      </c>
      <c r="G825" s="3" t="s">
        <v>5133</v>
      </c>
      <c r="H825" s="11" t="s">
        <v>3414</v>
      </c>
      <c r="I825" s="21">
        <v>-15.2194482</v>
      </c>
      <c r="J825" s="21">
        <v>131.77928410000001</v>
      </c>
      <c r="K825" s="21">
        <v>28000</v>
      </c>
      <c r="L825" s="3">
        <v>1995</v>
      </c>
      <c r="M825" s="3">
        <v>2004</v>
      </c>
      <c r="N825" s="21" t="s">
        <v>2276</v>
      </c>
      <c r="O825" s="11" t="s">
        <v>67</v>
      </c>
      <c r="P825" s="11" t="s">
        <v>5188</v>
      </c>
      <c r="Q825" s="4" t="s">
        <v>5139</v>
      </c>
    </row>
    <row r="826" spans="1:17" ht="57" customHeight="1">
      <c r="A826" s="171">
        <v>205</v>
      </c>
      <c r="B826" s="40" t="s">
        <v>5122</v>
      </c>
      <c r="C826" s="11" t="s">
        <v>5125</v>
      </c>
      <c r="D826" s="3" t="s">
        <v>2398</v>
      </c>
      <c r="E826" s="3" t="s">
        <v>2422</v>
      </c>
      <c r="F826" s="64" t="s">
        <v>5136</v>
      </c>
      <c r="G826" s="3" t="s">
        <v>5133</v>
      </c>
      <c r="H826" s="11" t="s">
        <v>3414</v>
      </c>
      <c r="I826" s="21">
        <v>-13.6592447</v>
      </c>
      <c r="J826" s="21">
        <v>134.8716282</v>
      </c>
      <c r="K826" s="21">
        <v>11000</v>
      </c>
      <c r="L826" s="3">
        <v>2006</v>
      </c>
      <c r="M826" s="3">
        <v>2015</v>
      </c>
      <c r="N826" s="21" t="s">
        <v>2276</v>
      </c>
      <c r="O826" s="11" t="s">
        <v>67</v>
      </c>
      <c r="P826" s="11" t="s">
        <v>5188</v>
      </c>
      <c r="Q826" s="4" t="s">
        <v>5139</v>
      </c>
    </row>
    <row r="827" spans="1:17" ht="57" customHeight="1">
      <c r="A827" s="171">
        <v>205</v>
      </c>
      <c r="B827" s="40" t="s">
        <v>5122</v>
      </c>
      <c r="C827" s="11" t="s">
        <v>5126</v>
      </c>
      <c r="D827" s="3" t="s">
        <v>2398</v>
      </c>
      <c r="E827" s="3" t="s">
        <v>2422</v>
      </c>
      <c r="F827" s="64" t="s">
        <v>5137</v>
      </c>
      <c r="G827" s="3" t="s">
        <v>5133</v>
      </c>
      <c r="H827" s="11" t="s">
        <v>3414</v>
      </c>
      <c r="I827" s="21">
        <v>-14.2296459</v>
      </c>
      <c r="J827" s="21">
        <v>135.27392330000001</v>
      </c>
      <c r="K827" s="21">
        <v>5000</v>
      </c>
      <c r="L827" s="3">
        <v>2000</v>
      </c>
      <c r="M827" s="3">
        <v>2014</v>
      </c>
      <c r="N827" s="21" t="s">
        <v>2276</v>
      </c>
      <c r="O827" s="11" t="s">
        <v>67</v>
      </c>
      <c r="P827" s="11" t="s">
        <v>5188</v>
      </c>
      <c r="Q827" s="4" t="s">
        <v>5139</v>
      </c>
    </row>
    <row r="828" spans="1:17" ht="57" customHeight="1">
      <c r="A828" s="171">
        <v>205</v>
      </c>
      <c r="B828" s="40" t="s">
        <v>5122</v>
      </c>
      <c r="C828" s="11" t="s">
        <v>5127</v>
      </c>
      <c r="D828" s="3" t="s">
        <v>2398</v>
      </c>
      <c r="E828" s="3" t="s">
        <v>2422</v>
      </c>
      <c r="F828" s="64" t="s">
        <v>5138</v>
      </c>
      <c r="G828" s="3" t="s">
        <v>5133</v>
      </c>
      <c r="H828" s="11" t="s">
        <v>3414</v>
      </c>
      <c r="I828" s="21">
        <v>-14.658561600000001</v>
      </c>
      <c r="J828" s="21">
        <v>134.6898109</v>
      </c>
      <c r="K828" s="21">
        <v>10000</v>
      </c>
      <c r="L828" s="3">
        <v>2000</v>
      </c>
      <c r="M828" s="3">
        <v>2015</v>
      </c>
      <c r="N828" s="21" t="s">
        <v>2276</v>
      </c>
      <c r="O828" s="11" t="s">
        <v>67</v>
      </c>
      <c r="P828" s="11" t="s">
        <v>5188</v>
      </c>
      <c r="Q828" s="4" t="s">
        <v>5139</v>
      </c>
    </row>
    <row r="829" spans="1:17" ht="57" customHeight="1">
      <c r="A829" s="171">
        <v>205</v>
      </c>
      <c r="B829" s="40" t="s">
        <v>5122</v>
      </c>
      <c r="C829" s="11" t="s">
        <v>5128</v>
      </c>
      <c r="D829" s="3" t="s">
        <v>2398</v>
      </c>
      <c r="E829" s="3" t="s">
        <v>2422</v>
      </c>
      <c r="F829" s="64" t="s">
        <v>5134</v>
      </c>
      <c r="G829" s="3" t="s">
        <v>5133</v>
      </c>
      <c r="H829" s="11" t="s">
        <v>3414</v>
      </c>
      <c r="I829" s="184">
        <v>-16.347667699999999</v>
      </c>
      <c r="J829" s="21">
        <v>132.70656389999999</v>
      </c>
      <c r="K829" s="21">
        <v>26000</v>
      </c>
      <c r="L829" s="3">
        <v>2015</v>
      </c>
      <c r="M829" s="3">
        <v>2017</v>
      </c>
      <c r="N829" s="21" t="s">
        <v>2276</v>
      </c>
      <c r="O829" s="11" t="s">
        <v>67</v>
      </c>
      <c r="P829" s="11" t="s">
        <v>5188</v>
      </c>
      <c r="Q829" s="4" t="s">
        <v>5139</v>
      </c>
    </row>
    <row r="830" spans="1:17" ht="57" customHeight="1">
      <c r="A830" s="171">
        <v>205</v>
      </c>
      <c r="B830" s="40" t="s">
        <v>5122</v>
      </c>
      <c r="C830" s="11" t="s">
        <v>5129</v>
      </c>
      <c r="D830" s="3" t="s">
        <v>2398</v>
      </c>
      <c r="E830" s="3" t="s">
        <v>2422</v>
      </c>
      <c r="F830" s="64" t="s">
        <v>5135</v>
      </c>
      <c r="G830" s="3" t="s">
        <v>5133</v>
      </c>
      <c r="H830" s="11" t="s">
        <v>3414</v>
      </c>
      <c r="I830" s="21">
        <v>-15.2194482</v>
      </c>
      <c r="J830" s="21">
        <v>131.77928410000001</v>
      </c>
      <c r="K830" s="21">
        <v>28000</v>
      </c>
      <c r="L830" s="3">
        <v>2015</v>
      </c>
      <c r="M830" s="3">
        <v>2017</v>
      </c>
      <c r="N830" s="21" t="s">
        <v>2276</v>
      </c>
      <c r="O830" s="11" t="s">
        <v>67</v>
      </c>
      <c r="P830" s="11" t="s">
        <v>5188</v>
      </c>
      <c r="Q830" s="4" t="s">
        <v>5139</v>
      </c>
    </row>
    <row r="831" spans="1:17" ht="57" customHeight="1">
      <c r="A831" s="171">
        <v>205</v>
      </c>
      <c r="B831" s="40" t="s">
        <v>5122</v>
      </c>
      <c r="C831" s="11" t="s">
        <v>5130</v>
      </c>
      <c r="D831" s="3" t="s">
        <v>2398</v>
      </c>
      <c r="E831" s="3" t="s">
        <v>2422</v>
      </c>
      <c r="F831" s="64" t="s">
        <v>5136</v>
      </c>
      <c r="G831" s="3" t="s">
        <v>5133</v>
      </c>
      <c r="H831" s="11" t="s">
        <v>3414</v>
      </c>
      <c r="I831" s="21">
        <v>-13.6592447</v>
      </c>
      <c r="J831" s="21">
        <v>134.8716282</v>
      </c>
      <c r="K831" s="21">
        <v>11000</v>
      </c>
      <c r="L831" s="3">
        <v>2016</v>
      </c>
      <c r="M831" s="3">
        <v>2017</v>
      </c>
      <c r="N831" s="21" t="s">
        <v>2276</v>
      </c>
      <c r="O831" s="11" t="s">
        <v>67</v>
      </c>
      <c r="P831" s="11" t="s">
        <v>5188</v>
      </c>
      <c r="Q831" s="4" t="s">
        <v>5139</v>
      </c>
    </row>
    <row r="832" spans="1:17" ht="57" customHeight="1">
      <c r="A832" s="171">
        <v>205</v>
      </c>
      <c r="B832" s="40" t="s">
        <v>5122</v>
      </c>
      <c r="C832" s="11" t="s">
        <v>5131</v>
      </c>
      <c r="D832" s="3" t="s">
        <v>2398</v>
      </c>
      <c r="E832" s="3" t="s">
        <v>2422</v>
      </c>
      <c r="F832" s="64" t="s">
        <v>5137</v>
      </c>
      <c r="G832" s="3" t="s">
        <v>5133</v>
      </c>
      <c r="H832" s="11" t="s">
        <v>3414</v>
      </c>
      <c r="I832" s="21">
        <v>-14.2296459</v>
      </c>
      <c r="J832" s="21">
        <v>135.27392330000001</v>
      </c>
      <c r="K832" s="21">
        <v>5000</v>
      </c>
      <c r="L832" s="3">
        <v>2015</v>
      </c>
      <c r="M832" s="3">
        <v>2017</v>
      </c>
      <c r="N832" s="21" t="s">
        <v>2276</v>
      </c>
      <c r="O832" s="11" t="s">
        <v>67</v>
      </c>
      <c r="P832" s="11" t="s">
        <v>5188</v>
      </c>
      <c r="Q832" s="4" t="s">
        <v>5139</v>
      </c>
    </row>
    <row r="833" spans="1:17" ht="57" customHeight="1">
      <c r="A833" s="171">
        <v>205</v>
      </c>
      <c r="B833" s="40" t="s">
        <v>5122</v>
      </c>
      <c r="C833" s="11" t="s">
        <v>5132</v>
      </c>
      <c r="D833" s="3" t="s">
        <v>2398</v>
      </c>
      <c r="E833" s="3" t="s">
        <v>2422</v>
      </c>
      <c r="F833" s="64" t="s">
        <v>5138</v>
      </c>
      <c r="G833" s="3" t="s">
        <v>5133</v>
      </c>
      <c r="H833" s="11" t="s">
        <v>3414</v>
      </c>
      <c r="I833" s="21">
        <v>-14.658561600000001</v>
      </c>
      <c r="J833" s="21">
        <v>134.6898109</v>
      </c>
      <c r="K833" s="21">
        <v>10000</v>
      </c>
      <c r="L833" s="3">
        <v>2016</v>
      </c>
      <c r="M833" s="3">
        <v>2017</v>
      </c>
      <c r="N833" s="21" t="s">
        <v>2276</v>
      </c>
      <c r="O833" s="11" t="s">
        <v>67</v>
      </c>
      <c r="P833" s="11" t="s">
        <v>5188</v>
      </c>
      <c r="Q833" s="4" t="s">
        <v>5139</v>
      </c>
    </row>
    <row r="834" spans="1:17" ht="40" customHeight="1">
      <c r="A834" s="171">
        <v>206</v>
      </c>
      <c r="B834" s="40" t="s">
        <v>5189</v>
      </c>
      <c r="C834" s="11" t="s">
        <v>5190</v>
      </c>
      <c r="D834" s="3" t="s">
        <v>2398</v>
      </c>
      <c r="E834" s="3" t="s">
        <v>2400</v>
      </c>
      <c r="F834" s="3" t="s">
        <v>5191</v>
      </c>
      <c r="G834" s="3" t="s">
        <v>1056</v>
      </c>
      <c r="H834" s="3" t="s">
        <v>895</v>
      </c>
      <c r="I834" s="21">
        <f>-2 - 2/6</f>
        <v>-2.3333333333333335</v>
      </c>
      <c r="J834" s="21">
        <f>114 + 3/6</f>
        <v>114.5</v>
      </c>
      <c r="K834" s="21">
        <f>48191/100</f>
        <v>481.91</v>
      </c>
      <c r="L834" s="3">
        <v>2014</v>
      </c>
      <c r="M834" s="3">
        <v>2016</v>
      </c>
      <c r="N834" s="21" t="s">
        <v>2276</v>
      </c>
      <c r="O834" s="11" t="s">
        <v>67</v>
      </c>
      <c r="P834" s="11" t="s">
        <v>5188</v>
      </c>
      <c r="Q834" s="3"/>
    </row>
    <row r="835" spans="1:17" ht="38.5" customHeight="1">
      <c r="A835" s="171">
        <v>207</v>
      </c>
      <c r="B835" s="40" t="s">
        <v>5208</v>
      </c>
      <c r="C835" s="11" t="s">
        <v>5209</v>
      </c>
      <c r="D835" s="11" t="s">
        <v>2398</v>
      </c>
      <c r="E835" s="11" t="s">
        <v>2399</v>
      </c>
      <c r="F835" s="64" t="s">
        <v>5210</v>
      </c>
      <c r="G835" s="11" t="s">
        <v>5212</v>
      </c>
      <c r="H835" s="11" t="s">
        <v>5211</v>
      </c>
      <c r="I835" s="21">
        <v>36.923876499999999</v>
      </c>
      <c r="J835" s="21">
        <v>139.06780000000001</v>
      </c>
      <c r="K835" s="21">
        <f>9.7/100</f>
        <v>9.6999999999999989E-2</v>
      </c>
      <c r="L835" s="3">
        <v>2015</v>
      </c>
      <c r="M835" s="3">
        <v>2016</v>
      </c>
      <c r="N835" s="21" t="s">
        <v>2276</v>
      </c>
      <c r="O835" s="11" t="s">
        <v>67</v>
      </c>
      <c r="P835" s="11" t="s">
        <v>5188</v>
      </c>
      <c r="Q835" s="3"/>
    </row>
    <row r="836" spans="1:17" ht="48" customHeight="1">
      <c r="A836" s="171">
        <v>208</v>
      </c>
      <c r="B836" s="40" t="s">
        <v>5222</v>
      </c>
      <c r="C836" s="23" t="s">
        <v>5223</v>
      </c>
      <c r="D836" s="23" t="s">
        <v>2398</v>
      </c>
      <c r="E836" s="23" t="s">
        <v>2399</v>
      </c>
      <c r="F836" s="23" t="s">
        <v>5226</v>
      </c>
      <c r="G836" s="23" t="s">
        <v>5225</v>
      </c>
      <c r="H836" s="23" t="s">
        <v>5224</v>
      </c>
      <c r="I836" s="77">
        <f>28 + 5.5/60</f>
        <v>28.091666666666665</v>
      </c>
      <c r="J836" s="77">
        <f xml:space="preserve"> 85 + 23.4/60</f>
        <v>85.39</v>
      </c>
      <c r="K836" s="77">
        <v>1</v>
      </c>
      <c r="L836" s="22">
        <v>2011</v>
      </c>
      <c r="M836" s="22">
        <v>2011</v>
      </c>
      <c r="N836" s="77" t="s">
        <v>2276</v>
      </c>
      <c r="O836" s="23" t="s">
        <v>67</v>
      </c>
      <c r="P836" s="23" t="s">
        <v>5188</v>
      </c>
      <c r="Q836" s="22"/>
    </row>
    <row r="837" spans="1:17" ht="43.5" customHeight="1">
      <c r="A837" s="171">
        <v>209</v>
      </c>
      <c r="B837" s="40" t="s">
        <v>5233</v>
      </c>
      <c r="C837" s="23" t="s">
        <v>5234</v>
      </c>
      <c r="D837" s="3" t="s">
        <v>2416</v>
      </c>
      <c r="E837" s="23" t="s">
        <v>2399</v>
      </c>
      <c r="F837" s="3" t="s">
        <v>5243</v>
      </c>
      <c r="G837" s="3" t="s">
        <v>5248</v>
      </c>
      <c r="H837" s="3" t="s">
        <v>5224</v>
      </c>
      <c r="I837" s="21">
        <v>28.679242299999999</v>
      </c>
      <c r="J837" s="21">
        <v>80.505154899999994</v>
      </c>
      <c r="K837" s="21">
        <f>1594/100</f>
        <v>15.94</v>
      </c>
      <c r="L837" s="3">
        <v>2004</v>
      </c>
      <c r="M837" s="3">
        <v>2004</v>
      </c>
      <c r="N837" s="77" t="s">
        <v>2276</v>
      </c>
      <c r="O837" s="23" t="s">
        <v>67</v>
      </c>
      <c r="P837" s="23" t="s">
        <v>5188</v>
      </c>
      <c r="Q837" s="3"/>
    </row>
    <row r="838" spans="1:17" ht="28.5" customHeight="1">
      <c r="A838" s="171">
        <v>209</v>
      </c>
      <c r="B838" s="40" t="s">
        <v>5233</v>
      </c>
      <c r="C838" s="23" t="s">
        <v>5236</v>
      </c>
      <c r="D838" s="3" t="s">
        <v>2416</v>
      </c>
      <c r="E838" s="23" t="s">
        <v>2399</v>
      </c>
      <c r="F838" s="11" t="s">
        <v>5244</v>
      </c>
      <c r="G838" s="3" t="s">
        <v>5248</v>
      </c>
      <c r="H838" s="3" t="s">
        <v>5224</v>
      </c>
      <c r="I838" s="21">
        <v>28.467973099999998</v>
      </c>
      <c r="J838" s="21">
        <v>81.010586700000005</v>
      </c>
      <c r="K838" s="21">
        <f>8261/100</f>
        <v>82.61</v>
      </c>
      <c r="L838" s="3">
        <v>2004</v>
      </c>
      <c r="M838" s="3">
        <v>2004</v>
      </c>
      <c r="N838" s="77" t="s">
        <v>2276</v>
      </c>
      <c r="O838" s="23" t="s">
        <v>67</v>
      </c>
      <c r="P838" s="3" t="s">
        <v>5187</v>
      </c>
      <c r="Q838" s="3"/>
    </row>
    <row r="839" spans="1:17" ht="28.5" customHeight="1">
      <c r="A839" s="171">
        <v>209</v>
      </c>
      <c r="B839" s="40" t="s">
        <v>5233</v>
      </c>
      <c r="C839" s="23" t="s">
        <v>5237</v>
      </c>
      <c r="D839" s="3" t="s">
        <v>2416</v>
      </c>
      <c r="E839" s="23" t="s">
        <v>2399</v>
      </c>
      <c r="F839" s="11" t="s">
        <v>5245</v>
      </c>
      <c r="G839" s="3" t="s">
        <v>5248</v>
      </c>
      <c r="H839" s="3" t="s">
        <v>5224</v>
      </c>
      <c r="I839" s="21">
        <v>28.096767799999999</v>
      </c>
      <c r="J839" s="21">
        <v>81.2960128</v>
      </c>
      <c r="K839" s="21">
        <f>1422/100</f>
        <v>14.22</v>
      </c>
      <c r="L839" s="3">
        <v>2004</v>
      </c>
      <c r="M839" s="3">
        <v>2004</v>
      </c>
      <c r="N839" s="77" t="s">
        <v>2276</v>
      </c>
      <c r="O839" s="23" t="s">
        <v>67</v>
      </c>
      <c r="P839" s="3" t="s">
        <v>5187</v>
      </c>
      <c r="Q839" s="3"/>
    </row>
    <row r="840" spans="1:17" ht="28.5" customHeight="1">
      <c r="A840" s="171">
        <v>209</v>
      </c>
      <c r="B840" s="40" t="s">
        <v>5233</v>
      </c>
      <c r="C840" s="23" t="s">
        <v>5238</v>
      </c>
      <c r="D840" s="3" t="s">
        <v>2416</v>
      </c>
      <c r="E840" s="23" t="s">
        <v>2399</v>
      </c>
      <c r="F840" s="11" t="s">
        <v>5246</v>
      </c>
      <c r="G840" s="3" t="s">
        <v>5248</v>
      </c>
      <c r="H840" s="3" t="s">
        <v>5224</v>
      </c>
      <c r="I840" s="21">
        <v>27.994374799999999</v>
      </c>
      <c r="J840" s="21">
        <v>81.512683600000003</v>
      </c>
      <c r="K840" s="21">
        <f>2665/100</f>
        <v>26.65</v>
      </c>
      <c r="L840" s="3">
        <v>2004</v>
      </c>
      <c r="M840" s="3">
        <v>2004</v>
      </c>
      <c r="N840" s="77" t="s">
        <v>2276</v>
      </c>
      <c r="O840" s="23" t="s">
        <v>67</v>
      </c>
      <c r="P840" s="3" t="s">
        <v>5187</v>
      </c>
      <c r="Q840" s="3"/>
    </row>
    <row r="841" spans="1:17" ht="28.5" customHeight="1">
      <c r="A841" s="171">
        <v>209</v>
      </c>
      <c r="B841" s="40" t="s">
        <v>5233</v>
      </c>
      <c r="C841" s="23" t="s">
        <v>5239</v>
      </c>
      <c r="D841" s="3" t="s">
        <v>2416</v>
      </c>
      <c r="E841" s="23" t="s">
        <v>2399</v>
      </c>
      <c r="F841" s="11" t="s">
        <v>5247</v>
      </c>
      <c r="G841" s="3" t="s">
        <v>5248</v>
      </c>
      <c r="H841" s="3" t="s">
        <v>5224</v>
      </c>
      <c r="I841" s="21">
        <v>27.466681099999999</v>
      </c>
      <c r="J841" s="21">
        <v>83.241941299999993</v>
      </c>
      <c r="K841" s="21">
        <f>889/100</f>
        <v>8.89</v>
      </c>
      <c r="L841" s="3">
        <v>2004</v>
      </c>
      <c r="M841" s="3">
        <v>2004</v>
      </c>
      <c r="N841" s="77" t="s">
        <v>2276</v>
      </c>
      <c r="O841" s="23" t="s">
        <v>67</v>
      </c>
      <c r="P841" s="3" t="s">
        <v>5187</v>
      </c>
      <c r="Q841" s="3"/>
    </row>
    <row r="842" spans="1:17" ht="28.5" customHeight="1">
      <c r="A842" s="171">
        <v>209</v>
      </c>
      <c r="B842" s="40" t="s">
        <v>5233</v>
      </c>
      <c r="C842" s="23" t="s">
        <v>5240</v>
      </c>
      <c r="D842" s="3" t="s">
        <v>2416</v>
      </c>
      <c r="E842" s="23" t="s">
        <v>2399</v>
      </c>
      <c r="F842" s="11" t="s">
        <v>5235</v>
      </c>
      <c r="G842" s="3" t="s">
        <v>5248</v>
      </c>
      <c r="H842" s="3" t="s">
        <v>5224</v>
      </c>
      <c r="I842" s="21">
        <v>27.0329312</v>
      </c>
      <c r="J842" s="21">
        <v>84.400949499999996</v>
      </c>
      <c r="K842" s="21">
        <f>4751/100</f>
        <v>47.51</v>
      </c>
      <c r="L842" s="3">
        <v>2004</v>
      </c>
      <c r="M842" s="3">
        <v>2004</v>
      </c>
      <c r="N842" s="77" t="s">
        <v>2276</v>
      </c>
      <c r="O842" s="23" t="s">
        <v>67</v>
      </c>
      <c r="P842" s="3" t="s">
        <v>5187</v>
      </c>
      <c r="Q842" s="3"/>
    </row>
    <row r="843" spans="1:17" ht="28.5" customHeight="1">
      <c r="A843" s="171">
        <v>209</v>
      </c>
      <c r="B843" s="40" t="s">
        <v>5233</v>
      </c>
      <c r="C843" s="23" t="s">
        <v>5241</v>
      </c>
      <c r="D843" s="3" t="s">
        <v>2416</v>
      </c>
      <c r="E843" s="23" t="s">
        <v>2399</v>
      </c>
      <c r="F843" s="11" t="s">
        <v>5242</v>
      </c>
      <c r="G843" s="3" t="s">
        <v>5248</v>
      </c>
      <c r="H843" s="3" t="s">
        <v>5224</v>
      </c>
      <c r="I843" s="21">
        <v>27.549236799999999</v>
      </c>
      <c r="J843" s="21">
        <v>82.814955299999994</v>
      </c>
      <c r="K843" s="21">
        <f>817/100</f>
        <v>8.17</v>
      </c>
      <c r="L843" s="3">
        <v>2004</v>
      </c>
      <c r="M843" s="3">
        <v>2004</v>
      </c>
      <c r="N843" s="77" t="s">
        <v>2276</v>
      </c>
      <c r="O843" s="23" t="s">
        <v>67</v>
      </c>
      <c r="P843" s="3" t="s">
        <v>5187</v>
      </c>
      <c r="Q843" s="3"/>
    </row>
    <row r="844" spans="1:17" ht="33.5" customHeight="1">
      <c r="A844" s="171">
        <v>210</v>
      </c>
      <c r="B844" s="40" t="s">
        <v>5342</v>
      </c>
      <c r="C844" s="23" t="s">
        <v>5337</v>
      </c>
      <c r="D844" s="11" t="s">
        <v>2398</v>
      </c>
      <c r="E844" s="11" t="s">
        <v>2400</v>
      </c>
      <c r="F844" s="3" t="s">
        <v>5344</v>
      </c>
      <c r="G844" s="11" t="s">
        <v>5341</v>
      </c>
      <c r="H844" s="11" t="s">
        <v>895</v>
      </c>
      <c r="I844" s="21">
        <v>0.38180150000000002</v>
      </c>
      <c r="J844" s="21">
        <v>101.83745260000001</v>
      </c>
      <c r="K844" s="21">
        <f>(9113+32981+23994+48531+160231+4563)/100</f>
        <v>2794.13</v>
      </c>
      <c r="L844" s="3">
        <v>2013</v>
      </c>
      <c r="M844" s="3">
        <v>2015</v>
      </c>
      <c r="N844" s="77" t="s">
        <v>2276</v>
      </c>
      <c r="O844" s="23" t="s">
        <v>67</v>
      </c>
      <c r="P844" s="23" t="s">
        <v>5188</v>
      </c>
      <c r="Q844" s="3"/>
    </row>
    <row r="845" spans="1:17" ht="33.5" customHeight="1">
      <c r="A845" s="171">
        <v>210</v>
      </c>
      <c r="B845" s="40" t="s">
        <v>5342</v>
      </c>
      <c r="C845" s="23" t="s">
        <v>5338</v>
      </c>
      <c r="D845" s="11" t="s">
        <v>2398</v>
      </c>
      <c r="E845" s="11" t="s">
        <v>2400</v>
      </c>
      <c r="F845" s="3" t="s">
        <v>5344</v>
      </c>
      <c r="G845" s="11" t="s">
        <v>5341</v>
      </c>
      <c r="H845" s="11" t="s">
        <v>895</v>
      </c>
      <c r="I845" s="21">
        <v>0.38180150000000002</v>
      </c>
      <c r="J845" s="21">
        <v>101.83745260000001</v>
      </c>
      <c r="K845" s="21">
        <f>(9113+32981+23994+48531+160231+4563)/100</f>
        <v>2794.13</v>
      </c>
      <c r="L845" s="3">
        <v>2016</v>
      </c>
      <c r="M845" s="3">
        <v>2017</v>
      </c>
      <c r="N845" s="77" t="s">
        <v>2276</v>
      </c>
      <c r="O845" s="23" t="s">
        <v>67</v>
      </c>
      <c r="P845" s="23" t="s">
        <v>5188</v>
      </c>
      <c r="Q845" s="3"/>
    </row>
    <row r="846" spans="1:17" ht="33.5" customHeight="1">
      <c r="A846" s="171">
        <v>210</v>
      </c>
      <c r="B846" s="40" t="s">
        <v>5342</v>
      </c>
      <c r="C846" s="23" t="s">
        <v>5339</v>
      </c>
      <c r="D846" s="11" t="s">
        <v>2398</v>
      </c>
      <c r="E846" s="11" t="s">
        <v>2400</v>
      </c>
      <c r="F846" s="3" t="s">
        <v>5343</v>
      </c>
      <c r="G846" s="11" t="s">
        <v>5341</v>
      </c>
      <c r="H846" s="11" t="s">
        <v>895</v>
      </c>
      <c r="I846" s="21">
        <v>0.38180150000000002</v>
      </c>
      <c r="J846" s="21">
        <v>101.83745260000001</v>
      </c>
      <c r="K846" s="21">
        <f>(3844+7119+43538+31444+26238+75281)/100</f>
        <v>1874.64</v>
      </c>
      <c r="L846" s="3">
        <v>2013</v>
      </c>
      <c r="M846" s="3">
        <v>2015</v>
      </c>
      <c r="N846" s="77" t="s">
        <v>2276</v>
      </c>
      <c r="O846" s="23" t="s">
        <v>67</v>
      </c>
      <c r="P846" s="23" t="s">
        <v>5188</v>
      </c>
      <c r="Q846" s="3"/>
    </row>
    <row r="847" spans="1:17" ht="33.5" customHeight="1">
      <c r="A847" s="171">
        <v>210</v>
      </c>
      <c r="B847" s="40" t="s">
        <v>5342</v>
      </c>
      <c r="C847" s="23" t="s">
        <v>5340</v>
      </c>
      <c r="D847" s="11" t="s">
        <v>2398</v>
      </c>
      <c r="E847" s="11" t="s">
        <v>2400</v>
      </c>
      <c r="F847" s="3" t="s">
        <v>5343</v>
      </c>
      <c r="G847" s="11" t="s">
        <v>5341</v>
      </c>
      <c r="H847" s="11" t="s">
        <v>895</v>
      </c>
      <c r="I847" s="21">
        <v>0.38180150000000002</v>
      </c>
      <c r="J847" s="21">
        <v>101.83745260000001</v>
      </c>
      <c r="K847" s="21">
        <f>(3844+7119+43538+31444+26238+75281)/100</f>
        <v>1874.64</v>
      </c>
      <c r="L847" s="3">
        <v>2016</v>
      </c>
      <c r="M847" s="3">
        <v>2017</v>
      </c>
      <c r="N847" s="77" t="s">
        <v>2276</v>
      </c>
      <c r="O847" s="23" t="s">
        <v>67</v>
      </c>
      <c r="P847" s="23" t="s">
        <v>5188</v>
      </c>
      <c r="Q847" s="3"/>
    </row>
    <row r="848" spans="1:17" ht="28" customHeight="1">
      <c r="A848" s="171">
        <v>211</v>
      </c>
      <c r="B848" s="40" t="s">
        <v>5362</v>
      </c>
      <c r="C848" s="23" t="s">
        <v>5361</v>
      </c>
      <c r="D848" s="11" t="s">
        <v>2398</v>
      </c>
      <c r="E848" s="23" t="s">
        <v>2399</v>
      </c>
      <c r="F848" s="3" t="s">
        <v>5363</v>
      </c>
      <c r="G848" s="3" t="s">
        <v>5364</v>
      </c>
      <c r="H848" s="11" t="s">
        <v>1952</v>
      </c>
      <c r="I848" s="21">
        <v>5.2789324999999998</v>
      </c>
      <c r="J848" s="21">
        <f>7 + 3/6</f>
        <v>7.5</v>
      </c>
      <c r="K848" s="21">
        <v>83.5</v>
      </c>
      <c r="L848" s="3">
        <v>2018</v>
      </c>
      <c r="M848" s="3">
        <v>2018</v>
      </c>
      <c r="N848" s="77" t="s">
        <v>2276</v>
      </c>
      <c r="O848" s="23" t="s">
        <v>67</v>
      </c>
      <c r="P848" s="23" t="s">
        <v>5188</v>
      </c>
      <c r="Q848" s="3"/>
    </row>
    <row r="849" spans="1:17" ht="32.5" customHeight="1">
      <c r="A849" s="171">
        <v>212</v>
      </c>
      <c r="B849" s="40" t="s">
        <v>5369</v>
      </c>
      <c r="C849" s="23" t="s">
        <v>5370</v>
      </c>
      <c r="D849" s="11" t="s">
        <v>2398</v>
      </c>
      <c r="E849" s="23" t="s">
        <v>2399</v>
      </c>
      <c r="F849" s="11" t="s">
        <v>5371</v>
      </c>
      <c r="G849" s="11" t="s">
        <v>5372</v>
      </c>
      <c r="H849" s="11" t="s">
        <v>5373</v>
      </c>
      <c r="I849" s="21">
        <v>50.223177</v>
      </c>
      <c r="J849" s="21">
        <v>-121.5703489</v>
      </c>
      <c r="K849" s="77" t="s">
        <v>2276</v>
      </c>
      <c r="L849" s="3">
        <v>2013</v>
      </c>
      <c r="M849" s="3">
        <v>2013</v>
      </c>
      <c r="N849" s="77" t="s">
        <v>2276</v>
      </c>
      <c r="O849" s="23" t="s">
        <v>67</v>
      </c>
      <c r="P849" s="23" t="s">
        <v>5188</v>
      </c>
      <c r="Q849" s="3"/>
    </row>
    <row r="850" spans="1:17" ht="54.5" customHeight="1">
      <c r="A850" s="171">
        <v>213</v>
      </c>
      <c r="B850" s="40" t="s">
        <v>5382</v>
      </c>
      <c r="C850" s="3" t="s">
        <v>5385</v>
      </c>
      <c r="D850" s="11" t="s">
        <v>2398</v>
      </c>
      <c r="E850" s="23" t="s">
        <v>2399</v>
      </c>
      <c r="F850" s="19" t="s">
        <v>5383</v>
      </c>
      <c r="G850" s="11" t="s">
        <v>5384</v>
      </c>
      <c r="H850" s="11" t="s">
        <v>3414</v>
      </c>
      <c r="I850" s="21">
        <v>-30.2251966</v>
      </c>
      <c r="J850" s="21">
        <v>151.5917676</v>
      </c>
      <c r="K850" s="77" t="s">
        <v>2276</v>
      </c>
      <c r="L850" s="3">
        <v>2015</v>
      </c>
      <c r="M850" s="3">
        <v>2015</v>
      </c>
      <c r="N850" s="77" t="s">
        <v>2276</v>
      </c>
      <c r="O850" s="23" t="s">
        <v>67</v>
      </c>
      <c r="P850" s="23" t="s">
        <v>5188</v>
      </c>
      <c r="Q850" s="4" t="s">
        <v>5386</v>
      </c>
    </row>
    <row r="851" spans="1:17" ht="40" customHeight="1">
      <c r="A851" s="171">
        <v>214</v>
      </c>
      <c r="B851" s="40" t="s">
        <v>5402</v>
      </c>
      <c r="C851" s="11" t="s">
        <v>5403</v>
      </c>
      <c r="D851" s="11" t="s">
        <v>2398</v>
      </c>
      <c r="E851" s="23" t="s">
        <v>2422</v>
      </c>
      <c r="F851" s="3" t="s">
        <v>5133</v>
      </c>
      <c r="G851" s="3" t="s">
        <v>5404</v>
      </c>
      <c r="H851" s="11" t="s">
        <v>3414</v>
      </c>
      <c r="I851" s="21">
        <v>-14.790237400000001</v>
      </c>
      <c r="J851" s="21">
        <v>132.4698094</v>
      </c>
      <c r="K851" s="77" t="s">
        <v>2276</v>
      </c>
      <c r="L851" s="11">
        <v>1999</v>
      </c>
      <c r="M851" s="11">
        <v>2018</v>
      </c>
      <c r="N851" s="77" t="s">
        <v>2276</v>
      </c>
      <c r="O851" s="23" t="s">
        <v>67</v>
      </c>
      <c r="P851" s="23" t="s">
        <v>5188</v>
      </c>
      <c r="Q851" s="3" t="s">
        <v>5405</v>
      </c>
    </row>
    <row r="852" spans="1:17" ht="32" customHeight="1">
      <c r="A852" s="171">
        <v>215</v>
      </c>
      <c r="B852" s="40" t="s">
        <v>5413</v>
      </c>
      <c r="C852" s="11" t="s">
        <v>5414</v>
      </c>
      <c r="D852" s="11" t="s">
        <v>2398</v>
      </c>
      <c r="E852" s="23" t="s">
        <v>2399</v>
      </c>
      <c r="F852" s="3" t="s">
        <v>5415</v>
      </c>
      <c r="G852" s="3" t="s">
        <v>4132</v>
      </c>
      <c r="H852" s="3" t="s">
        <v>4112</v>
      </c>
      <c r="I852" s="21">
        <v>41.75</v>
      </c>
      <c r="J852" s="21">
        <v>-123.5</v>
      </c>
      <c r="K852" s="21">
        <f>1919+2728</f>
        <v>4647</v>
      </c>
      <c r="L852" s="3">
        <v>2008</v>
      </c>
      <c r="M852" s="3">
        <v>2009</v>
      </c>
      <c r="N852" s="77" t="s">
        <v>2276</v>
      </c>
      <c r="O852" s="23" t="s">
        <v>67</v>
      </c>
      <c r="P852" s="23" t="s">
        <v>5188</v>
      </c>
      <c r="Q852" s="3" t="s">
        <v>2214</v>
      </c>
    </row>
    <row r="853" spans="1:17" ht="36.5" customHeight="1">
      <c r="A853" s="171">
        <v>216</v>
      </c>
      <c r="B853" s="40" t="s">
        <v>5420</v>
      </c>
      <c r="C853" s="11" t="s">
        <v>5421</v>
      </c>
      <c r="D853" s="11" t="s">
        <v>2398</v>
      </c>
      <c r="E853" s="23" t="s">
        <v>2399</v>
      </c>
      <c r="F853" s="11" t="s">
        <v>5422</v>
      </c>
      <c r="G853" s="3" t="s">
        <v>5133</v>
      </c>
      <c r="H853" s="11" t="s">
        <v>3414</v>
      </c>
      <c r="I853" s="21">
        <v>-14.7184116</v>
      </c>
      <c r="J853" s="21">
        <v>135.06096249999999</v>
      </c>
      <c r="K853" s="21">
        <v>19170</v>
      </c>
      <c r="L853" s="3">
        <v>2016</v>
      </c>
      <c r="M853" s="3">
        <v>2019</v>
      </c>
      <c r="N853" s="77" t="s">
        <v>2276</v>
      </c>
      <c r="O853" s="23" t="s">
        <v>67</v>
      </c>
      <c r="P853" s="23" t="s">
        <v>5188</v>
      </c>
      <c r="Q853" s="3" t="s">
        <v>2214</v>
      </c>
    </row>
    <row r="854" spans="1:17" ht="37.5" customHeight="1">
      <c r="A854" s="171">
        <v>217</v>
      </c>
      <c r="B854" s="40" t="s">
        <v>5428</v>
      </c>
      <c r="C854" s="11" t="s">
        <v>5427</v>
      </c>
      <c r="D854" s="11" t="s">
        <v>2398</v>
      </c>
      <c r="E854" s="23" t="s">
        <v>2637</v>
      </c>
      <c r="F854" s="3" t="s">
        <v>5429</v>
      </c>
      <c r="G854" s="3" t="s">
        <v>4132</v>
      </c>
      <c r="H854" s="3" t="s">
        <v>4112</v>
      </c>
      <c r="I854" s="21">
        <v>37.804652300000001</v>
      </c>
      <c r="J854" s="21">
        <v>-118.93180700000001</v>
      </c>
      <c r="K854" s="21" t="s">
        <v>2276</v>
      </c>
      <c r="L854" s="3">
        <v>2016</v>
      </c>
      <c r="M854" s="3">
        <v>2017</v>
      </c>
      <c r="N854" s="77" t="s">
        <v>2276</v>
      </c>
      <c r="O854" s="23" t="s">
        <v>67</v>
      </c>
      <c r="P854" s="23" t="s">
        <v>5188</v>
      </c>
      <c r="Q854" s="3" t="s">
        <v>2214</v>
      </c>
    </row>
    <row r="855" spans="1:17" ht="38" customHeight="1">
      <c r="A855" s="171">
        <v>218</v>
      </c>
      <c r="B855" s="40" t="s">
        <v>5438</v>
      </c>
      <c r="C855" s="11" t="s">
        <v>5440</v>
      </c>
      <c r="D855" s="11" t="s">
        <v>2398</v>
      </c>
      <c r="E855" s="3" t="s">
        <v>2400</v>
      </c>
      <c r="F855" s="144" t="s">
        <v>5442</v>
      </c>
      <c r="G855" s="3" t="s">
        <v>5447</v>
      </c>
      <c r="H855" s="11" t="s">
        <v>5441</v>
      </c>
      <c r="I855" s="21">
        <f>12+5/60</f>
        <v>12.083333333333334</v>
      </c>
      <c r="J855" s="21">
        <v>-14.885611900000001</v>
      </c>
      <c r="K855" s="21" t="s">
        <v>2276</v>
      </c>
      <c r="L855" s="3">
        <v>2008</v>
      </c>
      <c r="M855" s="3">
        <v>2015</v>
      </c>
      <c r="N855" s="21">
        <f>AVERAGE(33.6, 22.5)</f>
        <v>28.05</v>
      </c>
      <c r="O855" s="23" t="s">
        <v>67</v>
      </c>
      <c r="P855" s="23" t="s">
        <v>5188</v>
      </c>
      <c r="Q855" s="3"/>
    </row>
    <row r="856" spans="1:17" ht="38" customHeight="1">
      <c r="A856" s="171">
        <v>218</v>
      </c>
      <c r="B856" s="40" t="s">
        <v>5438</v>
      </c>
      <c r="C856" s="11" t="s">
        <v>5443</v>
      </c>
      <c r="D856" s="11" t="s">
        <v>2398</v>
      </c>
      <c r="E856" s="3" t="s">
        <v>2400</v>
      </c>
      <c r="F856" s="144" t="s">
        <v>5452</v>
      </c>
      <c r="G856" s="3" t="s">
        <v>5448</v>
      </c>
      <c r="H856" s="11" t="s">
        <v>5441</v>
      </c>
      <c r="I856" s="21">
        <f>12+15/60</f>
        <v>12.25</v>
      </c>
      <c r="J856" s="21">
        <f>-15-25/60</f>
        <v>-15.416666666666666</v>
      </c>
      <c r="K856" s="21" t="s">
        <v>2276</v>
      </c>
      <c r="L856" s="3">
        <v>2008</v>
      </c>
      <c r="M856" s="3">
        <v>2015</v>
      </c>
      <c r="N856" s="77">
        <v>39.799999999999997</v>
      </c>
      <c r="O856" s="23" t="s">
        <v>67</v>
      </c>
      <c r="P856" s="23" t="s">
        <v>5188</v>
      </c>
      <c r="Q856" s="3"/>
    </row>
    <row r="857" spans="1:17" ht="38" customHeight="1">
      <c r="A857" s="171">
        <v>218</v>
      </c>
      <c r="B857" s="40" t="s">
        <v>5438</v>
      </c>
      <c r="C857" s="11" t="s">
        <v>5444</v>
      </c>
      <c r="D857" s="11" t="s">
        <v>2398</v>
      </c>
      <c r="E857" s="3" t="s">
        <v>2400</v>
      </c>
      <c r="F857" s="144" t="s">
        <v>5453</v>
      </c>
      <c r="G857" s="3" t="s">
        <v>5449</v>
      </c>
      <c r="H857" s="11" t="s">
        <v>5441</v>
      </c>
      <c r="I857" s="21">
        <f>12+16/60</f>
        <v>12.266666666666667</v>
      </c>
      <c r="J857" s="21">
        <f>-16</f>
        <v>-16</v>
      </c>
      <c r="K857" s="21" t="s">
        <v>2276</v>
      </c>
      <c r="L857" s="3">
        <v>2008</v>
      </c>
      <c r="M857" s="3">
        <v>2015</v>
      </c>
      <c r="N857" s="77">
        <f>AVERAGE(35.8, 110.9)</f>
        <v>73.349999999999994</v>
      </c>
      <c r="O857" s="23" t="s">
        <v>67</v>
      </c>
      <c r="P857" s="23" t="s">
        <v>5188</v>
      </c>
      <c r="Q857" s="3"/>
    </row>
    <row r="858" spans="1:17" ht="38" customHeight="1">
      <c r="A858" s="171">
        <v>218</v>
      </c>
      <c r="B858" s="40" t="s">
        <v>5438</v>
      </c>
      <c r="C858" s="11" t="s">
        <v>5446</v>
      </c>
      <c r="D858" s="11" t="s">
        <v>2398</v>
      </c>
      <c r="E858" s="3" t="s">
        <v>2400</v>
      </c>
      <c r="F858" s="144" t="s">
        <v>5454</v>
      </c>
      <c r="G858" s="3" t="s">
        <v>5450</v>
      </c>
      <c r="H858" s="11" t="s">
        <v>5441</v>
      </c>
      <c r="I858" s="21">
        <f>11+45/60</f>
        <v>11.75</v>
      </c>
      <c r="J858" s="21">
        <f>-15-3/60</f>
        <v>-15.05</v>
      </c>
      <c r="K858" s="21" t="s">
        <v>2276</v>
      </c>
      <c r="L858" s="3">
        <v>2008</v>
      </c>
      <c r="M858" s="3">
        <v>2015</v>
      </c>
      <c r="N858" s="77">
        <v>19.399999999999999</v>
      </c>
      <c r="O858" s="23" t="s">
        <v>67</v>
      </c>
      <c r="P858" s="23" t="s">
        <v>5188</v>
      </c>
      <c r="Q858" s="3"/>
    </row>
    <row r="859" spans="1:17" ht="38" customHeight="1">
      <c r="A859" s="171">
        <v>218</v>
      </c>
      <c r="B859" s="40" t="s">
        <v>5438</v>
      </c>
      <c r="C859" s="11" t="s">
        <v>5445</v>
      </c>
      <c r="D859" s="11" t="s">
        <v>2398</v>
      </c>
      <c r="E859" s="3" t="s">
        <v>2400</v>
      </c>
      <c r="F859" s="144" t="s">
        <v>5455</v>
      </c>
      <c r="G859" s="3" t="s">
        <v>5451</v>
      </c>
      <c r="H859" s="11" t="s">
        <v>5441</v>
      </c>
      <c r="I859" s="21">
        <f>11+26/60</f>
        <v>11.433333333333334</v>
      </c>
      <c r="J859" s="21">
        <f>-15-13/60</f>
        <v>-15.216666666666667</v>
      </c>
      <c r="K859" s="21" t="s">
        <v>2276</v>
      </c>
      <c r="L859" s="3">
        <v>2008</v>
      </c>
      <c r="M859" s="3">
        <v>2015</v>
      </c>
      <c r="N859" s="77">
        <v>22</v>
      </c>
      <c r="O859" s="23" t="s">
        <v>67</v>
      </c>
      <c r="P859" s="23" t="s">
        <v>5188</v>
      </c>
      <c r="Q859" s="3"/>
    </row>
    <row r="860" spans="1:17" ht="39.5" customHeight="1">
      <c r="A860" s="171">
        <v>219</v>
      </c>
      <c r="B860" s="40" t="s">
        <v>5528</v>
      </c>
      <c r="C860" s="11" t="s">
        <v>5527</v>
      </c>
      <c r="D860" s="11" t="s">
        <v>2398</v>
      </c>
      <c r="E860" s="23" t="s">
        <v>2399</v>
      </c>
      <c r="F860" s="3" t="s">
        <v>5529</v>
      </c>
      <c r="G860" s="3" t="s">
        <v>5533</v>
      </c>
      <c r="H860" s="11" t="s">
        <v>1143</v>
      </c>
      <c r="I860" s="21">
        <v>10.4290115</v>
      </c>
      <c r="J860" s="21">
        <v>-0.39070129999999997</v>
      </c>
      <c r="K860" s="21" t="s">
        <v>2276</v>
      </c>
      <c r="L860" s="3">
        <v>2010</v>
      </c>
      <c r="M860" s="3">
        <v>2010</v>
      </c>
      <c r="N860" s="21" t="s">
        <v>2276</v>
      </c>
      <c r="O860" s="23" t="s">
        <v>67</v>
      </c>
      <c r="P860" s="23" t="s">
        <v>5188</v>
      </c>
      <c r="Q860" s="3" t="s">
        <v>5549</v>
      </c>
    </row>
    <row r="861" spans="1:17" ht="39.5" customHeight="1">
      <c r="A861" s="171">
        <v>219</v>
      </c>
      <c r="B861" s="40" t="s">
        <v>5528</v>
      </c>
      <c r="C861" s="11" t="s">
        <v>5539</v>
      </c>
      <c r="D861" s="11" t="s">
        <v>2398</v>
      </c>
      <c r="E861" s="23" t="s">
        <v>2399</v>
      </c>
      <c r="F861" s="23" t="s">
        <v>5530</v>
      </c>
      <c r="G861" s="11" t="s">
        <v>5532</v>
      </c>
      <c r="H861" s="11" t="s">
        <v>1143</v>
      </c>
      <c r="I861" s="21">
        <v>7.3825552999999999</v>
      </c>
      <c r="J861" s="21">
        <v>-1.3594508000000001</v>
      </c>
      <c r="K861" s="21" t="s">
        <v>2276</v>
      </c>
      <c r="L861" s="3">
        <v>2010</v>
      </c>
      <c r="M861" s="3">
        <v>2010</v>
      </c>
      <c r="N861" s="21" t="s">
        <v>2276</v>
      </c>
      <c r="O861" s="23" t="s">
        <v>67</v>
      </c>
      <c r="P861" s="23" t="s">
        <v>5188</v>
      </c>
      <c r="Q861" s="3" t="s">
        <v>5549</v>
      </c>
    </row>
    <row r="862" spans="1:17" ht="39.5" customHeight="1">
      <c r="A862" s="171">
        <v>219</v>
      </c>
      <c r="B862" s="40" t="s">
        <v>5528</v>
      </c>
      <c r="C862" s="11" t="s">
        <v>5540</v>
      </c>
      <c r="D862" s="11" t="s">
        <v>2398</v>
      </c>
      <c r="E862" s="23" t="s">
        <v>2399</v>
      </c>
      <c r="F862" s="23" t="s">
        <v>5531</v>
      </c>
      <c r="G862" s="11" t="s">
        <v>5532</v>
      </c>
      <c r="H862" s="11" t="s">
        <v>1143</v>
      </c>
      <c r="I862" s="21">
        <v>7.1337909000000002</v>
      </c>
      <c r="J862" s="21">
        <v>-0.83461759999999996</v>
      </c>
      <c r="K862" s="21" t="s">
        <v>2276</v>
      </c>
      <c r="L862" s="3">
        <v>2010</v>
      </c>
      <c r="M862" s="3">
        <v>2010</v>
      </c>
      <c r="N862" s="21" t="s">
        <v>2276</v>
      </c>
      <c r="O862" s="23" t="s">
        <v>67</v>
      </c>
      <c r="P862" s="23" t="s">
        <v>5188</v>
      </c>
      <c r="Q862" s="3" t="s">
        <v>5549</v>
      </c>
    </row>
    <row r="863" spans="1:17" ht="39.5" customHeight="1">
      <c r="A863" s="171">
        <v>219</v>
      </c>
      <c r="B863" s="40" t="s">
        <v>5528</v>
      </c>
      <c r="C863" s="11" t="s">
        <v>5541</v>
      </c>
      <c r="D863" s="11" t="s">
        <v>2398</v>
      </c>
      <c r="E863" s="23" t="s">
        <v>2399</v>
      </c>
      <c r="F863" s="23" t="s">
        <v>5535</v>
      </c>
      <c r="G863" s="11" t="s">
        <v>5534</v>
      </c>
      <c r="H863" s="11" t="s">
        <v>1143</v>
      </c>
      <c r="I863" s="21">
        <v>7.5659910000000004</v>
      </c>
      <c r="J863" s="21">
        <v>-1.7061424000000001</v>
      </c>
      <c r="K863" s="21" t="s">
        <v>2276</v>
      </c>
      <c r="L863" s="3">
        <v>2010</v>
      </c>
      <c r="M863" s="3">
        <v>2010</v>
      </c>
      <c r="N863" s="21" t="s">
        <v>2276</v>
      </c>
      <c r="O863" s="23" t="s">
        <v>67</v>
      </c>
      <c r="P863" s="23" t="s">
        <v>5188</v>
      </c>
      <c r="Q863" s="3" t="s">
        <v>5549</v>
      </c>
    </row>
    <row r="864" spans="1:17" ht="39.5" customHeight="1">
      <c r="A864" s="171">
        <v>219</v>
      </c>
      <c r="B864" s="40" t="s">
        <v>5528</v>
      </c>
      <c r="C864" s="11" t="s">
        <v>5542</v>
      </c>
      <c r="D864" s="11" t="s">
        <v>2398</v>
      </c>
      <c r="E864" s="23" t="s">
        <v>2399</v>
      </c>
      <c r="F864" s="23" t="s">
        <v>5536</v>
      </c>
      <c r="G864" s="11" t="s">
        <v>5534</v>
      </c>
      <c r="H864" s="11" t="s">
        <v>1143</v>
      </c>
      <c r="I864" s="21">
        <v>7.7532189000000002</v>
      </c>
      <c r="J864" s="21">
        <v>-0.98370559999999996</v>
      </c>
      <c r="K864" s="21" t="s">
        <v>2276</v>
      </c>
      <c r="L864" s="3">
        <v>2010</v>
      </c>
      <c r="M864" s="3">
        <v>2010</v>
      </c>
      <c r="N864" s="21" t="s">
        <v>2276</v>
      </c>
      <c r="O864" s="23" t="s">
        <v>67</v>
      </c>
      <c r="P864" s="23" t="s">
        <v>5188</v>
      </c>
      <c r="Q864" s="3" t="s">
        <v>5549</v>
      </c>
    </row>
    <row r="865" spans="1:17" ht="39.5" customHeight="1">
      <c r="A865" s="171">
        <v>219</v>
      </c>
      <c r="B865" s="40" t="s">
        <v>5528</v>
      </c>
      <c r="C865" s="11" t="s">
        <v>5543</v>
      </c>
      <c r="D865" s="11" t="s">
        <v>2398</v>
      </c>
      <c r="E865" s="23" t="s">
        <v>2399</v>
      </c>
      <c r="F865" s="23" t="s">
        <v>5537</v>
      </c>
      <c r="G865" s="11" t="s">
        <v>5538</v>
      </c>
      <c r="H865" s="11" t="s">
        <v>1143</v>
      </c>
      <c r="I865" s="21">
        <v>6.4999998999999997</v>
      </c>
      <c r="J865" s="21">
        <v>-0.5</v>
      </c>
      <c r="K865" s="21" t="s">
        <v>2276</v>
      </c>
      <c r="L865" s="3">
        <v>2010</v>
      </c>
      <c r="M865" s="3">
        <v>2010</v>
      </c>
      <c r="N865" s="21" t="s">
        <v>2276</v>
      </c>
      <c r="O865" s="23" t="s">
        <v>67</v>
      </c>
      <c r="P865" s="23" t="s">
        <v>5188</v>
      </c>
      <c r="Q865" s="3" t="s">
        <v>5549</v>
      </c>
    </row>
    <row r="866" spans="1:17" ht="39.5" customHeight="1">
      <c r="A866" s="171">
        <v>219</v>
      </c>
      <c r="B866" s="40" t="s">
        <v>5528</v>
      </c>
      <c r="C866" s="11" t="s">
        <v>5547</v>
      </c>
      <c r="D866" s="11" t="s">
        <v>2398</v>
      </c>
      <c r="E866" s="23" t="s">
        <v>2399</v>
      </c>
      <c r="F866" s="23" t="s">
        <v>5544</v>
      </c>
      <c r="G866" s="11" t="s">
        <v>5546</v>
      </c>
      <c r="H866" s="11" t="s">
        <v>1143</v>
      </c>
      <c r="I866" s="21">
        <v>6.1678239000000001</v>
      </c>
      <c r="J866" s="21">
        <v>0.38658140000000002</v>
      </c>
      <c r="K866" s="21" t="s">
        <v>2276</v>
      </c>
      <c r="L866" s="3">
        <v>2010</v>
      </c>
      <c r="M866" s="3">
        <v>2010</v>
      </c>
      <c r="N866" s="21" t="s">
        <v>2276</v>
      </c>
      <c r="O866" s="23" t="s">
        <v>67</v>
      </c>
      <c r="P866" s="23" t="s">
        <v>5188</v>
      </c>
      <c r="Q866" s="3" t="s">
        <v>5549</v>
      </c>
    </row>
    <row r="867" spans="1:17" ht="39.5" customHeight="1">
      <c r="A867" s="171">
        <v>219</v>
      </c>
      <c r="B867" s="40" t="s">
        <v>5528</v>
      </c>
      <c r="C867" s="11" t="s">
        <v>5548</v>
      </c>
      <c r="D867" s="11" t="s">
        <v>2398</v>
      </c>
      <c r="E867" s="23" t="s">
        <v>2399</v>
      </c>
      <c r="F867" s="23" t="s">
        <v>5545</v>
      </c>
      <c r="G867" s="11" t="s">
        <v>5546</v>
      </c>
      <c r="H867" s="11" t="s">
        <v>1143</v>
      </c>
      <c r="I867" s="21">
        <v>6.1760519</v>
      </c>
      <c r="J867" s="21">
        <v>1.0313089</v>
      </c>
      <c r="K867" s="21" t="s">
        <v>2276</v>
      </c>
      <c r="L867" s="3">
        <v>2010</v>
      </c>
      <c r="M867" s="3">
        <v>2010</v>
      </c>
      <c r="N867" s="21" t="s">
        <v>2276</v>
      </c>
      <c r="O867" s="23" t="s">
        <v>67</v>
      </c>
      <c r="P867" s="23" t="s">
        <v>5188</v>
      </c>
      <c r="Q867" s="3" t="s">
        <v>5549</v>
      </c>
    </row>
    <row r="868" spans="1:17" ht="30" customHeight="1">
      <c r="A868" s="171">
        <v>220</v>
      </c>
      <c r="B868" s="40" t="s">
        <v>5577</v>
      </c>
      <c r="C868" s="11" t="s">
        <v>5578</v>
      </c>
      <c r="D868" s="11" t="s">
        <v>2398</v>
      </c>
      <c r="E868" s="23" t="s">
        <v>2400</v>
      </c>
      <c r="F868" s="3" t="s">
        <v>5579</v>
      </c>
      <c r="G868" s="3" t="s">
        <v>5580</v>
      </c>
      <c r="H868" s="11" t="s">
        <v>5581</v>
      </c>
      <c r="I868" s="21">
        <v>16</v>
      </c>
      <c r="J868" s="21">
        <v>121</v>
      </c>
      <c r="K868" s="21">
        <f>70531/100</f>
        <v>705.31</v>
      </c>
      <c r="L868" s="11">
        <v>2002</v>
      </c>
      <c r="M868" s="11">
        <v>2014</v>
      </c>
      <c r="N868" s="21" t="s">
        <v>2276</v>
      </c>
      <c r="O868" s="23" t="s">
        <v>67</v>
      </c>
      <c r="P868" s="23" t="s">
        <v>5188</v>
      </c>
      <c r="Q868" s="3"/>
    </row>
    <row r="869" spans="1:17" ht="39" customHeight="1">
      <c r="A869" s="171">
        <v>221</v>
      </c>
      <c r="B869" s="40" t="s">
        <v>5589</v>
      </c>
      <c r="C869" s="11" t="s">
        <v>5590</v>
      </c>
      <c r="D869" s="11" t="s">
        <v>2398</v>
      </c>
      <c r="E869" s="23" t="s">
        <v>2399</v>
      </c>
      <c r="F869" s="186" t="s">
        <v>5591</v>
      </c>
      <c r="G869" s="11" t="s">
        <v>644</v>
      </c>
      <c r="H869" s="11" t="s">
        <v>895</v>
      </c>
      <c r="I869" s="21">
        <v>0.83457400000000004</v>
      </c>
      <c r="J869" s="21">
        <v>112.86569249999999</v>
      </c>
      <c r="K869" s="21" t="s">
        <v>2276</v>
      </c>
      <c r="L869" s="3">
        <v>2017</v>
      </c>
      <c r="M869" s="3">
        <v>2017</v>
      </c>
      <c r="N869" s="21" t="s">
        <v>2276</v>
      </c>
      <c r="O869" s="23" t="s">
        <v>67</v>
      </c>
      <c r="P869" s="3" t="s">
        <v>5187</v>
      </c>
      <c r="Q869" s="4" t="s">
        <v>5592</v>
      </c>
    </row>
    <row r="870" spans="1:17" ht="33.5" customHeight="1">
      <c r="A870" s="171">
        <v>222</v>
      </c>
      <c r="B870" s="40" t="s">
        <v>5598</v>
      </c>
      <c r="C870" s="11" t="s">
        <v>5599</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5187</v>
      </c>
      <c r="Q870" s="3" t="s">
        <v>5602</v>
      </c>
    </row>
    <row r="871" spans="1:17" ht="32" customHeight="1">
      <c r="A871" s="171">
        <v>222</v>
      </c>
      <c r="B871" s="40" t="s">
        <v>5598</v>
      </c>
      <c r="C871" s="11" t="s">
        <v>5600</v>
      </c>
      <c r="D871" s="11" t="s">
        <v>2398</v>
      </c>
      <c r="E871" s="23" t="s">
        <v>2399</v>
      </c>
      <c r="F871" s="11" t="s">
        <v>5601</v>
      </c>
      <c r="G871" s="11" t="s">
        <v>166</v>
      </c>
      <c r="H871" s="11" t="s">
        <v>121</v>
      </c>
      <c r="I871" s="21">
        <v>-2.5596822000000001</v>
      </c>
      <c r="J871" s="21">
        <v>-47.496251100000002</v>
      </c>
      <c r="K871" s="21" t="s">
        <v>2276</v>
      </c>
      <c r="L871" s="3">
        <v>2015</v>
      </c>
      <c r="M871" s="3">
        <v>2015</v>
      </c>
      <c r="N871" s="21" t="s">
        <v>2276</v>
      </c>
      <c r="O871" s="23" t="s">
        <v>67</v>
      </c>
      <c r="P871" s="3" t="s">
        <v>5187</v>
      </c>
      <c r="Q871" s="3" t="s">
        <v>5602</v>
      </c>
    </row>
    <row r="872" spans="1:17" ht="38" customHeight="1">
      <c r="A872" s="171">
        <v>223</v>
      </c>
      <c r="B872" s="40" t="s">
        <v>5626</v>
      </c>
      <c r="C872" s="11" t="s">
        <v>5625</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5188</v>
      </c>
      <c r="Q872" s="3"/>
    </row>
    <row r="873" spans="1:17" ht="28" customHeight="1">
      <c r="A873" s="171">
        <v>223</v>
      </c>
      <c r="B873" s="40" t="s">
        <v>5626</v>
      </c>
      <c r="C873" s="11" t="s">
        <v>5629</v>
      </c>
      <c r="D873" s="11" t="s">
        <v>2398</v>
      </c>
      <c r="E873" s="23" t="s">
        <v>2399</v>
      </c>
      <c r="F873" s="11" t="s">
        <v>5601</v>
      </c>
      <c r="G873" s="11" t="s">
        <v>166</v>
      </c>
      <c r="H873" s="11" t="s">
        <v>121</v>
      </c>
      <c r="I873" s="21">
        <v>-2.5596822000000001</v>
      </c>
      <c r="J873" s="21">
        <v>-47.496251100000002</v>
      </c>
      <c r="K873" s="21" t="s">
        <v>2276</v>
      </c>
      <c r="L873" s="3">
        <v>2015</v>
      </c>
      <c r="M873" s="3">
        <v>2015</v>
      </c>
      <c r="N873" s="21" t="s">
        <v>2276</v>
      </c>
      <c r="O873" s="23" t="s">
        <v>67</v>
      </c>
      <c r="P873" s="23" t="s">
        <v>5188</v>
      </c>
      <c r="Q873" s="3"/>
    </row>
    <row r="874" spans="1:17" ht="28" customHeight="1">
      <c r="A874" s="171">
        <v>223</v>
      </c>
      <c r="B874" s="40" t="s">
        <v>5626</v>
      </c>
      <c r="C874" s="11" t="s">
        <v>5630</v>
      </c>
      <c r="D874" s="11" t="s">
        <v>2398</v>
      </c>
      <c r="E874" s="23" t="s">
        <v>2399</v>
      </c>
      <c r="F874" s="11" t="s">
        <v>5627</v>
      </c>
      <c r="G874" s="11" t="s">
        <v>166</v>
      </c>
      <c r="H874" s="11" t="s">
        <v>121</v>
      </c>
      <c r="I874" s="21">
        <v>-1.9281064999999999</v>
      </c>
      <c r="J874" s="21">
        <v>-47.778332800000001</v>
      </c>
      <c r="K874" s="21" t="s">
        <v>2276</v>
      </c>
      <c r="L874" s="3">
        <v>2015</v>
      </c>
      <c r="M874" s="3">
        <v>2015</v>
      </c>
      <c r="N874" s="21" t="s">
        <v>2276</v>
      </c>
      <c r="O874" s="23" t="s">
        <v>67</v>
      </c>
      <c r="P874" s="23" t="s">
        <v>5188</v>
      </c>
      <c r="Q874" s="3"/>
    </row>
    <row r="875" spans="1:17" ht="28" customHeight="1">
      <c r="A875" s="171">
        <v>223</v>
      </c>
      <c r="B875" s="40" t="s">
        <v>5626</v>
      </c>
      <c r="C875" s="11" t="s">
        <v>5631</v>
      </c>
      <c r="D875" s="11" t="s">
        <v>2398</v>
      </c>
      <c r="E875" s="23" t="s">
        <v>2399</v>
      </c>
      <c r="F875" s="11" t="s">
        <v>5628</v>
      </c>
      <c r="G875" s="11" t="s">
        <v>166</v>
      </c>
      <c r="H875" s="11" t="s">
        <v>121</v>
      </c>
      <c r="I875" s="21">
        <v>-1.7721188999999999</v>
      </c>
      <c r="J875" s="21">
        <v>-47.446589600000003</v>
      </c>
      <c r="K875" s="21" t="s">
        <v>2276</v>
      </c>
      <c r="L875" s="3">
        <v>2015</v>
      </c>
      <c r="M875" s="3">
        <v>2015</v>
      </c>
      <c r="N875" s="21" t="s">
        <v>2276</v>
      </c>
      <c r="O875" s="23" t="s">
        <v>67</v>
      </c>
      <c r="P875" s="23" t="s">
        <v>5188</v>
      </c>
      <c r="Q875" s="3"/>
    </row>
    <row r="876" spans="1:17" ht="29" customHeight="1">
      <c r="A876" s="171">
        <v>224</v>
      </c>
      <c r="B876" s="40" t="s">
        <v>5648</v>
      </c>
      <c r="C876" s="11" t="s">
        <v>5649</v>
      </c>
      <c r="D876" s="11" t="s">
        <v>2398</v>
      </c>
      <c r="E876" s="23" t="s">
        <v>2399</v>
      </c>
      <c r="F876" s="3" t="s">
        <v>5651</v>
      </c>
      <c r="G876" s="3" t="s">
        <v>5650</v>
      </c>
      <c r="H876" s="3" t="s">
        <v>895</v>
      </c>
      <c r="I876" s="21">
        <v>1.6675759000000001</v>
      </c>
      <c r="J876" s="21">
        <v>101.41145899999999</v>
      </c>
      <c r="K876" s="21" t="s">
        <v>2276</v>
      </c>
      <c r="L876" s="3">
        <v>2015</v>
      </c>
      <c r="M876" s="3">
        <v>2015</v>
      </c>
      <c r="N876" s="21" t="s">
        <v>2276</v>
      </c>
      <c r="O876" s="23" t="s">
        <v>67</v>
      </c>
      <c r="P876" s="3" t="s">
        <v>5187</v>
      </c>
      <c r="Q876" s="3"/>
    </row>
    <row r="877" spans="1:17" ht="54" customHeight="1">
      <c r="A877" s="171">
        <v>225</v>
      </c>
      <c r="B877" s="40" t="s">
        <v>5660</v>
      </c>
      <c r="C877" s="11" t="s">
        <v>5661</v>
      </c>
      <c r="D877" s="11" t="s">
        <v>2398</v>
      </c>
      <c r="E877" s="23" t="s">
        <v>2422</v>
      </c>
      <c r="F877" s="4" t="s">
        <v>5662</v>
      </c>
      <c r="G877" s="3" t="s">
        <v>5663</v>
      </c>
      <c r="H877" s="11" t="s">
        <v>3414</v>
      </c>
      <c r="I877" s="21">
        <v>-36.997885799999999</v>
      </c>
      <c r="J877" s="21">
        <v>144.5640659</v>
      </c>
      <c r="K877" s="21" t="s">
        <v>2276</v>
      </c>
      <c r="L877" s="11">
        <v>2016</v>
      </c>
      <c r="M877" s="11">
        <v>2018</v>
      </c>
      <c r="N877" s="21" t="s">
        <v>2276</v>
      </c>
      <c r="O877" s="23" t="s">
        <v>67</v>
      </c>
      <c r="P877" s="23" t="s">
        <v>5188</v>
      </c>
      <c r="Q877" s="3"/>
    </row>
    <row r="878" spans="1:17" ht="38" customHeight="1">
      <c r="A878" s="171">
        <v>226</v>
      </c>
      <c r="B878" s="40" t="s">
        <v>5675</v>
      </c>
      <c r="C878" s="11" t="s">
        <v>5676</v>
      </c>
      <c r="D878" s="11" t="s">
        <v>2398</v>
      </c>
      <c r="E878" s="23" t="s">
        <v>2399</v>
      </c>
      <c r="F878" s="3" t="s">
        <v>5678</v>
      </c>
      <c r="G878" s="3" t="s">
        <v>5677</v>
      </c>
      <c r="H878" s="3" t="s">
        <v>4112</v>
      </c>
      <c r="I878" s="21">
        <v>48.659928499999999</v>
      </c>
      <c r="J878" s="21">
        <v>-117.62298989999999</v>
      </c>
      <c r="K878" s="21" t="s">
        <v>2276</v>
      </c>
      <c r="L878" s="3">
        <v>2015</v>
      </c>
      <c r="M878" s="3">
        <v>2015</v>
      </c>
      <c r="N878" s="21" t="s">
        <v>2276</v>
      </c>
      <c r="O878" s="23" t="s">
        <v>67</v>
      </c>
      <c r="P878" s="23" t="s">
        <v>5188</v>
      </c>
      <c r="Q878" s="3"/>
    </row>
    <row r="879" spans="1:17" ht="37" customHeight="1">
      <c r="A879" s="171">
        <v>227</v>
      </c>
      <c r="B879" s="40" t="s">
        <v>5683</v>
      </c>
      <c r="C879" s="11" t="s">
        <v>5684</v>
      </c>
      <c r="D879" s="11" t="s">
        <v>2398</v>
      </c>
      <c r="E879" s="23" t="s">
        <v>2399</v>
      </c>
      <c r="F879" s="3" t="s">
        <v>5685</v>
      </c>
      <c r="G879" s="3" t="s">
        <v>5384</v>
      </c>
      <c r="H879" s="3" t="s">
        <v>3414</v>
      </c>
      <c r="I879" s="21">
        <v>-33.688485700000001</v>
      </c>
      <c r="J879" s="21">
        <v>150.6532861</v>
      </c>
      <c r="K879" s="21" t="s">
        <v>2276</v>
      </c>
      <c r="L879" s="3">
        <v>2014</v>
      </c>
      <c r="M879" s="3">
        <v>2017</v>
      </c>
      <c r="N879" s="21" t="s">
        <v>2276</v>
      </c>
      <c r="O879" s="23" t="s">
        <v>67</v>
      </c>
      <c r="P879" s="23" t="s">
        <v>5188</v>
      </c>
      <c r="Q879" s="3"/>
    </row>
    <row r="880" spans="1:17" ht="37.5" customHeight="1">
      <c r="A880" s="171">
        <v>228</v>
      </c>
      <c r="B880" s="40" t="s">
        <v>5692</v>
      </c>
      <c r="C880" s="11" t="s">
        <v>5693</v>
      </c>
      <c r="D880" s="11" t="s">
        <v>2398</v>
      </c>
      <c r="E880" s="23" t="s">
        <v>2399</v>
      </c>
      <c r="F880" s="3" t="s">
        <v>5695</v>
      </c>
      <c r="G880" s="3" t="s">
        <v>5696</v>
      </c>
      <c r="H880" s="3" t="s">
        <v>5694</v>
      </c>
      <c r="I880" s="21">
        <f>-17</f>
        <v>-17</v>
      </c>
      <c r="J880" s="21">
        <f>-61</f>
        <v>-61</v>
      </c>
      <c r="K880" s="21" t="s">
        <v>2276</v>
      </c>
      <c r="L880" s="3">
        <v>2013</v>
      </c>
      <c r="M880" s="3">
        <v>2013</v>
      </c>
      <c r="N880" s="21" t="s">
        <v>2276</v>
      </c>
      <c r="O880" s="23" t="s">
        <v>67</v>
      </c>
      <c r="P880" s="23" t="s">
        <v>5188</v>
      </c>
      <c r="Q880" s="3"/>
    </row>
    <row r="881" spans="1:17" ht="36.5" customHeight="1">
      <c r="A881" s="171">
        <v>229</v>
      </c>
      <c r="B881" s="40" t="s">
        <v>5716</v>
      </c>
      <c r="C881" s="11" t="s">
        <v>5715</v>
      </c>
      <c r="D881" s="11" t="s">
        <v>2398</v>
      </c>
      <c r="E881" s="23" t="s">
        <v>2399</v>
      </c>
      <c r="F881" s="4" t="s">
        <v>5714</v>
      </c>
      <c r="G881" s="11" t="s">
        <v>3852</v>
      </c>
      <c r="H881" s="11" t="s">
        <v>88</v>
      </c>
      <c r="I881" s="21">
        <v>11.9269962</v>
      </c>
      <c r="J881" s="21">
        <v>77.0878479</v>
      </c>
      <c r="K881" s="21">
        <v>575</v>
      </c>
      <c r="L881" s="3">
        <v>2016</v>
      </c>
      <c r="M881" s="3">
        <v>2016</v>
      </c>
      <c r="N881" s="21" t="s">
        <v>2276</v>
      </c>
      <c r="O881" s="23" t="s">
        <v>67</v>
      </c>
      <c r="P881" s="23" t="s">
        <v>5188</v>
      </c>
      <c r="Q881" s="3"/>
    </row>
    <row r="882" spans="1:17" ht="46.5" customHeight="1">
      <c r="A882" s="171">
        <v>230</v>
      </c>
      <c r="B882" s="40" t="s">
        <v>5722</v>
      </c>
      <c r="C882" s="11" t="s">
        <v>5723</v>
      </c>
      <c r="D882" s="11" t="s">
        <v>2398</v>
      </c>
      <c r="E882" s="23" t="s">
        <v>2399</v>
      </c>
      <c r="F882" s="3" t="s">
        <v>5724</v>
      </c>
      <c r="G882" s="3" t="s">
        <v>5725</v>
      </c>
      <c r="H882" s="11" t="s">
        <v>5224</v>
      </c>
      <c r="I882" s="21">
        <v>27.013861299999999</v>
      </c>
      <c r="J882" s="21">
        <v>87.821574299999995</v>
      </c>
      <c r="K882" s="21" t="s">
        <v>2276</v>
      </c>
      <c r="L882" s="3">
        <v>2015</v>
      </c>
      <c r="M882" s="3">
        <v>2015</v>
      </c>
      <c r="N882" s="21" t="s">
        <v>2276</v>
      </c>
      <c r="O882" s="23" t="s">
        <v>67</v>
      </c>
      <c r="P882" s="23" t="s">
        <v>5188</v>
      </c>
      <c r="Q882" s="3"/>
    </row>
    <row r="883" spans="1:17" ht="26.5" customHeight="1">
      <c r="A883" s="171">
        <v>230</v>
      </c>
      <c r="B883" s="40" t="s">
        <v>5722</v>
      </c>
      <c r="C883" s="11" t="s">
        <v>5726</v>
      </c>
      <c r="D883" s="11" t="s">
        <v>2398</v>
      </c>
      <c r="E883" s="23" t="s">
        <v>2399</v>
      </c>
      <c r="F883" s="3" t="s">
        <v>5730</v>
      </c>
      <c r="G883" s="3" t="s">
        <v>5725</v>
      </c>
      <c r="H883" s="11" t="s">
        <v>5224</v>
      </c>
      <c r="I883" s="21">
        <v>26.9892015</v>
      </c>
      <c r="J883" s="21">
        <v>87.993020999999999</v>
      </c>
      <c r="K883" s="21" t="s">
        <v>2276</v>
      </c>
      <c r="L883" s="3">
        <v>2015</v>
      </c>
      <c r="M883" s="3">
        <v>2015</v>
      </c>
      <c r="N883" s="21" t="s">
        <v>2276</v>
      </c>
      <c r="O883" s="23" t="s">
        <v>67</v>
      </c>
      <c r="P883" s="23" t="s">
        <v>5188</v>
      </c>
      <c r="Q883" s="3"/>
    </row>
    <row r="884" spans="1:17" ht="34.5" customHeight="1">
      <c r="A884" s="171">
        <v>230</v>
      </c>
      <c r="B884" s="40" t="s">
        <v>5722</v>
      </c>
      <c r="C884" s="11" t="s">
        <v>5727</v>
      </c>
      <c r="D884" s="11" t="s">
        <v>2398</v>
      </c>
      <c r="E884" s="23" t="s">
        <v>2399</v>
      </c>
      <c r="F884" s="3" t="s">
        <v>5731</v>
      </c>
      <c r="G884" s="3" t="s">
        <v>5725</v>
      </c>
      <c r="H884" s="11" t="s">
        <v>5224</v>
      </c>
      <c r="I884" s="21">
        <v>26.946999999999999</v>
      </c>
      <c r="J884" s="21">
        <v>88.025744000000003</v>
      </c>
      <c r="K884" s="21" t="s">
        <v>2276</v>
      </c>
      <c r="L884" s="3">
        <v>2015</v>
      </c>
      <c r="M884" s="3">
        <v>2015</v>
      </c>
      <c r="N884" s="21" t="s">
        <v>2276</v>
      </c>
      <c r="O884" s="23" t="s">
        <v>67</v>
      </c>
      <c r="P884" s="23" t="s">
        <v>5188</v>
      </c>
      <c r="Q884" s="3"/>
    </row>
    <row r="885" spans="1:17" ht="30" customHeight="1">
      <c r="A885" s="171">
        <v>230</v>
      </c>
      <c r="B885" s="40" t="s">
        <v>5722</v>
      </c>
      <c r="C885" s="11" t="s">
        <v>5728</v>
      </c>
      <c r="D885" s="11" t="s">
        <v>2398</v>
      </c>
      <c r="E885" s="23" t="s">
        <v>2399</v>
      </c>
      <c r="F885" s="3" t="s">
        <v>5729</v>
      </c>
      <c r="G885" s="3" t="s">
        <v>5725</v>
      </c>
      <c r="H885" s="11" t="s">
        <v>5224</v>
      </c>
      <c r="I885" s="21">
        <v>26.803654000000002</v>
      </c>
      <c r="J885" s="21">
        <v>88.150799300000003</v>
      </c>
      <c r="K885" s="21" t="s">
        <v>2276</v>
      </c>
      <c r="L885" s="3">
        <v>2015</v>
      </c>
      <c r="M885" s="3">
        <v>2015</v>
      </c>
      <c r="N885" s="21" t="s">
        <v>2276</v>
      </c>
      <c r="O885" s="23" t="s">
        <v>67</v>
      </c>
      <c r="P885" s="23" t="s">
        <v>5188</v>
      </c>
      <c r="Q885" s="3"/>
    </row>
    <row r="886" spans="1:17" ht="41" customHeight="1">
      <c r="A886" s="171">
        <v>231</v>
      </c>
      <c r="B886" s="40" t="s">
        <v>5738</v>
      </c>
      <c r="C886" s="11" t="s">
        <v>5739</v>
      </c>
      <c r="D886" s="11" t="s">
        <v>2398</v>
      </c>
      <c r="E886" s="23" t="s">
        <v>2399</v>
      </c>
      <c r="F886" s="3" t="s">
        <v>4258</v>
      </c>
      <c r="G886" s="3" t="s">
        <v>5740</v>
      </c>
      <c r="H886" s="11" t="s">
        <v>4261</v>
      </c>
      <c r="I886" s="21">
        <v>36.843739599999999</v>
      </c>
      <c r="J886" s="21">
        <v>4.1303998999999996</v>
      </c>
      <c r="K886" s="21" t="s">
        <v>2276</v>
      </c>
      <c r="L886" s="3">
        <v>2016</v>
      </c>
      <c r="M886" s="3">
        <v>2016</v>
      </c>
      <c r="N886" s="21">
        <v>168</v>
      </c>
      <c r="O886" s="23" t="s">
        <v>67</v>
      </c>
      <c r="P886" s="3" t="s">
        <v>5187</v>
      </c>
      <c r="Q886" s="3"/>
    </row>
    <row r="887" spans="1:17" ht="41" customHeight="1">
      <c r="A887" s="171">
        <v>231</v>
      </c>
      <c r="B887" s="40" t="s">
        <v>5738</v>
      </c>
      <c r="C887" s="11" t="s">
        <v>5743</v>
      </c>
      <c r="D887" s="11" t="s">
        <v>2398</v>
      </c>
      <c r="E887" s="23" t="s">
        <v>2399</v>
      </c>
      <c r="F887" s="3" t="s">
        <v>5741</v>
      </c>
      <c r="G887" s="3" t="s">
        <v>5740</v>
      </c>
      <c r="H887" s="11" t="s">
        <v>4261</v>
      </c>
      <c r="I887" s="21">
        <v>36.863439800000002</v>
      </c>
      <c r="J887" s="21">
        <v>4.1354508000000001</v>
      </c>
      <c r="K887" s="21" t="s">
        <v>2276</v>
      </c>
      <c r="L887" s="3">
        <v>2016</v>
      </c>
      <c r="M887" s="3">
        <v>2016</v>
      </c>
      <c r="N887" s="21">
        <v>287</v>
      </c>
      <c r="O887" s="23" t="s">
        <v>67</v>
      </c>
      <c r="P887" s="3" t="s">
        <v>5187</v>
      </c>
      <c r="Q887" s="3"/>
    </row>
    <row r="888" spans="1:17" ht="41" customHeight="1">
      <c r="A888" s="171">
        <v>231</v>
      </c>
      <c r="B888" s="40" t="s">
        <v>5738</v>
      </c>
      <c r="C888" s="11" t="s">
        <v>5744</v>
      </c>
      <c r="D888" s="11" t="s">
        <v>2398</v>
      </c>
      <c r="E888" s="23" t="s">
        <v>2399</v>
      </c>
      <c r="F888" s="3" t="s">
        <v>5742</v>
      </c>
      <c r="G888" s="3" t="s">
        <v>5740</v>
      </c>
      <c r="H888" s="11" t="s">
        <v>4261</v>
      </c>
      <c r="I888" s="21">
        <v>36.8561865</v>
      </c>
      <c r="J888" s="21">
        <v>3.9943854000000001</v>
      </c>
      <c r="K888" s="21" t="s">
        <v>2276</v>
      </c>
      <c r="L888" s="3">
        <v>2016</v>
      </c>
      <c r="M888" s="3">
        <v>2016</v>
      </c>
      <c r="N888" s="21">
        <v>213</v>
      </c>
      <c r="O888" s="23" t="s">
        <v>67</v>
      </c>
      <c r="P888" s="3" t="s">
        <v>5187</v>
      </c>
      <c r="Q888" s="3"/>
    </row>
    <row r="889" spans="1:17" ht="34.5" customHeight="1">
      <c r="A889" s="171">
        <v>232</v>
      </c>
      <c r="B889" s="40" t="s">
        <v>5778</v>
      </c>
      <c r="C889" s="11" t="s">
        <v>5779</v>
      </c>
      <c r="D889" s="11" t="s">
        <v>2398</v>
      </c>
      <c r="E889" s="3" t="s">
        <v>2637</v>
      </c>
      <c r="F889" s="11" t="s">
        <v>2276</v>
      </c>
      <c r="G889" s="11" t="s">
        <v>5781</v>
      </c>
      <c r="H889" s="11" t="s">
        <v>4112</v>
      </c>
      <c r="I889" s="21">
        <v>61.308075500000001</v>
      </c>
      <c r="J889" s="21">
        <v>-158.81583240000001</v>
      </c>
      <c r="K889" s="21">
        <v>1718000</v>
      </c>
      <c r="L889" s="3">
        <v>1950</v>
      </c>
      <c r="M889" s="3">
        <v>2004</v>
      </c>
      <c r="N889" s="21" t="s">
        <v>2276</v>
      </c>
      <c r="O889" s="23" t="s">
        <v>67</v>
      </c>
      <c r="P889" s="3" t="s">
        <v>5187</v>
      </c>
      <c r="Q889" s="3"/>
    </row>
    <row r="890" spans="1:17" ht="29.5" customHeight="1">
      <c r="A890" s="171">
        <v>232</v>
      </c>
      <c r="B890" s="40" t="s">
        <v>5778</v>
      </c>
      <c r="C890" s="11" t="s">
        <v>5780</v>
      </c>
      <c r="D890" s="11" t="s">
        <v>2398</v>
      </c>
      <c r="E890" s="3" t="s">
        <v>2637</v>
      </c>
      <c r="F890" s="11" t="s">
        <v>5782</v>
      </c>
      <c r="G890" s="11" t="s">
        <v>5781</v>
      </c>
      <c r="H890" s="11" t="s">
        <v>4112</v>
      </c>
      <c r="I890" s="21">
        <v>66.333347200000006</v>
      </c>
      <c r="J890" s="21">
        <v>-146.00054710000001</v>
      </c>
      <c r="K890" s="21" t="s">
        <v>2276</v>
      </c>
      <c r="L890" s="3">
        <v>1950</v>
      </c>
      <c r="M890" s="3">
        <v>2004</v>
      </c>
      <c r="N890" s="21" t="s">
        <v>2276</v>
      </c>
      <c r="O890" s="23" t="s">
        <v>67</v>
      </c>
      <c r="P890" s="3" t="s">
        <v>5187</v>
      </c>
      <c r="Q890" s="3"/>
    </row>
    <row r="891" spans="1:17" ht="37" customHeight="1">
      <c r="A891" s="171">
        <v>233</v>
      </c>
      <c r="B891" s="40" t="s">
        <v>5796</v>
      </c>
      <c r="C891" s="11" t="s">
        <v>5797</v>
      </c>
      <c r="D891" s="11" t="s">
        <v>2398</v>
      </c>
      <c r="E891" s="3" t="s">
        <v>2422</v>
      </c>
      <c r="F891" s="11" t="s">
        <v>2276</v>
      </c>
      <c r="G891" s="11" t="s">
        <v>5799</v>
      </c>
      <c r="H891" s="11" t="s">
        <v>5798</v>
      </c>
      <c r="I891" s="21">
        <v>44.427912599999999</v>
      </c>
      <c r="J891" s="21">
        <v>16.9487752</v>
      </c>
      <c r="K891" s="21">
        <v>12158</v>
      </c>
      <c r="L891" s="3">
        <v>2011</v>
      </c>
      <c r="M891" s="3">
        <v>2013</v>
      </c>
      <c r="N891" s="21" t="s">
        <v>2276</v>
      </c>
      <c r="O891" s="23" t="s">
        <v>67</v>
      </c>
      <c r="P891" s="23" t="s">
        <v>5188</v>
      </c>
      <c r="Q891" s="3"/>
    </row>
    <row r="892" spans="1:17" ht="36.5" customHeight="1">
      <c r="A892" s="171">
        <v>234</v>
      </c>
      <c r="B892" s="40" t="s">
        <v>5815</v>
      </c>
      <c r="C892" s="11" t="s">
        <v>5816</v>
      </c>
      <c r="D892" s="11" t="s">
        <v>2398</v>
      </c>
      <c r="E892" s="3" t="s">
        <v>2399</v>
      </c>
      <c r="F892" s="3" t="s">
        <v>5819</v>
      </c>
      <c r="G892" s="3" t="s">
        <v>2448</v>
      </c>
      <c r="H892" s="11" t="s">
        <v>88</v>
      </c>
      <c r="I892" s="21">
        <v>24.1760254</v>
      </c>
      <c r="J892" s="21">
        <v>92.710449199999999</v>
      </c>
      <c r="K892" s="21">
        <v>1386</v>
      </c>
      <c r="L892" s="11">
        <v>2016</v>
      </c>
      <c r="M892" s="11">
        <v>2016</v>
      </c>
      <c r="N892" s="21" t="s">
        <v>2276</v>
      </c>
      <c r="O892" s="23" t="s">
        <v>67</v>
      </c>
      <c r="P892" s="23" t="s">
        <v>5188</v>
      </c>
      <c r="Q892" s="3"/>
    </row>
    <row r="893" spans="1:17" ht="34.5" customHeight="1">
      <c r="A893" s="171">
        <v>234</v>
      </c>
      <c r="B893" s="40" t="s">
        <v>5815</v>
      </c>
      <c r="C893" s="11" t="s">
        <v>5817</v>
      </c>
      <c r="D893" s="11" t="s">
        <v>2398</v>
      </c>
      <c r="E893" s="3" t="s">
        <v>2399</v>
      </c>
      <c r="F893" s="3" t="s">
        <v>5818</v>
      </c>
      <c r="G893" s="3" t="s">
        <v>2448</v>
      </c>
      <c r="H893" s="11" t="s">
        <v>88</v>
      </c>
      <c r="I893" s="21">
        <v>22.366528500000001</v>
      </c>
      <c r="J893" s="21">
        <v>92.729449500000001</v>
      </c>
      <c r="K893" s="21" t="s">
        <v>2276</v>
      </c>
      <c r="L893" s="11">
        <v>2016</v>
      </c>
      <c r="M893" s="11">
        <v>2016</v>
      </c>
      <c r="N893" s="21" t="s">
        <v>2276</v>
      </c>
      <c r="O893" s="23" t="s">
        <v>67</v>
      </c>
      <c r="P893" s="23" t="s">
        <v>5188</v>
      </c>
      <c r="Q893" s="3"/>
    </row>
    <row r="894" spans="1:17" ht="34.5" customHeight="1">
      <c r="A894" s="171">
        <v>235</v>
      </c>
      <c r="B894" s="40" t="s">
        <v>5827</v>
      </c>
      <c r="C894" s="11" t="s">
        <v>5828</v>
      </c>
      <c r="D894" s="11" t="s">
        <v>2398</v>
      </c>
      <c r="E894" s="3" t="s">
        <v>2399</v>
      </c>
      <c r="F894" s="3" t="s">
        <v>5829</v>
      </c>
      <c r="G894" s="3" t="s">
        <v>5831</v>
      </c>
      <c r="H894" s="11" t="s">
        <v>5830</v>
      </c>
      <c r="I894" s="21">
        <f>21 + 9/60</f>
        <v>21.15</v>
      </c>
      <c r="J894" s="21">
        <f>96 + 29/60</f>
        <v>96.483333333333334</v>
      </c>
      <c r="K894" s="21">
        <f>265724/100</f>
        <v>2657.24</v>
      </c>
      <c r="L894" s="11">
        <v>2016</v>
      </c>
      <c r="M894" s="11">
        <v>2016</v>
      </c>
      <c r="N894" s="21">
        <f>80700/K894</f>
        <v>30.369857446071865</v>
      </c>
      <c r="O894" s="23" t="s">
        <v>67</v>
      </c>
      <c r="P894" s="23" t="s">
        <v>5188</v>
      </c>
      <c r="Q894" s="3"/>
    </row>
    <row r="895" spans="1:17" ht="56.5" customHeight="1">
      <c r="A895" s="188">
        <v>236</v>
      </c>
      <c r="B895" s="41" t="s">
        <v>5836</v>
      </c>
      <c r="C895" s="19" t="s">
        <v>5837</v>
      </c>
      <c r="D895" s="19" t="s">
        <v>2398</v>
      </c>
      <c r="E895" s="4" t="s">
        <v>4847</v>
      </c>
      <c r="F895" s="24" t="s">
        <v>5838</v>
      </c>
      <c r="G895" s="4" t="s">
        <v>5839</v>
      </c>
      <c r="H895" s="19" t="s">
        <v>4314</v>
      </c>
      <c r="I895" s="75">
        <v>43.208880299999997</v>
      </c>
      <c r="J895" s="75">
        <v>-4.3576147000000001</v>
      </c>
      <c r="K895" s="75" t="s">
        <v>2276</v>
      </c>
      <c r="L895" s="19">
        <v>1900</v>
      </c>
      <c r="M895" s="19">
        <v>2018</v>
      </c>
      <c r="N895" s="75" t="s">
        <v>2276</v>
      </c>
      <c r="O895" s="26" t="s">
        <v>67</v>
      </c>
      <c r="P895" s="26" t="s">
        <v>5840</v>
      </c>
      <c r="Q895" s="26" t="s">
        <v>5841</v>
      </c>
    </row>
    <row r="896" spans="1:17" ht="56.5" customHeight="1">
      <c r="A896" s="188">
        <v>237</v>
      </c>
      <c r="B896" s="41" t="s">
        <v>5847</v>
      </c>
      <c r="C896" s="19" t="s">
        <v>5844</v>
      </c>
      <c r="D896" s="19" t="s">
        <v>2398</v>
      </c>
      <c r="E896" s="4" t="s">
        <v>2405</v>
      </c>
      <c r="F896" s="24" t="s">
        <v>5848</v>
      </c>
      <c r="G896" s="11" t="s">
        <v>2276</v>
      </c>
      <c r="H896" s="19" t="s">
        <v>1951</v>
      </c>
      <c r="I896" s="75">
        <v>-0.15213840000000001</v>
      </c>
      <c r="J896" s="75">
        <v>37.308407899999999</v>
      </c>
      <c r="K896" s="75" t="s">
        <v>2276</v>
      </c>
      <c r="L896" s="19">
        <v>2000</v>
      </c>
      <c r="M896" s="19">
        <v>2015</v>
      </c>
      <c r="N896" s="75" t="s">
        <v>2276</v>
      </c>
      <c r="O896" s="26" t="s">
        <v>67</v>
      </c>
      <c r="P896" s="3" t="s">
        <v>5187</v>
      </c>
      <c r="Q896" s="26"/>
    </row>
    <row r="897" spans="1:17" ht="56.5" customHeight="1">
      <c r="A897" s="188">
        <v>238</v>
      </c>
      <c r="B897" s="41" t="s">
        <v>5855</v>
      </c>
      <c r="C897" s="19" t="s">
        <v>5849</v>
      </c>
      <c r="D897" s="19" t="s">
        <v>2398</v>
      </c>
      <c r="E897" s="4" t="s">
        <v>2399</v>
      </c>
      <c r="F897" s="24" t="s">
        <v>5868</v>
      </c>
      <c r="G897" s="11" t="s">
        <v>2276</v>
      </c>
      <c r="H897" s="19" t="s">
        <v>3576</v>
      </c>
      <c r="I897" s="75">
        <v>1.1496248</v>
      </c>
      <c r="J897" s="75">
        <v>34.547538799999998</v>
      </c>
      <c r="K897" s="75">
        <v>44.7</v>
      </c>
      <c r="L897" s="19">
        <v>1997</v>
      </c>
      <c r="M897" s="19">
        <v>1999</v>
      </c>
      <c r="N897" s="75" t="s">
        <v>2276</v>
      </c>
      <c r="O897" s="26" t="s">
        <v>67</v>
      </c>
      <c r="P897" s="3" t="s">
        <v>5187</v>
      </c>
      <c r="Q897" s="26"/>
    </row>
    <row r="898" spans="1:17" ht="56.5" customHeight="1">
      <c r="A898" s="188">
        <v>239</v>
      </c>
      <c r="B898" s="41" t="s">
        <v>5870</v>
      </c>
      <c r="C898" s="19" t="s">
        <v>5854</v>
      </c>
      <c r="D898" s="19" t="s">
        <v>2398</v>
      </c>
      <c r="E898" s="4" t="s">
        <v>2399</v>
      </c>
      <c r="F898" s="24" t="s">
        <v>5867</v>
      </c>
      <c r="G898" s="11" t="s">
        <v>2276</v>
      </c>
      <c r="H898" s="19" t="s">
        <v>1950</v>
      </c>
      <c r="I898" s="75">
        <v>13</v>
      </c>
      <c r="J898" s="75">
        <v>38</v>
      </c>
      <c r="K898" s="11" t="s">
        <v>2276</v>
      </c>
      <c r="L898" s="19">
        <v>1997</v>
      </c>
      <c r="M898" s="19">
        <v>1999</v>
      </c>
      <c r="N898" s="75" t="s">
        <v>2276</v>
      </c>
      <c r="O898" s="26" t="s">
        <v>67</v>
      </c>
      <c r="P898" s="3" t="s">
        <v>5187</v>
      </c>
      <c r="Q898" s="26"/>
    </row>
    <row r="899" spans="1:17" ht="56.5" customHeight="1">
      <c r="A899" s="188">
        <v>239</v>
      </c>
      <c r="B899" s="41" t="s">
        <v>5870</v>
      </c>
      <c r="C899" s="19" t="s">
        <v>5859</v>
      </c>
      <c r="D899" s="19" t="s">
        <v>2398</v>
      </c>
      <c r="E899" s="4" t="s">
        <v>2399</v>
      </c>
      <c r="F899" s="24" t="s">
        <v>3738</v>
      </c>
      <c r="G899" s="11" t="s">
        <v>2276</v>
      </c>
      <c r="H899" s="19" t="s">
        <v>1950</v>
      </c>
      <c r="I899" s="75">
        <f>6 + 45/60</f>
        <v>6.75</v>
      </c>
      <c r="J899" s="75">
        <f>39.75</f>
        <v>39.75</v>
      </c>
      <c r="K899" s="11" t="s">
        <v>2276</v>
      </c>
      <c r="L899" s="19">
        <v>1997</v>
      </c>
      <c r="M899" s="19">
        <v>1999</v>
      </c>
      <c r="N899" s="75" t="s">
        <v>2276</v>
      </c>
      <c r="O899" s="26" t="s">
        <v>67</v>
      </c>
      <c r="P899" s="3" t="s">
        <v>5187</v>
      </c>
      <c r="Q899" s="26"/>
    </row>
    <row r="900" spans="1:17" ht="56.5" customHeight="1">
      <c r="A900" s="188">
        <v>239</v>
      </c>
      <c r="B900" s="41" t="s">
        <v>5870</v>
      </c>
      <c r="C900" s="19" t="s">
        <v>5860</v>
      </c>
      <c r="D900" s="19" t="s">
        <v>2398</v>
      </c>
      <c r="E900" s="4" t="s">
        <v>2399</v>
      </c>
      <c r="F900" s="24" t="s">
        <v>5868</v>
      </c>
      <c r="G900" s="11" t="s">
        <v>2276</v>
      </c>
      <c r="H900" s="19" t="s">
        <v>3576</v>
      </c>
      <c r="I900" s="75">
        <v>1</v>
      </c>
      <c r="J900" s="75">
        <f>34.5</f>
        <v>34.5</v>
      </c>
      <c r="K900" s="11" t="s">
        <v>2276</v>
      </c>
      <c r="L900" s="19">
        <v>1997</v>
      </c>
      <c r="M900" s="19">
        <v>1999</v>
      </c>
      <c r="N900" s="75" t="s">
        <v>2276</v>
      </c>
      <c r="O900" s="26" t="s">
        <v>67</v>
      </c>
      <c r="P900" s="3" t="s">
        <v>5187</v>
      </c>
      <c r="Q900" s="26"/>
    </row>
    <row r="901" spans="1:17" ht="56.5" customHeight="1">
      <c r="A901" s="188">
        <v>239</v>
      </c>
      <c r="B901" s="41" t="s">
        <v>5870</v>
      </c>
      <c r="C901" s="19" t="s">
        <v>5861</v>
      </c>
      <c r="D901" s="19" t="s">
        <v>2398</v>
      </c>
      <c r="E901" s="4" t="s">
        <v>2399</v>
      </c>
      <c r="F901" s="24" t="s">
        <v>5869</v>
      </c>
      <c r="G901" s="11" t="s">
        <v>2276</v>
      </c>
      <c r="H901" s="19" t="s">
        <v>3576</v>
      </c>
      <c r="I901" s="75">
        <f>0 + 1/6</f>
        <v>0.16666666666666666</v>
      </c>
      <c r="J901" s="75">
        <v>30</v>
      </c>
      <c r="K901" s="11" t="s">
        <v>2276</v>
      </c>
      <c r="L901" s="19">
        <v>1997</v>
      </c>
      <c r="M901" s="19">
        <v>1999</v>
      </c>
      <c r="N901" s="75" t="s">
        <v>2276</v>
      </c>
      <c r="O901" s="26" t="s">
        <v>67</v>
      </c>
      <c r="P901" s="3" t="s">
        <v>5187</v>
      </c>
      <c r="Q901" s="26"/>
    </row>
    <row r="902" spans="1:17" ht="56.5" customHeight="1">
      <c r="A902" s="188">
        <v>240</v>
      </c>
      <c r="B902" s="41" t="s">
        <v>5876</v>
      </c>
      <c r="C902" s="19" t="s">
        <v>5862</v>
      </c>
      <c r="D902" s="19" t="s">
        <v>2398</v>
      </c>
      <c r="E902" s="4" t="s">
        <v>2399</v>
      </c>
      <c r="F902" s="24" t="s">
        <v>5877</v>
      </c>
      <c r="G902" s="11" t="s">
        <v>5878</v>
      </c>
      <c r="H902" s="19" t="s">
        <v>4110</v>
      </c>
      <c r="I902" s="75">
        <v>-34.884701900000003</v>
      </c>
      <c r="J902" s="75">
        <v>173.37160499999999</v>
      </c>
      <c r="K902" s="11">
        <f>5530/100</f>
        <v>55.3</v>
      </c>
      <c r="L902" s="19">
        <v>2015</v>
      </c>
      <c r="M902" s="19">
        <v>2015</v>
      </c>
      <c r="N902" s="75" t="s">
        <v>2276</v>
      </c>
      <c r="O902" s="26" t="s">
        <v>67</v>
      </c>
      <c r="P902" s="23" t="s">
        <v>5188</v>
      </c>
      <c r="Q902" s="26"/>
    </row>
    <row r="903" spans="1:17" ht="56.5" customHeight="1">
      <c r="A903" s="188">
        <v>240</v>
      </c>
      <c r="B903" s="41" t="s">
        <v>5876</v>
      </c>
      <c r="C903" s="19" t="s">
        <v>5879</v>
      </c>
      <c r="D903" s="19" t="s">
        <v>2398</v>
      </c>
      <c r="E903" s="4" t="s">
        <v>4847</v>
      </c>
      <c r="F903" s="11" t="s">
        <v>2276</v>
      </c>
      <c r="G903" s="11" t="s">
        <v>5880</v>
      </c>
      <c r="H903" s="19" t="s">
        <v>4110</v>
      </c>
      <c r="I903" s="75">
        <v>-34.911798400000002</v>
      </c>
      <c r="J903" s="75">
        <v>173.18610369999999</v>
      </c>
      <c r="K903" s="11">
        <v>7324</v>
      </c>
      <c r="L903" s="19">
        <v>2009</v>
      </c>
      <c r="M903" s="19">
        <v>2013</v>
      </c>
      <c r="N903" s="75">
        <f>110000/K903</f>
        <v>15.019115237575095</v>
      </c>
      <c r="O903" s="26" t="s">
        <v>67</v>
      </c>
      <c r="P903" s="23" t="s">
        <v>5188</v>
      </c>
      <c r="Q903" s="26"/>
    </row>
    <row r="904" spans="1:17" ht="56.5" customHeight="1">
      <c r="A904" s="188">
        <v>241</v>
      </c>
      <c r="B904" s="190" t="s">
        <v>5895</v>
      </c>
      <c r="C904" s="26" t="s">
        <v>5875</v>
      </c>
      <c r="D904" s="26" t="s">
        <v>2398</v>
      </c>
      <c r="E904" s="24" t="s">
        <v>2399</v>
      </c>
      <c r="F904" s="26" t="s">
        <v>5896</v>
      </c>
      <c r="G904" s="26" t="s">
        <v>5897</v>
      </c>
      <c r="H904" s="26" t="s">
        <v>4112</v>
      </c>
      <c r="I904" s="189">
        <f>40+39/60</f>
        <v>40.65</v>
      </c>
      <c r="J904" s="191">
        <f>-94.15</f>
        <v>-94.15</v>
      </c>
      <c r="K904" s="26">
        <f>28350/100</f>
        <v>283.5</v>
      </c>
      <c r="L904" s="26">
        <v>2014</v>
      </c>
      <c r="M904" s="26">
        <v>2014</v>
      </c>
      <c r="N904" s="87" t="s">
        <v>2276</v>
      </c>
      <c r="O904" s="26" t="s">
        <v>67</v>
      </c>
      <c r="P904" s="26" t="s">
        <v>5898</v>
      </c>
      <c r="Q904" s="26"/>
    </row>
    <row r="905" spans="1:17" ht="44" customHeight="1">
      <c r="A905" s="188">
        <v>242</v>
      </c>
      <c r="B905" s="190" t="s">
        <v>5906</v>
      </c>
      <c r="C905" s="26" t="s">
        <v>5899</v>
      </c>
      <c r="D905" s="26" t="s">
        <v>2398</v>
      </c>
      <c r="E905" s="24" t="s">
        <v>2399</v>
      </c>
      <c r="F905" s="26" t="s">
        <v>5896</v>
      </c>
      <c r="G905" s="26" t="s">
        <v>5897</v>
      </c>
      <c r="H905" s="26" t="s">
        <v>4112</v>
      </c>
      <c r="I905" s="189">
        <f>40+39/60</f>
        <v>40.65</v>
      </c>
      <c r="J905" s="191">
        <f>-94.15</f>
        <v>-94.15</v>
      </c>
      <c r="K905" s="26">
        <f>28350/100</f>
        <v>283.5</v>
      </c>
      <c r="L905" s="26">
        <v>2008</v>
      </c>
      <c r="M905" s="26">
        <v>2008</v>
      </c>
      <c r="N905" s="87" t="s">
        <v>2276</v>
      </c>
      <c r="O905" s="26" t="s">
        <v>67</v>
      </c>
      <c r="P905" s="26" t="s">
        <v>5187</v>
      </c>
      <c r="Q905" s="26" t="s">
        <v>5907</v>
      </c>
    </row>
    <row r="906" spans="1:17" ht="40.5" customHeight="1">
      <c r="A906" s="171">
        <v>243</v>
      </c>
      <c r="B906" s="40" t="s">
        <v>5843</v>
      </c>
      <c r="C906" s="11" t="s">
        <v>5909</v>
      </c>
      <c r="D906" s="11" t="s">
        <v>2398</v>
      </c>
      <c r="E906" s="3" t="s">
        <v>2399</v>
      </c>
      <c r="F906" s="3" t="s">
        <v>5845</v>
      </c>
      <c r="G906" s="11" t="s">
        <v>5846</v>
      </c>
      <c r="H906" s="11" t="s">
        <v>1951</v>
      </c>
      <c r="I906" s="21">
        <v>-9.7846900000000001E-2</v>
      </c>
      <c r="J906" s="21">
        <v>37.1231461</v>
      </c>
      <c r="K906" s="3">
        <f>14978/100</f>
        <v>149.78</v>
      </c>
      <c r="L906" s="3">
        <v>2015</v>
      </c>
      <c r="M906" s="3">
        <v>2016</v>
      </c>
      <c r="N906" s="87" t="s">
        <v>2276</v>
      </c>
      <c r="O906" s="26" t="s">
        <v>67</v>
      </c>
      <c r="P906" s="23" t="s">
        <v>5188</v>
      </c>
      <c r="Q906" s="3"/>
    </row>
    <row r="907" spans="1:17" ht="40.5" customHeight="1">
      <c r="A907" s="188">
        <v>244</v>
      </c>
      <c r="B907" s="40" t="s">
        <v>5931</v>
      </c>
      <c r="C907" s="26" t="s">
        <v>5932</v>
      </c>
      <c r="D907" s="11" t="s">
        <v>2398</v>
      </c>
      <c r="E907" s="3" t="s">
        <v>2399</v>
      </c>
      <c r="F907" s="3" t="s">
        <v>3628</v>
      </c>
      <c r="G907" s="3" t="s">
        <v>3627</v>
      </c>
      <c r="H907" s="3" t="s">
        <v>584</v>
      </c>
      <c r="I907" s="21">
        <v>5.5</v>
      </c>
      <c r="J907" s="21">
        <v>-62</v>
      </c>
      <c r="K907" s="21">
        <v>30000</v>
      </c>
      <c r="L907" s="3">
        <v>2007</v>
      </c>
      <c r="M907" s="3">
        <v>2018</v>
      </c>
      <c r="N907" s="87" t="s">
        <v>2276</v>
      </c>
      <c r="O907" s="26" t="s">
        <v>67</v>
      </c>
      <c r="P907" s="23" t="s">
        <v>5188</v>
      </c>
      <c r="Q907" s="3"/>
    </row>
    <row r="908" spans="1:17" ht="33.5" customHeight="1">
      <c r="A908" s="188">
        <v>245</v>
      </c>
      <c r="B908" s="40" t="s">
        <v>5948</v>
      </c>
      <c r="C908" s="26" t="s">
        <v>5949</v>
      </c>
      <c r="D908" s="11" t="s">
        <v>2398</v>
      </c>
      <c r="E908" s="3" t="s">
        <v>2399</v>
      </c>
      <c r="F908" s="3" t="s">
        <v>5950</v>
      </c>
      <c r="G908" s="3" t="s">
        <v>5951</v>
      </c>
      <c r="H908" s="3" t="s">
        <v>895</v>
      </c>
      <c r="I908" s="21">
        <v>-3.7574264999999998</v>
      </c>
      <c r="J908" s="21">
        <v>114.619467</v>
      </c>
      <c r="K908" s="21" t="s">
        <v>2276</v>
      </c>
      <c r="L908" s="3">
        <v>2013</v>
      </c>
      <c r="M908" s="3">
        <v>2015</v>
      </c>
      <c r="N908" s="87" t="s">
        <v>2276</v>
      </c>
      <c r="O908" s="26" t="s">
        <v>67</v>
      </c>
      <c r="P908" s="23" t="s">
        <v>5188</v>
      </c>
      <c r="Q908" s="3"/>
    </row>
    <row r="909" spans="1:17" ht="30" customHeight="1">
      <c r="A909" s="188">
        <v>245</v>
      </c>
      <c r="B909" s="40" t="s">
        <v>5948</v>
      </c>
      <c r="C909" s="26" t="s">
        <v>5953</v>
      </c>
      <c r="D909" s="11" t="s">
        <v>2398</v>
      </c>
      <c r="E909" s="3" t="s">
        <v>2399</v>
      </c>
      <c r="F909" s="3" t="s">
        <v>5952</v>
      </c>
      <c r="G909" s="3" t="s">
        <v>5951</v>
      </c>
      <c r="H909" s="3" t="s">
        <v>895</v>
      </c>
      <c r="I909" s="21">
        <v>-3.728971</v>
      </c>
      <c r="J909" s="21">
        <v>114.68717599999999</v>
      </c>
      <c r="K909" s="21" t="s">
        <v>2276</v>
      </c>
      <c r="L909" s="3">
        <v>2013</v>
      </c>
      <c r="M909" s="3">
        <v>2015</v>
      </c>
      <c r="N909" s="87" t="s">
        <v>2276</v>
      </c>
      <c r="O909" s="26" t="s">
        <v>67</v>
      </c>
      <c r="P909" s="23" t="s">
        <v>5188</v>
      </c>
      <c r="Q909" s="3"/>
    </row>
    <row r="910" spans="1:17" ht="31.5" customHeight="1">
      <c r="A910" s="188">
        <v>246</v>
      </c>
      <c r="B910" s="40" t="s">
        <v>5958</v>
      </c>
      <c r="C910" s="26" t="s">
        <v>5956</v>
      </c>
      <c r="D910" s="11" t="s">
        <v>2398</v>
      </c>
      <c r="E910" s="3" t="s">
        <v>2399</v>
      </c>
      <c r="F910" s="11" t="s">
        <v>5959</v>
      </c>
      <c r="G910" s="11" t="s">
        <v>4132</v>
      </c>
      <c r="H910" s="11" t="s">
        <v>4112</v>
      </c>
      <c r="I910" s="21">
        <v>37.224465100000003</v>
      </c>
      <c r="J910" s="21">
        <v>-119.50581029999999</v>
      </c>
      <c r="K910" s="21" t="s">
        <v>2276</v>
      </c>
      <c r="L910" s="3">
        <v>2013</v>
      </c>
      <c r="M910" s="3">
        <v>2015</v>
      </c>
      <c r="N910" s="87" t="s">
        <v>2276</v>
      </c>
      <c r="O910" s="26" t="s">
        <v>67</v>
      </c>
      <c r="P910" s="23" t="s">
        <v>5188</v>
      </c>
      <c r="Q910" s="3"/>
    </row>
    <row r="911" spans="1:17" ht="36.5" customHeight="1">
      <c r="A911" s="188">
        <v>247</v>
      </c>
      <c r="B911" s="40" t="s">
        <v>5968</v>
      </c>
      <c r="C911" s="26" t="s">
        <v>5969</v>
      </c>
      <c r="D911" s="11" t="s">
        <v>2398</v>
      </c>
      <c r="E911" s="3" t="s">
        <v>2399</v>
      </c>
      <c r="F911" s="11" t="s">
        <v>5650</v>
      </c>
      <c r="G911" s="11" t="s">
        <v>1172</v>
      </c>
      <c r="H911" s="3" t="s">
        <v>895</v>
      </c>
      <c r="I911" s="21">
        <v>1.5</v>
      </c>
      <c r="J911" s="21">
        <v>101.25</v>
      </c>
      <c r="K911" s="21" t="s">
        <v>2276</v>
      </c>
      <c r="L911" s="3">
        <v>2015</v>
      </c>
      <c r="M911" s="3">
        <v>2015</v>
      </c>
      <c r="N911" s="87" t="s">
        <v>2276</v>
      </c>
      <c r="O911" s="26" t="s">
        <v>67</v>
      </c>
      <c r="P911" s="23" t="s">
        <v>5188</v>
      </c>
      <c r="Q911" s="3"/>
    </row>
    <row r="912" spans="1:17" ht="35.5" customHeight="1">
      <c r="A912" s="188">
        <v>248</v>
      </c>
      <c r="B912" s="40" t="s">
        <v>5981</v>
      </c>
      <c r="C912" s="26" t="s">
        <v>5982</v>
      </c>
      <c r="D912" s="11" t="s">
        <v>2398</v>
      </c>
      <c r="E912" s="3" t="s">
        <v>2399</v>
      </c>
      <c r="F912" s="3" t="s">
        <v>5984</v>
      </c>
      <c r="G912" s="3" t="s">
        <v>5986</v>
      </c>
      <c r="H912" s="3" t="s">
        <v>5211</v>
      </c>
      <c r="I912" s="21">
        <v>38.498441700000001</v>
      </c>
      <c r="J912" s="21">
        <v>139.6896936</v>
      </c>
      <c r="K912" s="21" t="s">
        <v>2276</v>
      </c>
      <c r="L912" s="3">
        <v>2013</v>
      </c>
      <c r="M912" s="3">
        <v>2013</v>
      </c>
      <c r="N912" s="87" t="s">
        <v>2276</v>
      </c>
      <c r="O912" s="26" t="s">
        <v>67</v>
      </c>
      <c r="P912" s="23" t="s">
        <v>5188</v>
      </c>
      <c r="Q912" s="3"/>
    </row>
    <row r="913" spans="1:17" ht="42" customHeight="1">
      <c r="A913" s="188">
        <v>248</v>
      </c>
      <c r="B913" s="40" t="s">
        <v>5981</v>
      </c>
      <c r="C913" s="26" t="s">
        <v>5982</v>
      </c>
      <c r="D913" s="11" t="s">
        <v>2398</v>
      </c>
      <c r="E913" s="3" t="s">
        <v>2399</v>
      </c>
      <c r="F913" s="3" t="s">
        <v>5985</v>
      </c>
      <c r="G913" s="3" t="s">
        <v>5983</v>
      </c>
      <c r="H913" s="3" t="s">
        <v>5211</v>
      </c>
      <c r="I913" s="21">
        <v>38.475431999999998</v>
      </c>
      <c r="J913" s="21">
        <v>139.62194270000001</v>
      </c>
      <c r="K913" s="21" t="s">
        <v>2276</v>
      </c>
      <c r="L913" s="3">
        <v>2013</v>
      </c>
      <c r="M913" s="3">
        <v>2013</v>
      </c>
      <c r="N913" s="87" t="s">
        <v>2276</v>
      </c>
      <c r="O913" s="26" t="s">
        <v>67</v>
      </c>
      <c r="P913" s="23" t="s">
        <v>5188</v>
      </c>
      <c r="Q913" s="3"/>
    </row>
    <row r="914" spans="1:17" ht="42" customHeight="1">
      <c r="A914" s="188">
        <v>249</v>
      </c>
      <c r="B914" s="40" t="s">
        <v>5995</v>
      </c>
      <c r="C914" s="26" t="s">
        <v>5994</v>
      </c>
      <c r="D914" s="11" t="s">
        <v>2398</v>
      </c>
      <c r="E914" s="3" t="s">
        <v>2400</v>
      </c>
      <c r="F914" s="144" t="s">
        <v>5996</v>
      </c>
      <c r="G914" s="3" t="s">
        <v>5999</v>
      </c>
      <c r="H914" s="3" t="s">
        <v>3414</v>
      </c>
      <c r="I914" s="21">
        <f>-21 - 55/60</f>
        <v>-21.916666666666668</v>
      </c>
      <c r="J914" s="21">
        <f>122 +26/60</f>
        <v>122.43333333333334</v>
      </c>
      <c r="K914" s="21" t="s">
        <v>2276</v>
      </c>
      <c r="L914" s="3">
        <v>2000</v>
      </c>
      <c r="M914" s="3">
        <v>2010</v>
      </c>
      <c r="N914" s="87" t="s">
        <v>2276</v>
      </c>
      <c r="O914" s="26" t="s">
        <v>67</v>
      </c>
      <c r="P914" s="23" t="s">
        <v>5187</v>
      </c>
      <c r="Q914" s="3"/>
    </row>
    <row r="915" spans="1:17" ht="42" customHeight="1">
      <c r="A915" s="188">
        <v>249</v>
      </c>
      <c r="B915" s="40" t="s">
        <v>5995</v>
      </c>
      <c r="C915" s="26" t="s">
        <v>5998</v>
      </c>
      <c r="D915" s="11" t="s">
        <v>2398</v>
      </c>
      <c r="E915" s="3" t="s">
        <v>2400</v>
      </c>
      <c r="F915" s="144" t="s">
        <v>5997</v>
      </c>
      <c r="G915" s="3" t="s">
        <v>5999</v>
      </c>
      <c r="H915" s="3" t="s">
        <v>3414</v>
      </c>
      <c r="I915" s="21">
        <f>-21 - 55/60</f>
        <v>-21.916666666666668</v>
      </c>
      <c r="J915" s="21">
        <f>122 +26/60</f>
        <v>122.43333333333334</v>
      </c>
      <c r="K915" s="21" t="s">
        <v>2276</v>
      </c>
      <c r="L915" s="3">
        <v>2000</v>
      </c>
      <c r="M915" s="3">
        <v>2010</v>
      </c>
      <c r="N915" s="87" t="s">
        <v>2276</v>
      </c>
      <c r="O915" s="26" t="s">
        <v>67</v>
      </c>
      <c r="P915" s="23" t="s">
        <v>5187</v>
      </c>
      <c r="Q915" s="3"/>
    </row>
    <row r="916" spans="1:17" ht="40" customHeight="1">
      <c r="A916" s="188">
        <v>250</v>
      </c>
      <c r="B916" s="40" t="s">
        <v>6010</v>
      </c>
      <c r="C916" s="26" t="s">
        <v>6000</v>
      </c>
      <c r="D916" s="11" t="s">
        <v>2398</v>
      </c>
      <c r="E916" s="3" t="s">
        <v>2399</v>
      </c>
      <c r="F916" s="22" t="s">
        <v>6011</v>
      </c>
      <c r="G916" s="3" t="s">
        <v>2276</v>
      </c>
      <c r="H916" s="3" t="s">
        <v>5694</v>
      </c>
      <c r="I916" s="21">
        <v>-16.769966799999999</v>
      </c>
      <c r="J916" s="21">
        <v>-61.810863099999999</v>
      </c>
      <c r="K916" s="21" t="s">
        <v>2276</v>
      </c>
      <c r="L916" s="11">
        <v>2003</v>
      </c>
      <c r="M916" s="11">
        <v>2003</v>
      </c>
      <c r="N916" s="87" t="s">
        <v>2276</v>
      </c>
      <c r="O916" s="26" t="s">
        <v>67</v>
      </c>
      <c r="P916" s="23" t="s">
        <v>5187</v>
      </c>
      <c r="Q916" s="3"/>
    </row>
    <row r="917" spans="1:17" ht="45.5" customHeight="1">
      <c r="A917" s="188">
        <v>251</v>
      </c>
      <c r="B917" s="40" t="s">
        <v>6017</v>
      </c>
      <c r="C917" s="26" t="s">
        <v>6018</v>
      </c>
      <c r="D917" s="11" t="s">
        <v>2398</v>
      </c>
      <c r="E917" s="3" t="s">
        <v>2399</v>
      </c>
      <c r="F917" s="11" t="s">
        <v>6019</v>
      </c>
      <c r="G917" s="11" t="s">
        <v>4132</v>
      </c>
      <c r="H917" s="11" t="s">
        <v>4112</v>
      </c>
      <c r="I917" s="21">
        <v>41.609751299999999</v>
      </c>
      <c r="J917" s="21">
        <v>-123.2715446</v>
      </c>
      <c r="K917" s="21" t="s">
        <v>2276</v>
      </c>
      <c r="L917" s="11">
        <v>1990</v>
      </c>
      <c r="M917" s="11">
        <v>2014</v>
      </c>
      <c r="N917" s="87" t="s">
        <v>2276</v>
      </c>
      <c r="O917" s="26" t="s">
        <v>67</v>
      </c>
      <c r="P917" s="23" t="s">
        <v>5188</v>
      </c>
      <c r="Q917" s="23" t="s">
        <v>6020</v>
      </c>
    </row>
    <row r="918" spans="1:17" ht="39" customHeight="1">
      <c r="A918" s="188">
        <v>252</v>
      </c>
      <c r="B918" s="40" t="s">
        <v>6031</v>
      </c>
      <c r="C918" s="26" t="s">
        <v>6032</v>
      </c>
      <c r="D918" s="11" t="s">
        <v>2398</v>
      </c>
      <c r="E918" s="3" t="s">
        <v>2399</v>
      </c>
      <c r="F918" s="3" t="s">
        <v>6033</v>
      </c>
      <c r="G918" s="3" t="s">
        <v>6034</v>
      </c>
      <c r="H918" s="11" t="s">
        <v>5211</v>
      </c>
      <c r="I918" s="21">
        <v>32.898505900000004</v>
      </c>
      <c r="J918" s="21">
        <v>131.08747539999999</v>
      </c>
      <c r="K918" s="21">
        <v>76.7</v>
      </c>
      <c r="L918" s="11">
        <v>2014</v>
      </c>
      <c r="M918" s="11">
        <v>2014</v>
      </c>
      <c r="N918" s="87" t="s">
        <v>2276</v>
      </c>
      <c r="O918" s="26" t="s">
        <v>67</v>
      </c>
      <c r="P918" s="23" t="s">
        <v>5187</v>
      </c>
      <c r="Q918" s="3"/>
    </row>
    <row r="919" spans="1:17" ht="37.5" customHeight="1">
      <c r="A919" s="188">
        <v>253</v>
      </c>
      <c r="B919" s="40" t="s">
        <v>6038</v>
      </c>
      <c r="C919" s="26" t="s">
        <v>6039</v>
      </c>
      <c r="D919" s="11" t="s">
        <v>2398</v>
      </c>
      <c r="E919" s="3" t="s">
        <v>2399</v>
      </c>
      <c r="F919" s="3" t="s">
        <v>6040</v>
      </c>
      <c r="G919" s="3" t="s">
        <v>6041</v>
      </c>
      <c r="H919" s="11" t="s">
        <v>5211</v>
      </c>
      <c r="I919" s="21">
        <f>35 +56/60</f>
        <v>35.93333333333333</v>
      </c>
      <c r="J919" s="21">
        <f>137 + 36/60</f>
        <v>137.6</v>
      </c>
      <c r="K919" s="21">
        <f>SUM(910, 1050, 950, 1250, 1140, 1350, 110, 220, 2300, 990, 1800, 990, 1080, 460, 410) / (1000^2)</f>
        <v>1.5010000000000001E-2</v>
      </c>
      <c r="L919" s="11">
        <v>2010</v>
      </c>
      <c r="M919" s="11">
        <v>2011</v>
      </c>
      <c r="N919" s="87" t="s">
        <v>2276</v>
      </c>
      <c r="O919" s="26" t="s">
        <v>67</v>
      </c>
      <c r="P919" s="23" t="s">
        <v>5188</v>
      </c>
      <c r="Q919" s="3"/>
    </row>
    <row r="920" spans="1:17" ht="45.5" customHeight="1">
      <c r="A920" s="188">
        <v>254</v>
      </c>
      <c r="B920" s="40" t="s">
        <v>6051</v>
      </c>
      <c r="C920" s="26" t="s">
        <v>6048</v>
      </c>
      <c r="D920" s="11" t="s">
        <v>2398</v>
      </c>
      <c r="E920" s="3" t="s">
        <v>2399</v>
      </c>
      <c r="F920" s="11" t="s">
        <v>6049</v>
      </c>
      <c r="G920" s="11" t="s">
        <v>6050</v>
      </c>
      <c r="H920" s="11" t="s">
        <v>770</v>
      </c>
      <c r="I920" s="21">
        <v>18.488329199999999</v>
      </c>
      <c r="J920" s="21">
        <v>-89.685020600000001</v>
      </c>
      <c r="K920" s="21" t="s">
        <v>2276</v>
      </c>
      <c r="L920" s="11">
        <v>2012</v>
      </c>
      <c r="M920" s="11">
        <v>2012</v>
      </c>
      <c r="N920" s="87" t="s">
        <v>2276</v>
      </c>
      <c r="O920" s="26" t="s">
        <v>67</v>
      </c>
      <c r="P920" s="23" t="s">
        <v>5188</v>
      </c>
      <c r="Q920" s="3"/>
    </row>
    <row r="921" spans="1:17" ht="43.5" customHeight="1">
      <c r="A921" s="31">
        <v>255</v>
      </c>
      <c r="B921" s="40" t="s">
        <v>6060</v>
      </c>
      <c r="C921" s="3" t="s">
        <v>6061</v>
      </c>
      <c r="D921" s="11" t="s">
        <v>2398</v>
      </c>
      <c r="E921" s="3" t="s">
        <v>2399</v>
      </c>
      <c r="F921" s="3" t="s">
        <v>910</v>
      </c>
      <c r="G921" s="3" t="s">
        <v>166</v>
      </c>
      <c r="H921" s="3" t="s">
        <v>121</v>
      </c>
      <c r="I921" s="21">
        <v>-0.95485589999999998</v>
      </c>
      <c r="J921" s="21">
        <v>-49.588692999999999</v>
      </c>
      <c r="K921" s="21">
        <v>23000</v>
      </c>
      <c r="L921" s="3">
        <v>1993</v>
      </c>
      <c r="M921" s="3">
        <v>1993</v>
      </c>
      <c r="N921" s="87" t="s">
        <v>2276</v>
      </c>
      <c r="O921" s="26" t="s">
        <v>67</v>
      </c>
      <c r="P921" s="3" t="s">
        <v>5187</v>
      </c>
      <c r="Q921" s="3"/>
    </row>
    <row r="922" spans="1:17" ht="43.5" customHeight="1">
      <c r="A922" s="31">
        <v>255</v>
      </c>
      <c r="B922" s="40" t="s">
        <v>6060</v>
      </c>
      <c r="C922" s="26" t="s">
        <v>6062</v>
      </c>
      <c r="D922" s="11" t="s">
        <v>2398</v>
      </c>
      <c r="E922" s="3" t="s">
        <v>2399</v>
      </c>
      <c r="F922" s="3" t="s">
        <v>6064</v>
      </c>
      <c r="G922" s="3" t="s">
        <v>166</v>
      </c>
      <c r="H922" s="3" t="s">
        <v>121</v>
      </c>
      <c r="I922" s="21">
        <v>-2.3106019</v>
      </c>
      <c r="J922" s="21">
        <v>-54.831132400000001</v>
      </c>
      <c r="K922" s="21" t="s">
        <v>2276</v>
      </c>
      <c r="L922" s="3">
        <v>1993</v>
      </c>
      <c r="M922" s="3">
        <v>1993</v>
      </c>
      <c r="N922" s="87" t="s">
        <v>2276</v>
      </c>
      <c r="O922" s="26" t="s">
        <v>67</v>
      </c>
      <c r="P922" s="3" t="s">
        <v>5187</v>
      </c>
      <c r="Q922" s="3"/>
    </row>
    <row r="923" spans="1:17" ht="43.5" customHeight="1">
      <c r="A923" s="31">
        <v>255</v>
      </c>
      <c r="B923" s="40" t="s">
        <v>6060</v>
      </c>
      <c r="C923" s="26" t="s">
        <v>6063</v>
      </c>
      <c r="D923" s="11" t="s">
        <v>2398</v>
      </c>
      <c r="E923" s="3" t="s">
        <v>2399</v>
      </c>
      <c r="F923" s="3" t="s">
        <v>6065</v>
      </c>
      <c r="G923" s="3" t="s">
        <v>166</v>
      </c>
      <c r="H923" s="3" t="s">
        <v>121</v>
      </c>
      <c r="I923" s="21">
        <v>-9.3710164999999996</v>
      </c>
      <c r="J923" s="21">
        <v>-50.332479900000003</v>
      </c>
      <c r="K923" s="21" t="s">
        <v>2276</v>
      </c>
      <c r="L923" s="3">
        <v>1993</v>
      </c>
      <c r="M923" s="3">
        <v>1993</v>
      </c>
      <c r="N923" s="87" t="s">
        <v>2276</v>
      </c>
      <c r="O923" s="26" t="s">
        <v>67</v>
      </c>
      <c r="P923" s="3" t="s">
        <v>5187</v>
      </c>
      <c r="Q923" s="3"/>
    </row>
    <row r="924" spans="1:17" ht="70.5" customHeight="1">
      <c r="A924" s="106">
        <v>256</v>
      </c>
      <c r="B924" s="40" t="s">
        <v>6074</v>
      </c>
      <c r="C924" s="26" t="s">
        <v>6075</v>
      </c>
      <c r="D924" s="11" t="s">
        <v>2398</v>
      </c>
      <c r="E924" s="11" t="s">
        <v>4847</v>
      </c>
      <c r="F924" s="3" t="s">
        <v>2276</v>
      </c>
      <c r="G924" s="11" t="s">
        <v>6076</v>
      </c>
      <c r="H924" s="11" t="s">
        <v>6077</v>
      </c>
      <c r="I924" s="21">
        <f>AVERAGE(30 +42/60, 34.5)</f>
        <v>32.6</v>
      </c>
      <c r="J924" s="21">
        <f>AVERAGE(49 + 36/60, 55)</f>
        <v>52.3</v>
      </c>
      <c r="K924" s="21">
        <v>106175</v>
      </c>
      <c r="L924" s="3">
        <v>2008</v>
      </c>
      <c r="M924" s="3">
        <v>2011</v>
      </c>
      <c r="N924" s="87" t="s">
        <v>2276</v>
      </c>
      <c r="O924" s="26" t="s">
        <v>67</v>
      </c>
      <c r="P924" s="3" t="s">
        <v>5187</v>
      </c>
      <c r="Q924" s="4" t="s">
        <v>6081</v>
      </c>
    </row>
    <row r="925" spans="1:17" ht="40" customHeight="1">
      <c r="A925" s="106">
        <v>257</v>
      </c>
      <c r="B925" s="40" t="s">
        <v>6085</v>
      </c>
      <c r="C925" s="26" t="s">
        <v>6083</v>
      </c>
      <c r="D925" s="11" t="s">
        <v>2398</v>
      </c>
      <c r="E925" s="3" t="s">
        <v>2422</v>
      </c>
      <c r="F925" s="3" t="s">
        <v>7046</v>
      </c>
      <c r="G925" s="3" t="s">
        <v>7048</v>
      </c>
      <c r="H925" s="3" t="s">
        <v>6086</v>
      </c>
      <c r="I925" s="21">
        <v>9.1499997999999998</v>
      </c>
      <c r="J925" s="21">
        <v>-6.483333</v>
      </c>
      <c r="K925" s="21" t="s">
        <v>2276</v>
      </c>
      <c r="L925" s="3">
        <v>1985</v>
      </c>
      <c r="M925" s="3">
        <v>1995</v>
      </c>
      <c r="N925" s="3">
        <v>16</v>
      </c>
      <c r="O925" s="26" t="s">
        <v>67</v>
      </c>
      <c r="P925" s="205" t="s">
        <v>5187</v>
      </c>
      <c r="Q925" s="3" t="s">
        <v>7050</v>
      </c>
    </row>
    <row r="926" spans="1:17" ht="43.5" customHeight="1">
      <c r="A926" s="106">
        <v>257</v>
      </c>
      <c r="B926" s="40" t="s">
        <v>6085</v>
      </c>
      <c r="C926" s="26" t="s">
        <v>6084</v>
      </c>
      <c r="D926" s="11" t="s">
        <v>2398</v>
      </c>
      <c r="E926" s="205" t="s">
        <v>2422</v>
      </c>
      <c r="F926" s="3" t="s">
        <v>7047</v>
      </c>
      <c r="G926" s="3" t="s">
        <v>7049</v>
      </c>
      <c r="H926" s="3" t="s">
        <v>6086</v>
      </c>
      <c r="I926" s="21">
        <v>9.3744738000000005</v>
      </c>
      <c r="J926" s="21">
        <v>-5.6494460000000002</v>
      </c>
      <c r="K926" s="21" t="s">
        <v>2276</v>
      </c>
      <c r="L926" s="205">
        <v>1985</v>
      </c>
      <c r="M926" s="3">
        <v>1995</v>
      </c>
      <c r="N926" s="3">
        <v>73</v>
      </c>
      <c r="O926" s="26" t="s">
        <v>67</v>
      </c>
      <c r="P926" s="205" t="s">
        <v>5187</v>
      </c>
      <c r="Q926" s="205" t="s">
        <v>7050</v>
      </c>
    </row>
    <row r="927" spans="1:17" ht="45.5" customHeight="1">
      <c r="A927" s="193">
        <v>258</v>
      </c>
      <c r="B927" s="41" t="s">
        <v>6106</v>
      </c>
      <c r="C927" s="4" t="s">
        <v>6148</v>
      </c>
      <c r="D927" s="4" t="s">
        <v>2398</v>
      </c>
      <c r="E927" s="4" t="s">
        <v>2422</v>
      </c>
      <c r="F927" s="4" t="s">
        <v>6107</v>
      </c>
      <c r="G927" s="4" t="s">
        <v>4132</v>
      </c>
      <c r="H927" s="4" t="s">
        <v>4112</v>
      </c>
      <c r="I927" s="82">
        <v>38.837499999999999</v>
      </c>
      <c r="J927" s="74">
        <v>-120.89579999999999</v>
      </c>
      <c r="K927" s="75" t="s">
        <v>2276</v>
      </c>
      <c r="L927" s="4">
        <v>2007</v>
      </c>
      <c r="M927" s="4">
        <v>2015</v>
      </c>
      <c r="N927" s="75" t="s">
        <v>2276</v>
      </c>
      <c r="O927" s="4" t="s">
        <v>67</v>
      </c>
      <c r="P927" s="3" t="s">
        <v>6187</v>
      </c>
      <c r="Q927" s="4"/>
    </row>
    <row r="928" spans="1:17" ht="45.5" customHeight="1">
      <c r="A928" s="193">
        <v>258</v>
      </c>
      <c r="B928" s="41" t="s">
        <v>6106</v>
      </c>
      <c r="C928" s="4" t="s">
        <v>6149</v>
      </c>
      <c r="D928" s="4" t="s">
        <v>2398</v>
      </c>
      <c r="E928" s="4" t="s">
        <v>2422</v>
      </c>
      <c r="F928" s="4" t="s">
        <v>6108</v>
      </c>
      <c r="G928" s="4" t="s">
        <v>4132</v>
      </c>
      <c r="H928" s="4" t="s">
        <v>4112</v>
      </c>
      <c r="I928" s="82">
        <v>34.959200000000003</v>
      </c>
      <c r="J928" s="74">
        <v>-116.699</v>
      </c>
      <c r="K928" s="75">
        <v>146347</v>
      </c>
      <c r="L928" s="4">
        <v>2003</v>
      </c>
      <c r="M928" s="4">
        <v>2018</v>
      </c>
      <c r="N928" s="75">
        <f>23860000/K928</f>
        <v>163.03716509392061</v>
      </c>
      <c r="O928" s="4" t="s">
        <v>67</v>
      </c>
      <c r="P928" s="3" t="s">
        <v>6187</v>
      </c>
      <c r="Q928" s="4" t="s">
        <v>6109</v>
      </c>
    </row>
    <row r="929" spans="1:17" s="204" customFormat="1" ht="45.5" customHeight="1">
      <c r="A929" s="193">
        <v>258</v>
      </c>
      <c r="B929" s="41" t="s">
        <v>6106</v>
      </c>
      <c r="C929" s="4" t="s">
        <v>6711</v>
      </c>
      <c r="D929" s="4" t="s">
        <v>2398</v>
      </c>
      <c r="E929" s="11" t="s">
        <v>4847</v>
      </c>
      <c r="F929" s="4" t="s">
        <v>6714</v>
      </c>
      <c r="G929" s="4" t="s">
        <v>4132</v>
      </c>
      <c r="H929" s="4" t="s">
        <v>4112</v>
      </c>
      <c r="I929" s="82">
        <v>36.490676200000003</v>
      </c>
      <c r="J929" s="74">
        <v>-118.8255468</v>
      </c>
      <c r="K929" s="75">
        <f>3500</f>
        <v>3500</v>
      </c>
      <c r="L929" s="4">
        <v>1960</v>
      </c>
      <c r="M929" s="4">
        <v>2017</v>
      </c>
      <c r="N929" s="75" t="s">
        <v>2276</v>
      </c>
      <c r="O929" s="4" t="s">
        <v>67</v>
      </c>
      <c r="P929" s="205" t="s">
        <v>5187</v>
      </c>
      <c r="Q929" s="4"/>
    </row>
    <row r="930" spans="1:17" s="204" customFormat="1" ht="45.5" customHeight="1">
      <c r="A930" s="193">
        <v>258</v>
      </c>
      <c r="B930" s="41" t="s">
        <v>6106</v>
      </c>
      <c r="C930" s="4" t="s">
        <v>6712</v>
      </c>
      <c r="D930" s="4" t="s">
        <v>2398</v>
      </c>
      <c r="E930" s="11" t="s">
        <v>4847</v>
      </c>
      <c r="F930" s="4" t="s">
        <v>6715</v>
      </c>
      <c r="G930" s="4" t="s">
        <v>4132</v>
      </c>
      <c r="H930" s="4" t="s">
        <v>4112</v>
      </c>
      <c r="I930" s="82">
        <v>37.853309000000003</v>
      </c>
      <c r="J930" s="74">
        <v>-119.55110999999999</v>
      </c>
      <c r="K930" s="75">
        <v>3027</v>
      </c>
      <c r="L930" s="4">
        <v>1960</v>
      </c>
      <c r="M930" s="4">
        <v>2017</v>
      </c>
      <c r="N930" s="75" t="s">
        <v>2276</v>
      </c>
      <c r="O930" s="4" t="s">
        <v>67</v>
      </c>
      <c r="P930" s="205" t="s">
        <v>5187</v>
      </c>
      <c r="Q930" s="4"/>
    </row>
    <row r="931" spans="1:17" s="204" customFormat="1" ht="45.5" customHeight="1">
      <c r="A931" s="193">
        <v>258</v>
      </c>
      <c r="B931" s="41" t="s">
        <v>6106</v>
      </c>
      <c r="C931" s="4" t="s">
        <v>6713</v>
      </c>
      <c r="D931" s="4" t="s">
        <v>2398</v>
      </c>
      <c r="E931" s="11" t="s">
        <v>4847</v>
      </c>
      <c r="F931" s="4" t="s">
        <v>6716</v>
      </c>
      <c r="G931" s="4" t="s">
        <v>4132</v>
      </c>
      <c r="H931" s="4" t="s">
        <v>4112</v>
      </c>
      <c r="I931" s="82">
        <v>40.496962500000002</v>
      </c>
      <c r="J931" s="74">
        <v>-121.4102163</v>
      </c>
      <c r="K931" s="75">
        <v>430.8</v>
      </c>
      <c r="L931" s="4">
        <v>1960</v>
      </c>
      <c r="M931" s="4">
        <v>2017</v>
      </c>
      <c r="N931" s="75" t="s">
        <v>2276</v>
      </c>
      <c r="O931" s="4" t="s">
        <v>67</v>
      </c>
      <c r="P931" s="205" t="s">
        <v>5187</v>
      </c>
      <c r="Q931" s="4"/>
    </row>
    <row r="932" spans="1:17" ht="45.5" customHeight="1">
      <c r="A932" s="193">
        <v>259</v>
      </c>
      <c r="B932" s="41" t="s">
        <v>6110</v>
      </c>
      <c r="C932" s="4" t="s">
        <v>6150</v>
      </c>
      <c r="D932" s="4" t="s">
        <v>2398</v>
      </c>
      <c r="E932" s="11" t="s">
        <v>4847</v>
      </c>
      <c r="F932" s="4" t="s">
        <v>2276</v>
      </c>
      <c r="G932" s="4" t="s">
        <v>6111</v>
      </c>
      <c r="H932" s="4" t="s">
        <v>4051</v>
      </c>
      <c r="I932" s="74">
        <v>37.264158100000003</v>
      </c>
      <c r="J932" s="74">
        <v>22.496772700000001</v>
      </c>
      <c r="K932" s="75">
        <v>21549</v>
      </c>
      <c r="L932" s="4">
        <v>2000</v>
      </c>
      <c r="M932" s="4">
        <v>2007</v>
      </c>
      <c r="N932" s="75">
        <f t="shared" ref="N932" si="12">638942/21549</f>
        <v>29.650656642999675</v>
      </c>
      <c r="O932" s="4" t="s">
        <v>67</v>
      </c>
      <c r="P932" s="3" t="s">
        <v>6187</v>
      </c>
      <c r="Q932" s="4"/>
    </row>
    <row r="933" spans="1:17" ht="45.5" customHeight="1">
      <c r="A933" s="193">
        <v>260</v>
      </c>
      <c r="B933" s="41" t="s">
        <v>6737</v>
      </c>
      <c r="C933" s="4" t="s">
        <v>6151</v>
      </c>
      <c r="D933" s="4" t="s">
        <v>2398</v>
      </c>
      <c r="E933" s="11" t="s">
        <v>4847</v>
      </c>
      <c r="F933" s="4" t="s">
        <v>2276</v>
      </c>
      <c r="G933" s="4" t="s">
        <v>2276</v>
      </c>
      <c r="H933" s="4" t="s">
        <v>6112</v>
      </c>
      <c r="I933" s="74">
        <v>39.811516699999999</v>
      </c>
      <c r="J933" s="74">
        <v>-7.4631071000000002</v>
      </c>
      <c r="K933" s="75">
        <v>92212</v>
      </c>
      <c r="L933" s="4">
        <v>2003</v>
      </c>
      <c r="M933" s="4">
        <v>2005</v>
      </c>
      <c r="N933" s="75" t="s">
        <v>2276</v>
      </c>
      <c r="O933" s="4" t="s">
        <v>67</v>
      </c>
      <c r="P933" s="3" t="s">
        <v>6187</v>
      </c>
      <c r="Q933" s="4" t="s">
        <v>6738</v>
      </c>
    </row>
    <row r="934" spans="1:17" ht="45.5" customHeight="1">
      <c r="A934" s="193">
        <v>260</v>
      </c>
      <c r="B934" s="41" t="s">
        <v>6737</v>
      </c>
      <c r="C934" s="4" t="s">
        <v>6152</v>
      </c>
      <c r="D934" s="4" t="s">
        <v>2398</v>
      </c>
      <c r="E934" s="11" t="s">
        <v>4847</v>
      </c>
      <c r="F934" s="4" t="s">
        <v>6113</v>
      </c>
      <c r="G934" s="4" t="s">
        <v>2276</v>
      </c>
      <c r="H934" s="4" t="s">
        <v>4314</v>
      </c>
      <c r="I934" s="74">
        <v>42.799928600000001</v>
      </c>
      <c r="J934" s="74">
        <v>-8.0177344000000002</v>
      </c>
      <c r="K934" s="75">
        <v>29574</v>
      </c>
      <c r="L934" s="4">
        <v>2006</v>
      </c>
      <c r="M934" s="4">
        <v>2006</v>
      </c>
      <c r="N934" s="75">
        <v>91</v>
      </c>
      <c r="O934" s="4" t="s">
        <v>67</v>
      </c>
      <c r="P934" s="3" t="s">
        <v>6187</v>
      </c>
      <c r="Q934" s="4" t="s">
        <v>6114</v>
      </c>
    </row>
    <row r="935" spans="1:17" s="204" customFormat="1" ht="45.5" customHeight="1">
      <c r="A935" s="193">
        <v>260</v>
      </c>
      <c r="B935" s="41" t="s">
        <v>6737</v>
      </c>
      <c r="C935" s="4" t="s">
        <v>6153</v>
      </c>
      <c r="D935" s="4" t="s">
        <v>2398</v>
      </c>
      <c r="E935" s="11" t="s">
        <v>4847</v>
      </c>
      <c r="F935" s="4" t="s">
        <v>2276</v>
      </c>
      <c r="G935" s="4" t="s">
        <v>2276</v>
      </c>
      <c r="H935" s="4" t="s">
        <v>4314</v>
      </c>
      <c r="I935" s="74">
        <v>40.208500000000001</v>
      </c>
      <c r="J935" s="74">
        <v>-3.7130000000000001</v>
      </c>
      <c r="K935" s="75">
        <v>505990</v>
      </c>
      <c r="L935" s="4">
        <v>2006</v>
      </c>
      <c r="M935" s="4">
        <v>2006</v>
      </c>
      <c r="N935" s="75" t="s">
        <v>2276</v>
      </c>
      <c r="O935" s="4" t="s">
        <v>67</v>
      </c>
      <c r="P935" s="205" t="s">
        <v>6187</v>
      </c>
      <c r="Q935" s="4"/>
    </row>
    <row r="936" spans="1:17" ht="45.5" customHeight="1">
      <c r="A936" s="193">
        <v>260</v>
      </c>
      <c r="B936" s="41" t="s">
        <v>6737</v>
      </c>
      <c r="C936" s="4" t="s">
        <v>6747</v>
      </c>
      <c r="D936" s="4" t="s">
        <v>2398</v>
      </c>
      <c r="E936" s="11" t="s">
        <v>4847</v>
      </c>
      <c r="F936" s="4" t="s">
        <v>2276</v>
      </c>
      <c r="G936" s="4" t="s">
        <v>6111</v>
      </c>
      <c r="H936" s="4" t="s">
        <v>4051</v>
      </c>
      <c r="I936" s="74">
        <v>37.264158100000003</v>
      </c>
      <c r="J936" s="74">
        <v>22.496772700000001</v>
      </c>
      <c r="K936" s="75">
        <v>21549</v>
      </c>
      <c r="L936" s="4">
        <v>2007</v>
      </c>
      <c r="M936" s="4">
        <v>2007</v>
      </c>
      <c r="N936" s="75">
        <f t="shared" ref="N936" si="13">638942/21549</f>
        <v>29.650656642999675</v>
      </c>
      <c r="O936" s="4" t="s">
        <v>67</v>
      </c>
      <c r="P936" s="3" t="s">
        <v>6187</v>
      </c>
      <c r="Q936" s="4" t="s">
        <v>6751</v>
      </c>
    </row>
    <row r="937" spans="1:17" ht="45.5" customHeight="1">
      <c r="A937" s="193">
        <v>261</v>
      </c>
      <c r="B937" s="41" t="s">
        <v>6115</v>
      </c>
      <c r="C937" s="4" t="s">
        <v>6154</v>
      </c>
      <c r="D937" s="4" t="s">
        <v>2398</v>
      </c>
      <c r="E937" s="11" t="s">
        <v>4847</v>
      </c>
      <c r="F937" s="4" t="s">
        <v>2276</v>
      </c>
      <c r="G937" s="4" t="s">
        <v>6753</v>
      </c>
      <c r="H937" s="4" t="s">
        <v>6116</v>
      </c>
      <c r="I937" s="74">
        <f>43+24/60</f>
        <v>43.4</v>
      </c>
      <c r="J937" s="74">
        <f>5+22/60</f>
        <v>5.3666666666666663</v>
      </c>
      <c r="K937" s="75">
        <v>1680</v>
      </c>
      <c r="L937" s="4">
        <v>1990</v>
      </c>
      <c r="M937" s="4">
        <v>2007</v>
      </c>
      <c r="N937" s="75">
        <v>420</v>
      </c>
      <c r="O937" s="4" t="s">
        <v>67</v>
      </c>
      <c r="P937" s="3" t="s">
        <v>6187</v>
      </c>
      <c r="Q937" s="4" t="s">
        <v>6117</v>
      </c>
    </row>
    <row r="938" spans="1:17" ht="45.5" customHeight="1">
      <c r="A938" s="193">
        <v>261</v>
      </c>
      <c r="B938" s="41" t="s">
        <v>6115</v>
      </c>
      <c r="C938" s="4" t="s">
        <v>6155</v>
      </c>
      <c r="D938" s="4" t="s">
        <v>2398</v>
      </c>
      <c r="E938" s="11" t="s">
        <v>4847</v>
      </c>
      <c r="F938" s="4" t="s">
        <v>2276</v>
      </c>
      <c r="G938" s="4" t="s">
        <v>6753</v>
      </c>
      <c r="H938" s="4" t="s">
        <v>6116</v>
      </c>
      <c r="I938" s="74">
        <f t="shared" ref="I938:I942" si="14">43+24/60</f>
        <v>43.4</v>
      </c>
      <c r="J938" s="74">
        <f t="shared" ref="J938:J942" si="15">5+22/60</f>
        <v>5.3666666666666663</v>
      </c>
      <c r="K938" s="75">
        <v>1680</v>
      </c>
      <c r="L938" s="4">
        <v>1990</v>
      </c>
      <c r="M938" s="4">
        <v>2007</v>
      </c>
      <c r="N938" s="75">
        <v>420</v>
      </c>
      <c r="O938" s="4" t="s">
        <v>67</v>
      </c>
      <c r="P938" s="3" t="s">
        <v>6187</v>
      </c>
      <c r="Q938" s="4" t="s">
        <v>6118</v>
      </c>
    </row>
    <row r="939" spans="1:17" ht="45.5" customHeight="1">
      <c r="A939" s="193">
        <v>261</v>
      </c>
      <c r="B939" s="41" t="s">
        <v>6115</v>
      </c>
      <c r="C939" s="4" t="s">
        <v>6156</v>
      </c>
      <c r="D939" s="4" t="s">
        <v>2398</v>
      </c>
      <c r="E939" s="11" t="s">
        <v>4847</v>
      </c>
      <c r="F939" s="4" t="s">
        <v>2276</v>
      </c>
      <c r="G939" s="4" t="s">
        <v>6753</v>
      </c>
      <c r="H939" s="4" t="s">
        <v>6116</v>
      </c>
      <c r="I939" s="74">
        <f t="shared" si="14"/>
        <v>43.4</v>
      </c>
      <c r="J939" s="74">
        <f t="shared" si="15"/>
        <v>5.3666666666666663</v>
      </c>
      <c r="K939" s="75">
        <v>1680</v>
      </c>
      <c r="L939" s="4">
        <v>1990</v>
      </c>
      <c r="M939" s="4">
        <v>2007</v>
      </c>
      <c r="N939" s="75">
        <v>420</v>
      </c>
      <c r="O939" s="4" t="s">
        <v>67</v>
      </c>
      <c r="P939" s="3" t="s">
        <v>6187</v>
      </c>
      <c r="Q939" s="4" t="s">
        <v>6119</v>
      </c>
    </row>
    <row r="940" spans="1:17" ht="45.5" customHeight="1">
      <c r="A940" s="193">
        <v>261</v>
      </c>
      <c r="B940" s="41" t="s">
        <v>6115</v>
      </c>
      <c r="C940" s="4" t="s">
        <v>6157</v>
      </c>
      <c r="D940" s="4" t="s">
        <v>2398</v>
      </c>
      <c r="E940" s="11" t="s">
        <v>4847</v>
      </c>
      <c r="F940" s="4" t="s">
        <v>2276</v>
      </c>
      <c r="G940" s="4" t="s">
        <v>6753</v>
      </c>
      <c r="H940" s="4" t="s">
        <v>6116</v>
      </c>
      <c r="I940" s="74">
        <f t="shared" si="14"/>
        <v>43.4</v>
      </c>
      <c r="J940" s="74">
        <f t="shared" si="15"/>
        <v>5.3666666666666663</v>
      </c>
      <c r="K940" s="75">
        <v>1680</v>
      </c>
      <c r="L940" s="4">
        <v>1990</v>
      </c>
      <c r="M940" s="4">
        <v>2007</v>
      </c>
      <c r="N940" s="75">
        <v>420</v>
      </c>
      <c r="O940" s="4" t="s">
        <v>67</v>
      </c>
      <c r="P940" s="3" t="s">
        <v>6187</v>
      </c>
      <c r="Q940" s="4" t="s">
        <v>6120</v>
      </c>
    </row>
    <row r="941" spans="1:17" ht="45.5" customHeight="1">
      <c r="A941" s="193">
        <v>261</v>
      </c>
      <c r="B941" s="41" t="s">
        <v>6121</v>
      </c>
      <c r="C941" s="4" t="s">
        <v>6158</v>
      </c>
      <c r="D941" s="4" t="s">
        <v>2398</v>
      </c>
      <c r="E941" s="11" t="s">
        <v>4847</v>
      </c>
      <c r="F941" s="4" t="s">
        <v>2276</v>
      </c>
      <c r="G941" s="4" t="s">
        <v>6753</v>
      </c>
      <c r="H941" s="4" t="s">
        <v>6116</v>
      </c>
      <c r="I941" s="74">
        <f t="shared" si="14"/>
        <v>43.4</v>
      </c>
      <c r="J941" s="74">
        <f t="shared" si="15"/>
        <v>5.3666666666666663</v>
      </c>
      <c r="K941" s="75">
        <v>1680</v>
      </c>
      <c r="L941" s="4">
        <v>1990</v>
      </c>
      <c r="M941" s="4">
        <v>2007</v>
      </c>
      <c r="N941" s="75">
        <v>420</v>
      </c>
      <c r="O941" s="4" t="s">
        <v>67</v>
      </c>
      <c r="P941" s="3" t="s">
        <v>6187</v>
      </c>
      <c r="Q941" s="4" t="s">
        <v>6122</v>
      </c>
    </row>
    <row r="942" spans="1:17" ht="45.5" customHeight="1">
      <c r="A942" s="193">
        <v>261</v>
      </c>
      <c r="B942" s="41" t="s">
        <v>6115</v>
      </c>
      <c r="C942" s="4" t="s">
        <v>6159</v>
      </c>
      <c r="D942" s="4" t="s">
        <v>2398</v>
      </c>
      <c r="E942" s="11" t="s">
        <v>4847</v>
      </c>
      <c r="F942" s="4" t="s">
        <v>2276</v>
      </c>
      <c r="G942" s="4" t="s">
        <v>6753</v>
      </c>
      <c r="H942" s="4" t="s">
        <v>6116</v>
      </c>
      <c r="I942" s="74">
        <f t="shared" si="14"/>
        <v>43.4</v>
      </c>
      <c r="J942" s="74">
        <f t="shared" si="15"/>
        <v>5.3666666666666663</v>
      </c>
      <c r="K942" s="75">
        <v>1680</v>
      </c>
      <c r="L942" s="4">
        <v>1990</v>
      </c>
      <c r="M942" s="4">
        <v>2007</v>
      </c>
      <c r="N942" s="75">
        <v>420</v>
      </c>
      <c r="O942" s="4" t="s">
        <v>67</v>
      </c>
      <c r="P942" s="3" t="s">
        <v>6187</v>
      </c>
      <c r="Q942" s="4" t="s">
        <v>6123</v>
      </c>
    </row>
    <row r="943" spans="1:17" ht="45.5" customHeight="1">
      <c r="A943" s="193">
        <v>262</v>
      </c>
      <c r="B943" s="41" t="s">
        <v>6124</v>
      </c>
      <c r="C943" s="4" t="s">
        <v>6160</v>
      </c>
      <c r="D943" s="4" t="s">
        <v>2398</v>
      </c>
      <c r="E943" s="4" t="s">
        <v>2399</v>
      </c>
      <c r="F943" s="4" t="s">
        <v>6125</v>
      </c>
      <c r="G943" s="4" t="s">
        <v>6126</v>
      </c>
      <c r="H943" s="4" t="s">
        <v>4942</v>
      </c>
      <c r="I943" s="74">
        <v>46.273333333333298</v>
      </c>
      <c r="J943" s="74">
        <v>7.8220000000000001</v>
      </c>
      <c r="K943" s="75">
        <v>257</v>
      </c>
      <c r="L943" s="4">
        <v>2005</v>
      </c>
      <c r="M943" s="4">
        <v>2009</v>
      </c>
      <c r="N943" s="75" t="s">
        <v>2276</v>
      </c>
      <c r="O943" s="4" t="s">
        <v>67</v>
      </c>
      <c r="P943" s="3" t="s">
        <v>6187</v>
      </c>
      <c r="Q943" s="4"/>
    </row>
    <row r="944" spans="1:17" ht="45.5" customHeight="1">
      <c r="A944" s="193">
        <v>263</v>
      </c>
      <c r="B944" s="41" t="s">
        <v>6127</v>
      </c>
      <c r="C944" s="4" t="s">
        <v>6161</v>
      </c>
      <c r="D944" s="4" t="s">
        <v>2398</v>
      </c>
      <c r="E944" s="11" t="s">
        <v>4847</v>
      </c>
      <c r="F944" s="4" t="s">
        <v>6128</v>
      </c>
      <c r="G944" s="4" t="s">
        <v>6113</v>
      </c>
      <c r="H944" s="4" t="s">
        <v>4314</v>
      </c>
      <c r="I944" s="74">
        <v>43.126083700000002</v>
      </c>
      <c r="J944" s="74">
        <v>-7.0688597</v>
      </c>
      <c r="K944" s="75">
        <f>139153/0.856/100</f>
        <v>1625.6191588785048</v>
      </c>
      <c r="L944" s="4">
        <v>1991</v>
      </c>
      <c r="M944" s="4">
        <v>2008</v>
      </c>
      <c r="N944" s="75" t="s">
        <v>2276</v>
      </c>
      <c r="O944" s="4" t="s">
        <v>67</v>
      </c>
      <c r="P944" s="3" t="s">
        <v>6187</v>
      </c>
      <c r="Q944" s="4"/>
    </row>
    <row r="945" spans="1:17" ht="45.5" customHeight="1">
      <c r="A945" s="193">
        <v>264</v>
      </c>
      <c r="B945" s="41" t="s">
        <v>6129</v>
      </c>
      <c r="C945" s="4" t="s">
        <v>6162</v>
      </c>
      <c r="D945" s="4" t="s">
        <v>2398</v>
      </c>
      <c r="E945" s="11" t="s">
        <v>2422</v>
      </c>
      <c r="F945" s="4" t="s">
        <v>2276</v>
      </c>
      <c r="G945" s="4" t="s">
        <v>6113</v>
      </c>
      <c r="H945" s="4" t="s">
        <v>4314</v>
      </c>
      <c r="I945" s="74">
        <v>42.799928600000001</v>
      </c>
      <c r="J945" s="74">
        <v>-8.0177344000000002</v>
      </c>
      <c r="K945" s="75">
        <v>29574</v>
      </c>
      <c r="L945" s="4">
        <v>2006</v>
      </c>
      <c r="M945" s="4">
        <v>2016</v>
      </c>
      <c r="N945" s="75">
        <v>92</v>
      </c>
      <c r="O945" s="4" t="s">
        <v>67</v>
      </c>
      <c r="P945" s="3" t="s">
        <v>6187</v>
      </c>
      <c r="Q945" s="4"/>
    </row>
    <row r="946" spans="1:17" ht="45.5" customHeight="1">
      <c r="A946" s="193">
        <v>265</v>
      </c>
      <c r="B946" s="41" t="s">
        <v>6130</v>
      </c>
      <c r="C946" s="4" t="s">
        <v>6163</v>
      </c>
      <c r="D946" s="4" t="s">
        <v>2398</v>
      </c>
      <c r="E946" s="4" t="s">
        <v>2422</v>
      </c>
      <c r="F946" s="4" t="s">
        <v>2276</v>
      </c>
      <c r="G946" s="4" t="s">
        <v>4941</v>
      </c>
      <c r="H946" s="4" t="s">
        <v>4942</v>
      </c>
      <c r="I946" s="74">
        <v>40.201500000000003</v>
      </c>
      <c r="J946" s="74">
        <v>9.0214999999999996</v>
      </c>
      <c r="K946" s="75">
        <v>24100</v>
      </c>
      <c r="L946" s="4">
        <v>1990</v>
      </c>
      <c r="M946" s="4">
        <v>2015</v>
      </c>
      <c r="N946" s="75">
        <f>1650000/K946</f>
        <v>68.46473029045643</v>
      </c>
      <c r="O946" s="4" t="s">
        <v>67</v>
      </c>
      <c r="P946" s="3" t="s">
        <v>6187</v>
      </c>
      <c r="Q946" s="4"/>
    </row>
    <row r="947" spans="1:17" ht="45.5" customHeight="1">
      <c r="A947" s="193">
        <v>265</v>
      </c>
      <c r="B947" s="41" t="s">
        <v>6130</v>
      </c>
      <c r="C947" s="4" t="s">
        <v>6164</v>
      </c>
      <c r="D947" s="4" t="s">
        <v>2398</v>
      </c>
      <c r="E947" s="4" t="s">
        <v>2422</v>
      </c>
      <c r="F947" s="4" t="s">
        <v>2276</v>
      </c>
      <c r="G947" s="4" t="s">
        <v>6131</v>
      </c>
      <c r="H947" s="4" t="s">
        <v>6116</v>
      </c>
      <c r="I947" s="74">
        <v>42.066000000000003</v>
      </c>
      <c r="J947" s="74">
        <v>9.0214999999999996</v>
      </c>
      <c r="K947" s="75">
        <v>8700</v>
      </c>
      <c r="L947" s="4">
        <v>1990</v>
      </c>
      <c r="M947" s="4">
        <v>2015</v>
      </c>
      <c r="N947" s="75">
        <f>330000/K947</f>
        <v>37.931034482758619</v>
      </c>
      <c r="O947" s="4" t="s">
        <v>67</v>
      </c>
      <c r="P947" s="3" t="s">
        <v>6187</v>
      </c>
      <c r="Q947" s="4"/>
    </row>
    <row r="948" spans="1:17" ht="45.5" customHeight="1">
      <c r="A948" s="193">
        <v>265</v>
      </c>
      <c r="B948" s="41" t="s">
        <v>6130</v>
      </c>
      <c r="C948" s="4" t="s">
        <v>6165</v>
      </c>
      <c r="D948" s="4" t="s">
        <v>2398</v>
      </c>
      <c r="E948" s="4" t="s">
        <v>2422</v>
      </c>
      <c r="F948" s="4" t="s">
        <v>2276</v>
      </c>
      <c r="G948" s="4" t="s">
        <v>6132</v>
      </c>
      <c r="H948" s="4" t="s">
        <v>4314</v>
      </c>
      <c r="I948" s="74">
        <v>41.985333333333301</v>
      </c>
      <c r="J948" s="74">
        <v>1.8681666666666701</v>
      </c>
      <c r="K948" s="75">
        <v>32100</v>
      </c>
      <c r="L948" s="4">
        <v>1990</v>
      </c>
      <c r="M948" s="4">
        <v>2015</v>
      </c>
      <c r="N948" s="75">
        <f>7500000/K948</f>
        <v>233.64485981308411</v>
      </c>
      <c r="O948" s="4" t="s">
        <v>67</v>
      </c>
      <c r="P948" s="3" t="s">
        <v>6187</v>
      </c>
      <c r="Q948" s="4"/>
    </row>
    <row r="949" spans="1:17" s="204" customFormat="1" ht="45.5" customHeight="1">
      <c r="A949" s="214">
        <v>266</v>
      </c>
      <c r="B949" s="215" t="s">
        <v>6871</v>
      </c>
      <c r="C949" s="19" t="s">
        <v>6166</v>
      </c>
      <c r="D949" s="4" t="s">
        <v>2398</v>
      </c>
      <c r="E949" s="4" t="s">
        <v>6873</v>
      </c>
      <c r="F949" s="4" t="s">
        <v>2276</v>
      </c>
      <c r="G949" s="19" t="s">
        <v>6872</v>
      </c>
      <c r="H949" s="19" t="s">
        <v>6112</v>
      </c>
      <c r="I949" s="74">
        <f>41+53/60</f>
        <v>41.883333333333333</v>
      </c>
      <c r="J949" s="74">
        <f>-8-33/60</f>
        <v>-8.5500000000000007</v>
      </c>
      <c r="K949" s="82">
        <f>3697/100</f>
        <v>36.97</v>
      </c>
      <c r="L949" s="19">
        <v>1980</v>
      </c>
      <c r="M949" s="19">
        <v>1996</v>
      </c>
      <c r="N949" s="75">
        <v>113</v>
      </c>
      <c r="O949" s="4" t="s">
        <v>67</v>
      </c>
      <c r="P949" s="11" t="s">
        <v>5187</v>
      </c>
      <c r="Q949" s="19"/>
    </row>
    <row r="950" spans="1:17" s="204" customFormat="1" ht="45.5" customHeight="1">
      <c r="A950" s="214">
        <v>266</v>
      </c>
      <c r="B950" s="215" t="s">
        <v>6871</v>
      </c>
      <c r="C950" s="19" t="s">
        <v>6167</v>
      </c>
      <c r="D950" s="4" t="s">
        <v>2398</v>
      </c>
      <c r="E950" s="4" t="s">
        <v>4847</v>
      </c>
      <c r="F950" s="4" t="s">
        <v>2276</v>
      </c>
      <c r="G950" s="19" t="s">
        <v>6872</v>
      </c>
      <c r="H950" s="19" t="s">
        <v>6112</v>
      </c>
      <c r="I950" s="74">
        <f>41+53/60</f>
        <v>41.883333333333333</v>
      </c>
      <c r="J950" s="74">
        <f>-8-33/60</f>
        <v>-8.5500000000000007</v>
      </c>
      <c r="K950" s="82">
        <v>2200</v>
      </c>
      <c r="L950" s="19">
        <v>1988</v>
      </c>
      <c r="M950" s="19">
        <v>1995</v>
      </c>
      <c r="N950" s="75">
        <v>113</v>
      </c>
      <c r="O950" s="4" t="s">
        <v>67</v>
      </c>
      <c r="P950" s="11" t="s">
        <v>5187</v>
      </c>
      <c r="Q950" s="19"/>
    </row>
    <row r="951" spans="1:17" ht="45.5" customHeight="1">
      <c r="A951" s="193">
        <v>267</v>
      </c>
      <c r="B951" s="41" t="s">
        <v>6133</v>
      </c>
      <c r="C951" s="4" t="s">
        <v>6168</v>
      </c>
      <c r="D951" s="4" t="s">
        <v>2398</v>
      </c>
      <c r="E951" s="4" t="s">
        <v>2422</v>
      </c>
      <c r="F951" s="4" t="s">
        <v>6134</v>
      </c>
      <c r="G951" s="4" t="s">
        <v>2276</v>
      </c>
      <c r="H951" s="4" t="s">
        <v>4314</v>
      </c>
      <c r="I951" s="82">
        <v>43.362000000000002</v>
      </c>
      <c r="J951" s="74">
        <v>-8.6858333333333295</v>
      </c>
      <c r="K951" s="75">
        <v>37.83</v>
      </c>
      <c r="L951" s="4">
        <v>2006</v>
      </c>
      <c r="M951" s="4">
        <v>2007</v>
      </c>
      <c r="N951" s="75" t="s">
        <v>2276</v>
      </c>
      <c r="O951" s="4" t="s">
        <v>67</v>
      </c>
      <c r="P951" s="205" t="s">
        <v>6187</v>
      </c>
      <c r="Q951" s="4"/>
    </row>
    <row r="952" spans="1:17" ht="45.5" customHeight="1">
      <c r="A952" s="193">
        <v>267</v>
      </c>
      <c r="B952" s="41" t="s">
        <v>6133</v>
      </c>
      <c r="C952" s="4" t="s">
        <v>6169</v>
      </c>
      <c r="D952" s="4" t="s">
        <v>2398</v>
      </c>
      <c r="E952" s="4" t="s">
        <v>2422</v>
      </c>
      <c r="F952" s="4" t="s">
        <v>6135</v>
      </c>
      <c r="G952" s="4" t="s">
        <v>2276</v>
      </c>
      <c r="H952" s="4" t="s">
        <v>4314</v>
      </c>
      <c r="I952" s="82">
        <v>43.009</v>
      </c>
      <c r="J952" s="74">
        <v>-7.9279999999999999</v>
      </c>
      <c r="K952" s="75">
        <v>329.8</v>
      </c>
      <c r="L952" s="4">
        <v>2006</v>
      </c>
      <c r="M952" s="4">
        <v>2007</v>
      </c>
      <c r="N952" s="75" t="s">
        <v>2276</v>
      </c>
      <c r="O952" s="4" t="s">
        <v>67</v>
      </c>
      <c r="P952" s="205" t="s">
        <v>6187</v>
      </c>
      <c r="Q952" s="4"/>
    </row>
    <row r="953" spans="1:17" ht="45.5" customHeight="1">
      <c r="A953" s="193">
        <v>267</v>
      </c>
      <c r="B953" s="41" t="s">
        <v>6133</v>
      </c>
      <c r="C953" s="4" t="s">
        <v>6170</v>
      </c>
      <c r="D953" s="4" t="s">
        <v>2398</v>
      </c>
      <c r="E953" s="4" t="s">
        <v>2422</v>
      </c>
      <c r="F953" s="4" t="s">
        <v>6136</v>
      </c>
      <c r="G953" s="4" t="s">
        <v>2276</v>
      </c>
      <c r="H953" s="4" t="s">
        <v>4314</v>
      </c>
      <c r="I953" s="82">
        <v>42.335000000000001</v>
      </c>
      <c r="J953" s="74">
        <v>-7.8639000000000001</v>
      </c>
      <c r="K953" s="75">
        <v>85.2</v>
      </c>
      <c r="L953" s="4">
        <v>2006</v>
      </c>
      <c r="M953" s="4">
        <v>2007</v>
      </c>
      <c r="N953" s="75" t="s">
        <v>2276</v>
      </c>
      <c r="O953" s="4" t="s">
        <v>67</v>
      </c>
      <c r="P953" s="205" t="s">
        <v>6187</v>
      </c>
      <c r="Q953" s="4"/>
    </row>
    <row r="954" spans="1:17" ht="45.5" customHeight="1">
      <c r="A954" s="193">
        <v>267</v>
      </c>
      <c r="B954" s="41" t="s">
        <v>6133</v>
      </c>
      <c r="C954" s="4" t="s">
        <v>6171</v>
      </c>
      <c r="D954" s="4" t="s">
        <v>2398</v>
      </c>
      <c r="E954" s="4" t="s">
        <v>2422</v>
      </c>
      <c r="F954" s="4" t="s">
        <v>6137</v>
      </c>
      <c r="G954" s="4" t="s">
        <v>2276</v>
      </c>
      <c r="H954" s="4" t="s">
        <v>4314</v>
      </c>
      <c r="I954" s="82">
        <v>42.429000000000002</v>
      </c>
      <c r="J954" s="74">
        <v>-8.6446000000000005</v>
      </c>
      <c r="K954" s="75">
        <v>118.2</v>
      </c>
      <c r="L954" s="4">
        <v>2006</v>
      </c>
      <c r="M954" s="4">
        <v>2007</v>
      </c>
      <c r="N954" s="75" t="s">
        <v>2276</v>
      </c>
      <c r="O954" s="4" t="s">
        <v>67</v>
      </c>
      <c r="P954" s="205" t="s">
        <v>6187</v>
      </c>
      <c r="Q954" s="4"/>
    </row>
    <row r="955" spans="1:17" ht="45.5" customHeight="1">
      <c r="A955" s="193">
        <v>267</v>
      </c>
      <c r="B955" s="41" t="s">
        <v>6133</v>
      </c>
      <c r="C955" s="4" t="s">
        <v>6172</v>
      </c>
      <c r="D955" s="4" t="s">
        <v>2398</v>
      </c>
      <c r="E955" s="4" t="s">
        <v>2422</v>
      </c>
      <c r="F955" s="4" t="s">
        <v>6138</v>
      </c>
      <c r="G955" s="4" t="s">
        <v>2276</v>
      </c>
      <c r="H955" s="4" t="s">
        <v>4314</v>
      </c>
      <c r="I955" s="82">
        <v>43.360999999999997</v>
      </c>
      <c r="J955" s="74">
        <v>-5.8593000000000002</v>
      </c>
      <c r="K955" s="75">
        <v>10604</v>
      </c>
      <c r="L955" s="4">
        <v>2006</v>
      </c>
      <c r="M955" s="4">
        <v>2007</v>
      </c>
      <c r="N955" s="75" t="s">
        <v>2276</v>
      </c>
      <c r="O955" s="4" t="s">
        <v>67</v>
      </c>
      <c r="P955" s="205" t="s">
        <v>6187</v>
      </c>
      <c r="Q955" s="4"/>
    </row>
    <row r="956" spans="1:17" ht="45.5" customHeight="1">
      <c r="A956" s="193">
        <v>267</v>
      </c>
      <c r="B956" s="41" t="s">
        <v>6133</v>
      </c>
      <c r="C956" s="4" t="s">
        <v>6173</v>
      </c>
      <c r="D956" s="4" t="s">
        <v>2398</v>
      </c>
      <c r="E956" s="4" t="s">
        <v>2422</v>
      </c>
      <c r="F956" s="4" t="s">
        <v>6139</v>
      </c>
      <c r="G956" s="4" t="s">
        <v>2276</v>
      </c>
      <c r="H956" s="4" t="s">
        <v>4314</v>
      </c>
      <c r="I956" s="82">
        <v>43.182000000000002</v>
      </c>
      <c r="J956" s="74">
        <v>-3.9878</v>
      </c>
      <c r="K956" s="75">
        <v>5321</v>
      </c>
      <c r="L956" s="4">
        <v>2006</v>
      </c>
      <c r="M956" s="4">
        <v>2007</v>
      </c>
      <c r="N956" s="75" t="s">
        <v>2276</v>
      </c>
      <c r="O956" s="4" t="s">
        <v>67</v>
      </c>
      <c r="P956" s="205" t="s">
        <v>6187</v>
      </c>
      <c r="Q956" s="4"/>
    </row>
    <row r="957" spans="1:17" ht="45.5" customHeight="1">
      <c r="A957" s="193">
        <v>267</v>
      </c>
      <c r="B957" s="41" t="s">
        <v>6133</v>
      </c>
      <c r="C957" s="4" t="s">
        <v>6174</v>
      </c>
      <c r="D957" s="4" t="s">
        <v>2398</v>
      </c>
      <c r="E957" s="4" t="s">
        <v>2422</v>
      </c>
      <c r="F957" s="4" t="s">
        <v>6140</v>
      </c>
      <c r="G957" s="4" t="s">
        <v>2276</v>
      </c>
      <c r="H957" s="4" t="s">
        <v>4314</v>
      </c>
      <c r="I957" s="82">
        <v>42.597999999999999</v>
      </c>
      <c r="J957" s="74">
        <v>-5.9451666666666698</v>
      </c>
      <c r="K957" s="75">
        <v>39.03</v>
      </c>
      <c r="L957" s="4">
        <v>2006</v>
      </c>
      <c r="M957" s="4">
        <v>2007</v>
      </c>
      <c r="N957" s="75" t="s">
        <v>2276</v>
      </c>
      <c r="O957" s="4" t="s">
        <v>67</v>
      </c>
      <c r="P957" s="205" t="s">
        <v>6187</v>
      </c>
      <c r="Q957" s="4"/>
    </row>
    <row r="958" spans="1:17" ht="45.5" customHeight="1">
      <c r="A958" s="193">
        <v>267</v>
      </c>
      <c r="B958" s="41" t="s">
        <v>6133</v>
      </c>
      <c r="C958" s="4" t="s">
        <v>6175</v>
      </c>
      <c r="D958" s="4" t="s">
        <v>2398</v>
      </c>
      <c r="E958" s="4" t="s">
        <v>2422</v>
      </c>
      <c r="F958" s="4" t="s">
        <v>6141</v>
      </c>
      <c r="G958" s="4" t="s">
        <v>2276</v>
      </c>
      <c r="H958" s="4" t="s">
        <v>4314</v>
      </c>
      <c r="I958" s="82">
        <v>41.503</v>
      </c>
      <c r="J958" s="74">
        <v>-5.7468000000000004</v>
      </c>
      <c r="K958" s="75">
        <v>149.30000000000001</v>
      </c>
      <c r="L958" s="4">
        <v>2006</v>
      </c>
      <c r="M958" s="4">
        <v>2007</v>
      </c>
      <c r="N958" s="75" t="s">
        <v>2276</v>
      </c>
      <c r="O958" s="4" t="s">
        <v>67</v>
      </c>
      <c r="P958" s="205" t="s">
        <v>6187</v>
      </c>
      <c r="Q958" s="4"/>
    </row>
    <row r="959" spans="1:17" ht="45.5" customHeight="1">
      <c r="A959" s="193">
        <v>267</v>
      </c>
      <c r="B959" s="41" t="s">
        <v>6133</v>
      </c>
      <c r="C959" s="4" t="s">
        <v>6176</v>
      </c>
      <c r="D959" s="4" t="s">
        <v>2398</v>
      </c>
      <c r="E959" s="4" t="s">
        <v>2422</v>
      </c>
      <c r="F959" s="4" t="s">
        <v>6142</v>
      </c>
      <c r="G959" s="4" t="s">
        <v>2276</v>
      </c>
      <c r="H959" s="4" t="s">
        <v>4314</v>
      </c>
      <c r="I959" s="82">
        <v>40.655999999999999</v>
      </c>
      <c r="J959" s="74">
        <v>-4.6811999999999996</v>
      </c>
      <c r="K959" s="75">
        <v>231.9</v>
      </c>
      <c r="L959" s="4">
        <v>2006</v>
      </c>
      <c r="M959" s="4">
        <v>2007</v>
      </c>
      <c r="N959" s="75" t="s">
        <v>2276</v>
      </c>
      <c r="O959" s="4" t="s">
        <v>67</v>
      </c>
      <c r="P959" s="205" t="s">
        <v>6187</v>
      </c>
      <c r="Q959" s="4"/>
    </row>
    <row r="960" spans="1:17" ht="45.5" customHeight="1">
      <c r="A960" s="193">
        <v>267</v>
      </c>
      <c r="B960" s="41" t="s">
        <v>6133</v>
      </c>
      <c r="C960" s="4" t="s">
        <v>6177</v>
      </c>
      <c r="D960" s="4" t="s">
        <v>2398</v>
      </c>
      <c r="E960" s="4" t="s">
        <v>2422</v>
      </c>
      <c r="F960" s="4" t="s">
        <v>6143</v>
      </c>
      <c r="G960" s="4" t="s">
        <v>2276</v>
      </c>
      <c r="H960" s="4" t="s">
        <v>4314</v>
      </c>
      <c r="I960" s="82">
        <v>42.695</v>
      </c>
      <c r="J960" s="74">
        <v>-1.6760999999999999</v>
      </c>
      <c r="K960" s="75">
        <v>10391</v>
      </c>
      <c r="L960" s="4">
        <v>2006</v>
      </c>
      <c r="M960" s="4">
        <v>2007</v>
      </c>
      <c r="N960" s="75" t="s">
        <v>2276</v>
      </c>
      <c r="O960" s="4" t="s">
        <v>67</v>
      </c>
      <c r="P960" s="205" t="s">
        <v>6187</v>
      </c>
      <c r="Q960" s="4"/>
    </row>
    <row r="961" spans="1:17" ht="45.5" customHeight="1">
      <c r="A961" s="193">
        <v>267</v>
      </c>
      <c r="B961" s="41" t="s">
        <v>6133</v>
      </c>
      <c r="C961" s="4" t="s">
        <v>6178</v>
      </c>
      <c r="D961" s="4" t="s">
        <v>2398</v>
      </c>
      <c r="E961" s="4" t="s">
        <v>2422</v>
      </c>
      <c r="F961" s="4" t="s">
        <v>6144</v>
      </c>
      <c r="G961" s="4" t="s">
        <v>2276</v>
      </c>
      <c r="H961" s="4" t="s">
        <v>4314</v>
      </c>
      <c r="I961" s="82">
        <v>42.131</v>
      </c>
      <c r="J961" s="74">
        <v>0.67966666666666697</v>
      </c>
      <c r="K961" s="75">
        <v>161</v>
      </c>
      <c r="L961" s="4">
        <v>2006</v>
      </c>
      <c r="M961" s="4">
        <v>2007</v>
      </c>
      <c r="N961" s="75" t="s">
        <v>2276</v>
      </c>
      <c r="O961" s="4" t="s">
        <v>67</v>
      </c>
      <c r="P961" s="205" t="s">
        <v>6187</v>
      </c>
      <c r="Q961" s="4"/>
    </row>
    <row r="962" spans="1:17" ht="45.5" customHeight="1">
      <c r="A962" s="193">
        <v>267</v>
      </c>
      <c r="B962" s="41" t="s">
        <v>6133</v>
      </c>
      <c r="C962" s="4" t="s">
        <v>6179</v>
      </c>
      <c r="D962" s="4" t="s">
        <v>2398</v>
      </c>
      <c r="E962" s="4" t="s">
        <v>2422</v>
      </c>
      <c r="F962" s="4" t="s">
        <v>6145</v>
      </c>
      <c r="G962" s="4" t="s">
        <v>2276</v>
      </c>
      <c r="H962" s="4" t="s">
        <v>4314</v>
      </c>
      <c r="I962" s="82">
        <v>39.475000000000001</v>
      </c>
      <c r="J962" s="74">
        <v>-6.6206666666666703</v>
      </c>
      <c r="K962" s="75">
        <v>1750</v>
      </c>
      <c r="L962" s="4">
        <v>2006</v>
      </c>
      <c r="M962" s="4">
        <v>2007</v>
      </c>
      <c r="N962" s="75" t="s">
        <v>2276</v>
      </c>
      <c r="O962" s="4" t="s">
        <v>67</v>
      </c>
      <c r="P962" s="205" t="s">
        <v>6187</v>
      </c>
      <c r="Q962" s="4"/>
    </row>
    <row r="963" spans="1:17" s="204" customFormat="1" ht="45.5" customHeight="1">
      <c r="A963" s="214">
        <v>268</v>
      </c>
      <c r="B963" s="215" t="s">
        <v>6878</v>
      </c>
      <c r="C963" s="19" t="s">
        <v>6180</v>
      </c>
      <c r="D963" s="4" t="s">
        <v>2398</v>
      </c>
      <c r="E963" s="4" t="s">
        <v>2400</v>
      </c>
      <c r="F963" s="19" t="s">
        <v>6880</v>
      </c>
      <c r="G963" s="4" t="s">
        <v>2276</v>
      </c>
      <c r="H963" s="19" t="s">
        <v>6879</v>
      </c>
      <c r="I963" s="82">
        <v>46.091164999999997</v>
      </c>
      <c r="J963" s="74">
        <v>15.9262975</v>
      </c>
      <c r="K963" s="82">
        <v>1224</v>
      </c>
      <c r="L963" s="19">
        <v>1991</v>
      </c>
      <c r="M963" s="19">
        <v>2011</v>
      </c>
      <c r="N963" s="75">
        <f>133000/K963</f>
        <v>108.66013071895425</v>
      </c>
      <c r="O963" s="4" t="s">
        <v>67</v>
      </c>
      <c r="P963" s="205" t="s">
        <v>5187</v>
      </c>
      <c r="Q963" s="19"/>
    </row>
    <row r="964" spans="1:17" ht="45.5" customHeight="1">
      <c r="A964" s="214">
        <v>269</v>
      </c>
      <c r="B964" s="215" t="s">
        <v>6881</v>
      </c>
      <c r="C964" s="19" t="s">
        <v>6181</v>
      </c>
      <c r="D964" s="19" t="s">
        <v>2398</v>
      </c>
      <c r="E964" s="11" t="s">
        <v>2636</v>
      </c>
      <c r="F964" s="19" t="s">
        <v>6882</v>
      </c>
      <c r="G964" s="4" t="s">
        <v>2276</v>
      </c>
      <c r="H964" s="19" t="s">
        <v>4051</v>
      </c>
      <c r="I964" s="21">
        <v>38.683346999999998</v>
      </c>
      <c r="J964" s="21">
        <v>22.023790300000002</v>
      </c>
      <c r="K964" s="82">
        <f>56000/100</f>
        <v>560</v>
      </c>
      <c r="L964" s="19">
        <v>2000</v>
      </c>
      <c r="M964" s="19">
        <v>2000</v>
      </c>
      <c r="N964" s="82">
        <v>8</v>
      </c>
      <c r="O964" s="4" t="s">
        <v>67</v>
      </c>
      <c r="P964" s="205" t="s">
        <v>5187</v>
      </c>
      <c r="Q964" s="19"/>
    </row>
    <row r="965" spans="1:17" s="204" customFormat="1" ht="45.5" customHeight="1">
      <c r="A965" s="214">
        <v>269</v>
      </c>
      <c r="B965" s="215" t="s">
        <v>6881</v>
      </c>
      <c r="C965" s="19" t="s">
        <v>6883</v>
      </c>
      <c r="D965" s="19" t="s">
        <v>2398</v>
      </c>
      <c r="E965" s="11" t="s">
        <v>2636</v>
      </c>
      <c r="F965" s="19" t="s">
        <v>6906</v>
      </c>
      <c r="G965" s="4" t="s">
        <v>2276</v>
      </c>
      <c r="H965" s="19" t="s">
        <v>4051</v>
      </c>
      <c r="I965" s="21">
        <v>35.25</v>
      </c>
      <c r="J965" s="21">
        <v>25.15</v>
      </c>
      <c r="K965" s="82">
        <f>45000/100</f>
        <v>450</v>
      </c>
      <c r="L965" s="19">
        <v>2000</v>
      </c>
      <c r="M965" s="19">
        <v>2000</v>
      </c>
      <c r="N965" s="82">
        <v>59</v>
      </c>
      <c r="O965" s="4" t="s">
        <v>67</v>
      </c>
      <c r="P965" s="205" t="s">
        <v>5187</v>
      </c>
      <c r="Q965" s="19"/>
    </row>
    <row r="966" spans="1:17" s="204" customFormat="1" ht="45.5" customHeight="1">
      <c r="A966" s="214">
        <v>269</v>
      </c>
      <c r="B966" s="215" t="s">
        <v>6881</v>
      </c>
      <c r="C966" s="19" t="s">
        <v>6884</v>
      </c>
      <c r="D966" s="19" t="s">
        <v>2398</v>
      </c>
      <c r="E966" s="11" t="s">
        <v>2636</v>
      </c>
      <c r="F966" s="19" t="s">
        <v>6907</v>
      </c>
      <c r="G966" s="4" t="s">
        <v>6908</v>
      </c>
      <c r="H966" s="19" t="s">
        <v>6116</v>
      </c>
      <c r="I966" s="21">
        <v>42.882364872224102</v>
      </c>
      <c r="J966" s="21">
        <v>2.59374381836796</v>
      </c>
      <c r="K966" s="82">
        <f>250000/100</f>
        <v>2500</v>
      </c>
      <c r="L966" s="19">
        <v>2000</v>
      </c>
      <c r="M966" s="19">
        <v>2000</v>
      </c>
      <c r="N966" s="82">
        <v>13</v>
      </c>
      <c r="O966" s="4" t="s">
        <v>67</v>
      </c>
      <c r="P966" s="205" t="s">
        <v>5187</v>
      </c>
      <c r="Q966" s="19"/>
    </row>
    <row r="967" spans="1:17" s="204" customFormat="1" ht="45.5" customHeight="1">
      <c r="A967" s="214">
        <v>269</v>
      </c>
      <c r="B967" s="215" t="s">
        <v>6881</v>
      </c>
      <c r="C967" s="19" t="s">
        <v>6885</v>
      </c>
      <c r="D967" s="19" t="s">
        <v>2398</v>
      </c>
      <c r="E967" s="11" t="s">
        <v>2636</v>
      </c>
      <c r="F967" s="19" t="s">
        <v>6909</v>
      </c>
      <c r="G967" s="4" t="s">
        <v>2276</v>
      </c>
      <c r="H967" s="4" t="s">
        <v>4942</v>
      </c>
      <c r="I967" s="21">
        <v>42.192011899999997</v>
      </c>
      <c r="J967" s="21">
        <v>13.728916699999999</v>
      </c>
      <c r="K967" s="82">
        <f>190000/100</f>
        <v>1900</v>
      </c>
      <c r="L967" s="19">
        <v>2000</v>
      </c>
      <c r="M967" s="19">
        <v>2000</v>
      </c>
      <c r="N967" s="82">
        <v>30</v>
      </c>
      <c r="O967" s="4" t="s">
        <v>67</v>
      </c>
      <c r="P967" s="205" t="s">
        <v>5187</v>
      </c>
      <c r="Q967" s="19"/>
    </row>
    <row r="968" spans="1:17" s="204" customFormat="1" ht="45.5" customHeight="1">
      <c r="A968" s="214">
        <v>269</v>
      </c>
      <c r="B968" s="215" t="s">
        <v>6881</v>
      </c>
      <c r="C968" s="19" t="s">
        <v>6886</v>
      </c>
      <c r="D968" s="19" t="s">
        <v>2398</v>
      </c>
      <c r="E968" s="11" t="s">
        <v>2636</v>
      </c>
      <c r="F968" s="19" t="s">
        <v>6910</v>
      </c>
      <c r="G968" s="4" t="s">
        <v>2276</v>
      </c>
      <c r="H968" s="4" t="s">
        <v>4942</v>
      </c>
      <c r="I968" s="21">
        <v>40.643076600000001</v>
      </c>
      <c r="J968" s="21">
        <v>15.9699878</v>
      </c>
      <c r="K968" s="82">
        <f>201000/100</f>
        <v>2010</v>
      </c>
      <c r="L968" s="19">
        <v>2000</v>
      </c>
      <c r="M968" s="19">
        <v>2000</v>
      </c>
      <c r="N968" s="82">
        <v>54</v>
      </c>
      <c r="O968" s="4" t="s">
        <v>67</v>
      </c>
      <c r="P968" s="205" t="s">
        <v>5187</v>
      </c>
      <c r="Q968" s="19"/>
    </row>
    <row r="969" spans="1:17" s="204" customFormat="1" ht="45.5" customHeight="1">
      <c r="A969" s="214">
        <v>269</v>
      </c>
      <c r="B969" s="215" t="s">
        <v>6881</v>
      </c>
      <c r="C969" s="19" t="s">
        <v>6887</v>
      </c>
      <c r="D969" s="19" t="s">
        <v>2398</v>
      </c>
      <c r="E969" s="11" t="s">
        <v>2636</v>
      </c>
      <c r="F969" s="19" t="s">
        <v>6911</v>
      </c>
      <c r="G969" s="4" t="s">
        <v>2276</v>
      </c>
      <c r="H969" s="19" t="s">
        <v>4314</v>
      </c>
      <c r="I969" s="21">
        <v>37.083300100000002</v>
      </c>
      <c r="J969" s="21">
        <v>-3.0666983999999999</v>
      </c>
      <c r="K969" s="82">
        <f>70000/100</f>
        <v>700</v>
      </c>
      <c r="L969" s="19">
        <v>2000</v>
      </c>
      <c r="M969" s="19">
        <v>2000</v>
      </c>
      <c r="N969" s="82">
        <v>65</v>
      </c>
      <c r="O969" s="4" t="s">
        <v>67</v>
      </c>
      <c r="P969" s="205" t="s">
        <v>5187</v>
      </c>
      <c r="Q969" s="19"/>
    </row>
    <row r="970" spans="1:17" s="204" customFormat="1" ht="45.5" customHeight="1">
      <c r="A970" s="214">
        <v>269</v>
      </c>
      <c r="B970" s="215" t="s">
        <v>6881</v>
      </c>
      <c r="C970" s="19" t="s">
        <v>6888</v>
      </c>
      <c r="D970" s="19" t="s">
        <v>2398</v>
      </c>
      <c r="E970" s="11" t="s">
        <v>2636</v>
      </c>
      <c r="F970" s="19" t="s">
        <v>6912</v>
      </c>
      <c r="G970" s="4" t="s">
        <v>2276</v>
      </c>
      <c r="H970" s="19" t="s">
        <v>6112</v>
      </c>
      <c r="I970" s="21">
        <v>41.486120300000003</v>
      </c>
      <c r="J970" s="21">
        <v>-7.1787644000000004</v>
      </c>
      <c r="K970" s="82">
        <f>340000/100</f>
        <v>3400</v>
      </c>
      <c r="L970" s="19">
        <v>2000</v>
      </c>
      <c r="M970" s="19">
        <v>2000</v>
      </c>
      <c r="N970" s="82">
        <v>27</v>
      </c>
      <c r="O970" s="4" t="s">
        <v>67</v>
      </c>
      <c r="P970" s="205" t="s">
        <v>5187</v>
      </c>
      <c r="Q970" s="19"/>
    </row>
    <row r="971" spans="1:17" s="204" customFormat="1" ht="45.5" customHeight="1">
      <c r="A971" s="214">
        <v>269</v>
      </c>
      <c r="B971" s="215" t="s">
        <v>6881</v>
      </c>
      <c r="C971" s="19" t="s">
        <v>6889</v>
      </c>
      <c r="D971" s="19" t="s">
        <v>2398</v>
      </c>
      <c r="E971" s="11" t="s">
        <v>2636</v>
      </c>
      <c r="F971" s="19" t="s">
        <v>6913</v>
      </c>
      <c r="G971" s="4" t="s">
        <v>2276</v>
      </c>
      <c r="H971" s="19" t="s">
        <v>5091</v>
      </c>
      <c r="I971" s="21">
        <v>64.201952800000001</v>
      </c>
      <c r="J971" s="21">
        <v>19.718870200000001</v>
      </c>
      <c r="K971" s="82">
        <f>265000/100</f>
        <v>2650</v>
      </c>
      <c r="L971" s="19">
        <v>2000</v>
      </c>
      <c r="M971" s="19">
        <v>2000</v>
      </c>
      <c r="N971" s="82">
        <v>2</v>
      </c>
      <c r="O971" s="4" t="s">
        <v>67</v>
      </c>
      <c r="P971" s="205" t="s">
        <v>5187</v>
      </c>
      <c r="Q971" s="19"/>
    </row>
    <row r="972" spans="1:17" s="204" customFormat="1" ht="45.5" customHeight="1">
      <c r="A972" s="214">
        <v>269</v>
      </c>
      <c r="B972" s="215" t="s">
        <v>6881</v>
      </c>
      <c r="C972" s="19" t="s">
        <v>6890</v>
      </c>
      <c r="D972" s="19" t="s">
        <v>2398</v>
      </c>
      <c r="E972" s="11" t="s">
        <v>2636</v>
      </c>
      <c r="F972" s="19" t="s">
        <v>6914</v>
      </c>
      <c r="G972" s="4" t="s">
        <v>2276</v>
      </c>
      <c r="H972" s="19" t="s">
        <v>6915</v>
      </c>
      <c r="I972" s="21">
        <v>63.064316499999997</v>
      </c>
      <c r="J972" s="21">
        <v>28.322957899999999</v>
      </c>
      <c r="K972" s="82">
        <f>1999000/100</f>
        <v>19990</v>
      </c>
      <c r="L972" s="19">
        <v>2000</v>
      </c>
      <c r="M972" s="19">
        <v>2000</v>
      </c>
      <c r="N972" s="82">
        <v>14</v>
      </c>
      <c r="O972" s="4" t="s">
        <v>67</v>
      </c>
      <c r="P972" s="205" t="s">
        <v>5187</v>
      </c>
      <c r="Q972" s="19"/>
    </row>
    <row r="973" spans="1:17" s="204" customFormat="1" ht="45.5" customHeight="1">
      <c r="A973" s="214">
        <v>269</v>
      </c>
      <c r="B973" s="215" t="s">
        <v>6881</v>
      </c>
      <c r="C973" s="19" t="s">
        <v>6891</v>
      </c>
      <c r="D973" s="19" t="s">
        <v>2398</v>
      </c>
      <c r="E973" s="11" t="s">
        <v>2636</v>
      </c>
      <c r="F973" s="19" t="s">
        <v>6916</v>
      </c>
      <c r="G973" s="4" t="s">
        <v>2276</v>
      </c>
      <c r="H973" s="19" t="s">
        <v>6917</v>
      </c>
      <c r="I973" s="21">
        <v>47.075139200000002</v>
      </c>
      <c r="J973" s="21">
        <v>10.6642951</v>
      </c>
      <c r="K973" s="82">
        <f>335000/100</f>
        <v>3350</v>
      </c>
      <c r="L973" s="19">
        <v>2000</v>
      </c>
      <c r="M973" s="19">
        <v>2000</v>
      </c>
      <c r="N973" s="82">
        <v>26</v>
      </c>
      <c r="O973" s="4" t="s">
        <v>67</v>
      </c>
      <c r="P973" s="205" t="s">
        <v>5187</v>
      </c>
      <c r="Q973" s="19"/>
    </row>
    <row r="974" spans="1:17" s="204" customFormat="1" ht="45.5" customHeight="1">
      <c r="A974" s="214">
        <v>269</v>
      </c>
      <c r="B974" s="215" t="s">
        <v>6881</v>
      </c>
      <c r="C974" s="19" t="s">
        <v>6892</v>
      </c>
      <c r="D974" s="19" t="s">
        <v>2398</v>
      </c>
      <c r="E974" s="11" t="s">
        <v>2636</v>
      </c>
      <c r="F974" s="19" t="s">
        <v>6918</v>
      </c>
      <c r="G974" s="4" t="s">
        <v>2276</v>
      </c>
      <c r="H974" s="19" t="s">
        <v>6925</v>
      </c>
      <c r="I974" s="21">
        <v>46.2840104</v>
      </c>
      <c r="J974" s="21">
        <v>13.8594144</v>
      </c>
      <c r="K974" s="82">
        <f>84000/100</f>
        <v>840</v>
      </c>
      <c r="L974" s="19">
        <v>2000</v>
      </c>
      <c r="M974" s="19">
        <v>2000</v>
      </c>
      <c r="N974" s="82">
        <v>22</v>
      </c>
      <c r="O974" s="4" t="s">
        <v>67</v>
      </c>
      <c r="P974" s="205" t="s">
        <v>5187</v>
      </c>
      <c r="Q974" s="19"/>
    </row>
    <row r="975" spans="1:17" s="204" customFormat="1" ht="45.5" customHeight="1">
      <c r="A975" s="214">
        <v>269</v>
      </c>
      <c r="B975" s="215" t="s">
        <v>6881</v>
      </c>
      <c r="C975" s="19" t="s">
        <v>6893</v>
      </c>
      <c r="D975" s="19" t="s">
        <v>2398</v>
      </c>
      <c r="E975" s="11" t="s">
        <v>2636</v>
      </c>
      <c r="F975" s="19" t="s">
        <v>6935</v>
      </c>
      <c r="G975" s="4" t="s">
        <v>6936</v>
      </c>
      <c r="H975" s="19" t="s">
        <v>4942</v>
      </c>
      <c r="I975" s="21">
        <v>46.1666667</v>
      </c>
      <c r="J975" s="21">
        <v>11.25</v>
      </c>
      <c r="K975" s="82">
        <f>15000/100</f>
        <v>150</v>
      </c>
      <c r="L975" s="19">
        <v>2000</v>
      </c>
      <c r="M975" s="19">
        <v>2000</v>
      </c>
      <c r="N975" s="82">
        <v>69</v>
      </c>
      <c r="O975" s="4" t="s">
        <v>67</v>
      </c>
      <c r="P975" s="205" t="s">
        <v>5187</v>
      </c>
      <c r="Q975" s="19"/>
    </row>
    <row r="976" spans="1:17" s="204" customFormat="1" ht="45.5" customHeight="1">
      <c r="A976" s="214">
        <v>269</v>
      </c>
      <c r="B976" s="215" t="s">
        <v>6881</v>
      </c>
      <c r="C976" s="19" t="s">
        <v>6894</v>
      </c>
      <c r="D976" s="19" t="s">
        <v>2398</v>
      </c>
      <c r="E976" s="11" t="s">
        <v>2636</v>
      </c>
      <c r="F976" s="19" t="s">
        <v>6919</v>
      </c>
      <c r="G976" s="4" t="s">
        <v>2276</v>
      </c>
      <c r="H976" s="19" t="s">
        <v>6921</v>
      </c>
      <c r="I976" s="21">
        <v>47.3161925</v>
      </c>
      <c r="J976" s="21">
        <v>9.4316572999999995</v>
      </c>
      <c r="K976" s="82">
        <f>24000/100</f>
        <v>240</v>
      </c>
      <c r="L976" s="19">
        <v>2000</v>
      </c>
      <c r="M976" s="19">
        <v>2000</v>
      </c>
      <c r="N976" s="82">
        <v>224</v>
      </c>
      <c r="O976" s="4" t="s">
        <v>67</v>
      </c>
      <c r="P976" s="205" t="s">
        <v>5187</v>
      </c>
      <c r="Q976" s="19"/>
    </row>
    <row r="977" spans="1:17" s="204" customFormat="1" ht="45.5" customHeight="1">
      <c r="A977" s="214">
        <v>269</v>
      </c>
      <c r="B977" s="215" t="s">
        <v>6881</v>
      </c>
      <c r="C977" s="19" t="s">
        <v>6895</v>
      </c>
      <c r="D977" s="19" t="s">
        <v>2398</v>
      </c>
      <c r="E977" s="11" t="s">
        <v>2636</v>
      </c>
      <c r="F977" s="19" t="s">
        <v>6920</v>
      </c>
      <c r="G977" s="4" t="s">
        <v>2276</v>
      </c>
      <c r="H977" s="19" t="s">
        <v>6922</v>
      </c>
      <c r="I977" s="21">
        <v>47.539197100000003</v>
      </c>
      <c r="J977" s="21">
        <v>10.284401600000001</v>
      </c>
      <c r="K977" s="82">
        <f>153000/100</f>
        <v>1530</v>
      </c>
      <c r="L977" s="19">
        <v>2000</v>
      </c>
      <c r="M977" s="19">
        <v>2000</v>
      </c>
      <c r="N977" s="82">
        <v>94</v>
      </c>
      <c r="O977" s="4" t="s">
        <v>67</v>
      </c>
      <c r="P977" s="205" t="s">
        <v>5187</v>
      </c>
      <c r="Q977" s="19"/>
    </row>
    <row r="978" spans="1:17" s="204" customFormat="1" ht="45.5" customHeight="1">
      <c r="A978" s="214">
        <v>269</v>
      </c>
      <c r="B978" s="215" t="s">
        <v>6881</v>
      </c>
      <c r="C978" s="19" t="s">
        <v>6896</v>
      </c>
      <c r="D978" s="19" t="s">
        <v>2398</v>
      </c>
      <c r="E978" s="11" t="s">
        <v>2636</v>
      </c>
      <c r="F978" s="19" t="s">
        <v>6924</v>
      </c>
      <c r="G978" s="4" t="s">
        <v>6923</v>
      </c>
      <c r="H978" s="19" t="s">
        <v>6116</v>
      </c>
      <c r="I978" s="21">
        <v>45.717104900000002</v>
      </c>
      <c r="J978" s="21">
        <v>6.5742919999999998</v>
      </c>
      <c r="K978" s="82">
        <f>3890</f>
        <v>3890</v>
      </c>
      <c r="L978" s="19">
        <v>2000</v>
      </c>
      <c r="M978" s="19">
        <v>2000</v>
      </c>
      <c r="N978" s="82">
        <v>22</v>
      </c>
      <c r="O978" s="4" t="s">
        <v>67</v>
      </c>
      <c r="P978" s="205" t="s">
        <v>5187</v>
      </c>
      <c r="Q978" s="19"/>
    </row>
    <row r="979" spans="1:17" s="204" customFormat="1" ht="45.5" customHeight="1">
      <c r="A979" s="214">
        <v>269</v>
      </c>
      <c r="B979" s="215" t="s">
        <v>6881</v>
      </c>
      <c r="C979" s="19" t="s">
        <v>6897</v>
      </c>
      <c r="D979" s="19" t="s">
        <v>2398</v>
      </c>
      <c r="E979" s="11" t="s">
        <v>2636</v>
      </c>
      <c r="F979" s="19" t="s">
        <v>6926</v>
      </c>
      <c r="G979" s="4" t="s">
        <v>2276</v>
      </c>
      <c r="H979" s="19" t="s">
        <v>4942</v>
      </c>
      <c r="I979" s="21">
        <v>45.738887800000001</v>
      </c>
      <c r="J979" s="21">
        <v>7.4261866000000003</v>
      </c>
      <c r="K979" s="82">
        <v>3260</v>
      </c>
      <c r="L979" s="19">
        <v>2000</v>
      </c>
      <c r="M979" s="19">
        <v>2000</v>
      </c>
      <c r="N979" s="82">
        <v>36</v>
      </c>
      <c r="O979" s="4" t="s">
        <v>67</v>
      </c>
      <c r="P979" s="205" t="s">
        <v>5187</v>
      </c>
      <c r="Q979" s="19"/>
    </row>
    <row r="980" spans="1:17" s="204" customFormat="1" ht="45.5" customHeight="1">
      <c r="A980" s="214">
        <v>269</v>
      </c>
      <c r="B980" s="215" t="s">
        <v>6881</v>
      </c>
      <c r="C980" s="19" t="s">
        <v>6898</v>
      </c>
      <c r="D980" s="19" t="s">
        <v>2398</v>
      </c>
      <c r="E980" s="11" t="s">
        <v>2636</v>
      </c>
      <c r="F980" s="19" t="s">
        <v>6927</v>
      </c>
      <c r="G980" s="4" t="s">
        <v>2276</v>
      </c>
      <c r="H980" s="19" t="s">
        <v>6921</v>
      </c>
      <c r="I980" s="21">
        <v>46.190461399999997</v>
      </c>
      <c r="J980" s="21">
        <v>7.5449225999999996</v>
      </c>
      <c r="K980" s="82">
        <v>5220</v>
      </c>
      <c r="L980" s="19">
        <v>2000</v>
      </c>
      <c r="M980" s="19">
        <v>2000</v>
      </c>
      <c r="N980" s="82">
        <v>52</v>
      </c>
      <c r="O980" s="4" t="s">
        <v>67</v>
      </c>
      <c r="P980" s="205" t="s">
        <v>5187</v>
      </c>
      <c r="Q980" s="19"/>
    </row>
    <row r="981" spans="1:17" s="204" customFormat="1" ht="45.5" customHeight="1">
      <c r="A981" s="214">
        <v>269</v>
      </c>
      <c r="B981" s="215" t="s">
        <v>6881</v>
      </c>
      <c r="C981" s="19" t="s">
        <v>6899</v>
      </c>
      <c r="D981" s="19" t="s">
        <v>2398</v>
      </c>
      <c r="E981" s="11" t="s">
        <v>2636</v>
      </c>
      <c r="F981" s="19" t="s">
        <v>6937</v>
      </c>
      <c r="G981" s="4" t="s">
        <v>6938</v>
      </c>
      <c r="H981" s="19" t="s">
        <v>6116</v>
      </c>
      <c r="I981" s="21">
        <v>44.967608599999998</v>
      </c>
      <c r="J981" s="21">
        <v>5.5300643000000003</v>
      </c>
      <c r="K981" s="82">
        <v>1770</v>
      </c>
      <c r="L981" s="19">
        <v>2000</v>
      </c>
      <c r="M981" s="19">
        <v>2000</v>
      </c>
      <c r="N981" s="82">
        <v>17</v>
      </c>
      <c r="O981" s="4" t="s">
        <v>67</v>
      </c>
      <c r="P981" s="205" t="s">
        <v>5187</v>
      </c>
      <c r="Q981" s="19"/>
    </row>
    <row r="982" spans="1:17" s="204" customFormat="1" ht="45.5" customHeight="1">
      <c r="A982" s="214">
        <v>269</v>
      </c>
      <c r="B982" s="215" t="s">
        <v>6881</v>
      </c>
      <c r="C982" s="19" t="s">
        <v>6900</v>
      </c>
      <c r="D982" s="19" t="s">
        <v>2398</v>
      </c>
      <c r="E982" s="11" t="s">
        <v>2636</v>
      </c>
      <c r="F982" s="19" t="s">
        <v>6928</v>
      </c>
      <c r="G982" s="4" t="s">
        <v>2276</v>
      </c>
      <c r="H982" s="19" t="s">
        <v>6116</v>
      </c>
      <c r="I982" s="21">
        <v>46.374850000000002</v>
      </c>
      <c r="J982" s="21">
        <v>5.9737280000000004</v>
      </c>
      <c r="K982" s="82">
        <v>4300</v>
      </c>
      <c r="L982" s="19">
        <v>2000</v>
      </c>
      <c r="M982" s="19">
        <v>2000</v>
      </c>
      <c r="N982" s="82">
        <v>35</v>
      </c>
      <c r="O982" s="4" t="s">
        <v>67</v>
      </c>
      <c r="P982" s="205" t="s">
        <v>5187</v>
      </c>
      <c r="Q982" s="19"/>
    </row>
    <row r="983" spans="1:17" s="204" customFormat="1" ht="45.5" customHeight="1">
      <c r="A983" s="214">
        <v>269</v>
      </c>
      <c r="B983" s="215" t="s">
        <v>6881</v>
      </c>
      <c r="C983" s="19" t="s">
        <v>6901</v>
      </c>
      <c r="D983" s="19" t="s">
        <v>2398</v>
      </c>
      <c r="E983" s="11" t="s">
        <v>2636</v>
      </c>
      <c r="F983" s="19" t="s">
        <v>6930</v>
      </c>
      <c r="G983" s="4" t="s">
        <v>6929</v>
      </c>
      <c r="H983" s="19" t="s">
        <v>4314</v>
      </c>
      <c r="I983" s="21">
        <v>43.187215500000001</v>
      </c>
      <c r="J983" s="21">
        <v>-4.8215240000000001</v>
      </c>
      <c r="K983" s="82">
        <v>1800</v>
      </c>
      <c r="L983" s="19">
        <v>2000</v>
      </c>
      <c r="M983" s="19">
        <v>2000</v>
      </c>
      <c r="N983" s="82">
        <v>10</v>
      </c>
      <c r="O983" s="4" t="s">
        <v>67</v>
      </c>
      <c r="P983" s="205" t="s">
        <v>5187</v>
      </c>
      <c r="Q983" s="19"/>
    </row>
    <row r="984" spans="1:17" s="204" customFormat="1" ht="45.5" customHeight="1">
      <c r="A984" s="214">
        <v>269</v>
      </c>
      <c r="B984" s="215" t="s">
        <v>6881</v>
      </c>
      <c r="C984" s="19" t="s">
        <v>6902</v>
      </c>
      <c r="D984" s="19" t="s">
        <v>2398</v>
      </c>
      <c r="E984" s="11" t="s">
        <v>2636</v>
      </c>
      <c r="F984" s="19" t="s">
        <v>6931</v>
      </c>
      <c r="G984" s="4" t="s">
        <v>2276</v>
      </c>
      <c r="H984" s="19" t="s">
        <v>6116</v>
      </c>
      <c r="I984" s="21">
        <v>43.244912800000002</v>
      </c>
      <c r="J984" s="21">
        <v>-1.2891036</v>
      </c>
      <c r="K984" s="82">
        <v>2480</v>
      </c>
      <c r="L984" s="19">
        <v>2000</v>
      </c>
      <c r="M984" s="19">
        <v>2000</v>
      </c>
      <c r="N984" s="82">
        <v>100</v>
      </c>
      <c r="O984" s="4" t="s">
        <v>67</v>
      </c>
      <c r="P984" s="205" t="s">
        <v>5187</v>
      </c>
      <c r="Q984" s="19"/>
    </row>
    <row r="985" spans="1:17" s="204" customFormat="1" ht="45.5" customHeight="1">
      <c r="A985" s="214">
        <v>269</v>
      </c>
      <c r="B985" s="215" t="s">
        <v>6881</v>
      </c>
      <c r="C985" s="19" t="s">
        <v>6903</v>
      </c>
      <c r="D985" s="19" t="s">
        <v>2398</v>
      </c>
      <c r="E985" s="11" t="s">
        <v>2636</v>
      </c>
      <c r="F985" s="19" t="s">
        <v>6932</v>
      </c>
      <c r="G985" s="4" t="s">
        <v>2276</v>
      </c>
      <c r="H985" s="19" t="s">
        <v>4314</v>
      </c>
      <c r="I985" s="21">
        <v>42.95</v>
      </c>
      <c r="J985" s="21">
        <v>-2.3166669999999998</v>
      </c>
      <c r="K985" s="82">
        <v>1660</v>
      </c>
      <c r="L985" s="19">
        <v>2000</v>
      </c>
      <c r="M985" s="19">
        <v>2000</v>
      </c>
      <c r="N985" s="82">
        <v>13</v>
      </c>
      <c r="O985" s="4" t="s">
        <v>67</v>
      </c>
      <c r="P985" s="205" t="s">
        <v>5187</v>
      </c>
      <c r="Q985" s="19"/>
    </row>
    <row r="986" spans="1:17" s="204" customFormat="1" ht="45.5" customHeight="1">
      <c r="A986" s="214">
        <v>269</v>
      </c>
      <c r="B986" s="215" t="s">
        <v>6881</v>
      </c>
      <c r="C986" s="19" t="s">
        <v>6904</v>
      </c>
      <c r="D986" s="19" t="s">
        <v>2398</v>
      </c>
      <c r="E986" s="11" t="s">
        <v>2636</v>
      </c>
      <c r="F986" s="19" t="s">
        <v>6933</v>
      </c>
      <c r="G986" s="4" t="s">
        <v>2276</v>
      </c>
      <c r="H986" s="19" t="s">
        <v>6116</v>
      </c>
      <c r="I986" s="21">
        <v>42.840257893276302</v>
      </c>
      <c r="J986" s="21">
        <v>1.3032658975710401</v>
      </c>
      <c r="K986" s="82">
        <v>1200</v>
      </c>
      <c r="L986" s="19">
        <v>2000</v>
      </c>
      <c r="M986" s="19">
        <v>2000</v>
      </c>
      <c r="N986" s="82">
        <v>15</v>
      </c>
      <c r="O986" s="4" t="s">
        <v>67</v>
      </c>
      <c r="P986" s="205" t="s">
        <v>5187</v>
      </c>
      <c r="Q986" s="19"/>
    </row>
    <row r="987" spans="1:17" s="204" customFormat="1" ht="45.5" customHeight="1">
      <c r="A987" s="214">
        <v>269</v>
      </c>
      <c r="B987" s="215" t="s">
        <v>6881</v>
      </c>
      <c r="C987" s="19" t="s">
        <v>6905</v>
      </c>
      <c r="D987" s="19" t="s">
        <v>2398</v>
      </c>
      <c r="E987" s="11" t="s">
        <v>2636</v>
      </c>
      <c r="F987" s="19" t="s">
        <v>6934</v>
      </c>
      <c r="G987" s="4" t="s">
        <v>2276</v>
      </c>
      <c r="H987" s="19" t="s">
        <v>4314</v>
      </c>
      <c r="I987" s="21">
        <v>42.525766405594503</v>
      </c>
      <c r="J987" s="21">
        <v>1.08426298991359</v>
      </c>
      <c r="K987" s="82">
        <v>1120</v>
      </c>
      <c r="L987" s="19">
        <v>2000</v>
      </c>
      <c r="M987" s="19">
        <v>2000</v>
      </c>
      <c r="N987" s="82">
        <v>3</v>
      </c>
      <c r="O987" s="4" t="s">
        <v>67</v>
      </c>
      <c r="P987" s="205" t="s">
        <v>5187</v>
      </c>
      <c r="Q987" s="19"/>
    </row>
    <row r="988" spans="1:17" ht="45.5" customHeight="1">
      <c r="A988" s="193">
        <v>270</v>
      </c>
      <c r="B988" s="41" t="s">
        <v>6146</v>
      </c>
      <c r="C988" s="4" t="s">
        <v>6182</v>
      </c>
      <c r="D988" s="4" t="s">
        <v>2398</v>
      </c>
      <c r="E988" s="11" t="s">
        <v>4847</v>
      </c>
      <c r="F988" s="4" t="s">
        <v>2276</v>
      </c>
      <c r="G988" s="4" t="s">
        <v>4941</v>
      </c>
      <c r="H988" s="4" t="s">
        <v>4942</v>
      </c>
      <c r="I988" s="74">
        <v>40.201500000000003</v>
      </c>
      <c r="J988" s="74">
        <v>9.0214999999999996</v>
      </c>
      <c r="K988" s="75">
        <v>24100</v>
      </c>
      <c r="L988" s="4">
        <v>2006</v>
      </c>
      <c r="M988" s="4">
        <v>2010</v>
      </c>
      <c r="N988" s="75">
        <f>1650000/K988</f>
        <v>68.46473029045643</v>
      </c>
      <c r="O988" s="4" t="s">
        <v>67</v>
      </c>
      <c r="P988" s="205" t="s">
        <v>6187</v>
      </c>
      <c r="Q988" s="4"/>
    </row>
    <row r="989" spans="1:17" ht="45.5" customHeight="1">
      <c r="A989" s="193">
        <v>271</v>
      </c>
      <c r="B989" s="41" t="s">
        <v>6147</v>
      </c>
      <c r="C989" s="4" t="s">
        <v>6183</v>
      </c>
      <c r="D989" s="4" t="s">
        <v>2398</v>
      </c>
      <c r="E989" s="11" t="s">
        <v>4847</v>
      </c>
      <c r="F989" s="4" t="s">
        <v>2276</v>
      </c>
      <c r="G989" s="4" t="s">
        <v>2276</v>
      </c>
      <c r="H989" s="4" t="s">
        <v>6112</v>
      </c>
      <c r="I989" s="74">
        <v>39.666499999999999</v>
      </c>
      <c r="J989" s="74">
        <v>-8.3741666666666692</v>
      </c>
      <c r="K989" s="75">
        <v>89000</v>
      </c>
      <c r="L989" s="4">
        <v>2007</v>
      </c>
      <c r="M989" s="4">
        <v>2014</v>
      </c>
      <c r="N989" s="75" t="s">
        <v>2276</v>
      </c>
      <c r="O989" s="4" t="s">
        <v>67</v>
      </c>
      <c r="P989" s="3" t="s">
        <v>6187</v>
      </c>
      <c r="Q989" s="4"/>
    </row>
    <row r="990" spans="1:17" ht="71" customHeight="1">
      <c r="A990" s="214">
        <v>272</v>
      </c>
      <c r="B990" s="215" t="s">
        <v>6971</v>
      </c>
      <c r="C990" s="19" t="s">
        <v>6184</v>
      </c>
      <c r="D990" s="19" t="s">
        <v>2398</v>
      </c>
      <c r="E990" s="11" t="s">
        <v>4847</v>
      </c>
      <c r="F990" s="4" t="s">
        <v>2276</v>
      </c>
      <c r="G990" s="4" t="s">
        <v>6113</v>
      </c>
      <c r="H990" s="4" t="s">
        <v>4314</v>
      </c>
      <c r="I990" s="74">
        <v>42.799928600000001</v>
      </c>
      <c r="J990" s="74">
        <v>-8.0177344000000002</v>
      </c>
      <c r="K990" s="75">
        <f>SUM(K991:K996)</f>
        <v>29109</v>
      </c>
      <c r="L990" s="4">
        <v>1988</v>
      </c>
      <c r="M990" s="4">
        <v>2006</v>
      </c>
      <c r="N990" s="75" t="s">
        <v>2276</v>
      </c>
      <c r="O990" s="4" t="s">
        <v>67</v>
      </c>
      <c r="P990" s="205" t="s">
        <v>5187</v>
      </c>
      <c r="Q990" s="19" t="s">
        <v>6972</v>
      </c>
    </row>
    <row r="991" spans="1:17" s="204" customFormat="1" ht="71" customHeight="1">
      <c r="A991" s="214">
        <v>272</v>
      </c>
      <c r="B991" s="215" t="s">
        <v>6971</v>
      </c>
      <c r="C991" s="19" t="s">
        <v>6185</v>
      </c>
      <c r="D991" s="19" t="s">
        <v>2398</v>
      </c>
      <c r="E991" s="11" t="s">
        <v>4847</v>
      </c>
      <c r="F991" s="4" t="s">
        <v>2276</v>
      </c>
      <c r="G991" s="4" t="s">
        <v>6113</v>
      </c>
      <c r="H991" s="4" t="s">
        <v>4314</v>
      </c>
      <c r="I991" s="74">
        <v>42.799928600000001</v>
      </c>
      <c r="J991" s="74">
        <v>-8.0177344000000002</v>
      </c>
      <c r="K991" s="75">
        <f>36*9300/100</f>
        <v>3348</v>
      </c>
      <c r="L991" s="4">
        <v>1988</v>
      </c>
      <c r="M991" s="4">
        <v>2006</v>
      </c>
      <c r="N991" s="75" t="s">
        <v>2276</v>
      </c>
      <c r="O991" s="4" t="s">
        <v>67</v>
      </c>
      <c r="P991" s="205" t="s">
        <v>5187</v>
      </c>
      <c r="Q991" s="19" t="s">
        <v>6988</v>
      </c>
    </row>
    <row r="992" spans="1:17" s="204" customFormat="1" ht="71" customHeight="1">
      <c r="A992" s="214">
        <v>272</v>
      </c>
      <c r="B992" s="215" t="s">
        <v>6971</v>
      </c>
      <c r="C992" s="19" t="s">
        <v>6186</v>
      </c>
      <c r="D992" s="19" t="s">
        <v>2398</v>
      </c>
      <c r="E992" s="11" t="s">
        <v>4847</v>
      </c>
      <c r="F992" s="4" t="s">
        <v>2276</v>
      </c>
      <c r="G992" s="4" t="s">
        <v>6113</v>
      </c>
      <c r="H992" s="4" t="s">
        <v>4314</v>
      </c>
      <c r="I992" s="74">
        <v>42.799928600000001</v>
      </c>
      <c r="J992" s="74">
        <v>-8.0177344000000002</v>
      </c>
      <c r="K992" s="75">
        <f>37*9300/100</f>
        <v>3441</v>
      </c>
      <c r="L992" s="4">
        <v>1988</v>
      </c>
      <c r="M992" s="4">
        <v>2006</v>
      </c>
      <c r="N992" s="75" t="s">
        <v>2276</v>
      </c>
      <c r="O992" s="4" t="s">
        <v>67</v>
      </c>
      <c r="P992" s="205" t="s">
        <v>5187</v>
      </c>
      <c r="Q992" s="19" t="s">
        <v>6988</v>
      </c>
    </row>
    <row r="993" spans="1:17" s="204" customFormat="1" ht="71" customHeight="1">
      <c r="A993" s="214">
        <v>272</v>
      </c>
      <c r="B993" s="215" t="s">
        <v>6971</v>
      </c>
      <c r="C993" s="19" t="s">
        <v>6973</v>
      </c>
      <c r="D993" s="19" t="s">
        <v>2398</v>
      </c>
      <c r="E993" s="11" t="s">
        <v>4847</v>
      </c>
      <c r="F993" s="4" t="s">
        <v>2276</v>
      </c>
      <c r="G993" s="4" t="s">
        <v>6113</v>
      </c>
      <c r="H993" s="4" t="s">
        <v>4314</v>
      </c>
      <c r="I993" s="74">
        <v>42.799928600000001</v>
      </c>
      <c r="J993" s="74">
        <v>-8.0177344000000002</v>
      </c>
      <c r="K993" s="75">
        <f>92*9300/100</f>
        <v>8556</v>
      </c>
      <c r="L993" s="4">
        <v>1988</v>
      </c>
      <c r="M993" s="4">
        <v>2006</v>
      </c>
      <c r="N993" s="75" t="s">
        <v>2276</v>
      </c>
      <c r="O993" s="4" t="s">
        <v>67</v>
      </c>
      <c r="P993" s="205" t="s">
        <v>5187</v>
      </c>
      <c r="Q993" s="19" t="s">
        <v>6988</v>
      </c>
    </row>
    <row r="994" spans="1:17" s="204" customFormat="1" ht="71" customHeight="1">
      <c r="A994" s="214">
        <v>272</v>
      </c>
      <c r="B994" s="215" t="s">
        <v>6971</v>
      </c>
      <c r="C994" s="19" t="s">
        <v>6974</v>
      </c>
      <c r="D994" s="19" t="s">
        <v>2398</v>
      </c>
      <c r="E994" s="11" t="s">
        <v>4847</v>
      </c>
      <c r="F994" s="4" t="s">
        <v>2276</v>
      </c>
      <c r="G994" s="4" t="s">
        <v>6113</v>
      </c>
      <c r="H994" s="4" t="s">
        <v>4314</v>
      </c>
      <c r="I994" s="74">
        <v>42.799928600000001</v>
      </c>
      <c r="J994" s="74">
        <v>-8.0177344000000002</v>
      </c>
      <c r="K994" s="75">
        <f>110*9300/100</f>
        <v>10230</v>
      </c>
      <c r="L994" s="4">
        <v>1988</v>
      </c>
      <c r="M994" s="4">
        <v>2006</v>
      </c>
      <c r="N994" s="75" t="s">
        <v>2276</v>
      </c>
      <c r="O994" s="4" t="s">
        <v>67</v>
      </c>
      <c r="P994" s="205" t="s">
        <v>5187</v>
      </c>
      <c r="Q994" s="19" t="s">
        <v>6988</v>
      </c>
    </row>
    <row r="995" spans="1:17" s="204" customFormat="1" ht="71" customHeight="1">
      <c r="A995" s="214">
        <v>272</v>
      </c>
      <c r="B995" s="215" t="s">
        <v>6971</v>
      </c>
      <c r="C995" s="19" t="s">
        <v>6975</v>
      </c>
      <c r="D995" s="19" t="s">
        <v>2398</v>
      </c>
      <c r="E995" s="11" t="s">
        <v>4847</v>
      </c>
      <c r="F995" s="4" t="s">
        <v>2276</v>
      </c>
      <c r="G995" s="4" t="s">
        <v>6113</v>
      </c>
      <c r="H995" s="4" t="s">
        <v>4314</v>
      </c>
      <c r="I995" s="74">
        <v>42.799928600000001</v>
      </c>
      <c r="J995" s="74">
        <v>-8.0177344000000002</v>
      </c>
      <c r="K995" s="75">
        <f>17*9300/100</f>
        <v>1581</v>
      </c>
      <c r="L995" s="4">
        <v>1988</v>
      </c>
      <c r="M995" s="4">
        <v>2006</v>
      </c>
      <c r="N995" s="75" t="s">
        <v>2276</v>
      </c>
      <c r="O995" s="4" t="s">
        <v>67</v>
      </c>
      <c r="P995" s="205" t="s">
        <v>5187</v>
      </c>
      <c r="Q995" s="19" t="s">
        <v>6988</v>
      </c>
    </row>
    <row r="996" spans="1:17" s="204" customFormat="1" ht="71" customHeight="1">
      <c r="A996" s="214">
        <v>272</v>
      </c>
      <c r="B996" s="215" t="s">
        <v>6971</v>
      </c>
      <c r="C996" s="19" t="s">
        <v>7000</v>
      </c>
      <c r="D996" s="19" t="s">
        <v>2398</v>
      </c>
      <c r="E996" s="11" t="s">
        <v>4847</v>
      </c>
      <c r="F996" s="4" t="s">
        <v>2276</v>
      </c>
      <c r="G996" s="4" t="s">
        <v>6113</v>
      </c>
      <c r="H996" s="4" t="s">
        <v>4314</v>
      </c>
      <c r="I996" s="74">
        <v>42.799928600000001</v>
      </c>
      <c r="J996" s="74">
        <v>-8.0177344000000002</v>
      </c>
      <c r="K996" s="75">
        <f>21*9300/100</f>
        <v>1953</v>
      </c>
      <c r="L996" s="4">
        <v>1988</v>
      </c>
      <c r="M996" s="4">
        <v>2006</v>
      </c>
      <c r="N996" s="75" t="s">
        <v>2276</v>
      </c>
      <c r="O996" s="4" t="s">
        <v>67</v>
      </c>
      <c r="P996" s="205" t="s">
        <v>5187</v>
      </c>
      <c r="Q996" s="19" t="s">
        <v>6988</v>
      </c>
    </row>
    <row r="997" spans="1:17" ht="71" customHeight="1">
      <c r="A997" s="31">
        <v>273</v>
      </c>
      <c r="B997" s="40" t="s">
        <v>6265</v>
      </c>
      <c r="C997" s="3" t="s">
        <v>6378</v>
      </c>
      <c r="D997" s="3" t="s">
        <v>2398</v>
      </c>
      <c r="E997" s="3" t="s">
        <v>2399</v>
      </c>
      <c r="F997" s="3" t="s">
        <v>1282</v>
      </c>
      <c r="G997" s="3" t="s">
        <v>87</v>
      </c>
      <c r="H997" s="3" t="s">
        <v>88</v>
      </c>
      <c r="I997" s="21">
        <v>31.633979</v>
      </c>
      <c r="J997" s="21">
        <v>74.872264000000001</v>
      </c>
      <c r="K997" s="75" t="s">
        <v>2276</v>
      </c>
      <c r="L997" s="3">
        <v>2010</v>
      </c>
      <c r="M997" s="3">
        <v>2010</v>
      </c>
      <c r="N997" s="75" t="s">
        <v>2276</v>
      </c>
      <c r="O997" s="3" t="s">
        <v>67</v>
      </c>
      <c r="P997" s="3" t="s">
        <v>6334</v>
      </c>
      <c r="Q997" s="4" t="s">
        <v>6266</v>
      </c>
    </row>
    <row r="998" spans="1:17" ht="71" customHeight="1">
      <c r="A998" s="31">
        <v>273</v>
      </c>
      <c r="B998" s="40" t="s">
        <v>6265</v>
      </c>
      <c r="C998" s="3" t="s">
        <v>6379</v>
      </c>
      <c r="D998" s="3" t="s">
        <v>2398</v>
      </c>
      <c r="E998" s="3" t="s">
        <v>2399</v>
      </c>
      <c r="F998" s="3" t="s">
        <v>1290</v>
      </c>
      <c r="G998" s="3" t="s">
        <v>87</v>
      </c>
      <c r="H998" s="3" t="s">
        <v>88</v>
      </c>
      <c r="I998" s="21">
        <v>30.900964999999999</v>
      </c>
      <c r="J998" s="21">
        <v>75.857275999999999</v>
      </c>
      <c r="K998" s="75" t="s">
        <v>2276</v>
      </c>
      <c r="L998" s="3">
        <v>2010</v>
      </c>
      <c r="M998" s="3">
        <v>2010</v>
      </c>
      <c r="N998" s="75" t="s">
        <v>2276</v>
      </c>
      <c r="O998" s="3" t="s">
        <v>67</v>
      </c>
      <c r="P998" s="3" t="s">
        <v>6334</v>
      </c>
      <c r="Q998" s="4" t="s">
        <v>6267</v>
      </c>
    </row>
    <row r="999" spans="1:17" ht="71" customHeight="1">
      <c r="A999" s="31">
        <v>273</v>
      </c>
      <c r="B999" s="40" t="s">
        <v>6265</v>
      </c>
      <c r="C999" s="3" t="s">
        <v>6380</v>
      </c>
      <c r="D999" s="3" t="s">
        <v>2398</v>
      </c>
      <c r="E999" s="3" t="s">
        <v>2399</v>
      </c>
      <c r="F999" s="3" t="s">
        <v>1292</v>
      </c>
      <c r="G999" s="3" t="s">
        <v>87</v>
      </c>
      <c r="H999" s="3" t="s">
        <v>88</v>
      </c>
      <c r="I999" s="21">
        <v>30.245795999999999</v>
      </c>
      <c r="J999" s="21">
        <v>74.842072000000002</v>
      </c>
      <c r="K999" s="75" t="s">
        <v>2276</v>
      </c>
      <c r="L999" s="3">
        <v>2010</v>
      </c>
      <c r="M999" s="3">
        <v>2010</v>
      </c>
      <c r="N999" s="75" t="s">
        <v>2276</v>
      </c>
      <c r="O999" s="3" t="s">
        <v>67</v>
      </c>
      <c r="P999" s="3" t="s">
        <v>6334</v>
      </c>
      <c r="Q999" s="4" t="s">
        <v>6268</v>
      </c>
    </row>
    <row r="1000" spans="1:17" ht="71" customHeight="1">
      <c r="A1000" s="31">
        <v>274</v>
      </c>
      <c r="B1000" s="40" t="s">
        <v>6269</v>
      </c>
      <c r="C1000" s="31" t="s">
        <v>6381</v>
      </c>
      <c r="D1000" s="3" t="s">
        <v>2398</v>
      </c>
      <c r="E1000" s="3" t="s">
        <v>2399</v>
      </c>
      <c r="F1000" s="75" t="s">
        <v>2276</v>
      </c>
      <c r="G1000" s="3" t="s">
        <v>6270</v>
      </c>
      <c r="H1000" s="3" t="s">
        <v>88</v>
      </c>
      <c r="I1000" s="75">
        <f>AVERAGE(I39,I8)</f>
        <v>30.226188616332699</v>
      </c>
      <c r="J1000" s="75">
        <f>AVERAGE(J39,J8)</f>
        <v>75.750873684034303</v>
      </c>
      <c r="K1000" s="75" t="s">
        <v>2276</v>
      </c>
      <c r="L1000" s="3">
        <v>2007</v>
      </c>
      <c r="M1000" s="3">
        <v>2008</v>
      </c>
      <c r="N1000" s="75" t="s">
        <v>2276</v>
      </c>
      <c r="O1000" s="3" t="s">
        <v>67</v>
      </c>
      <c r="P1000" s="3" t="s">
        <v>6334</v>
      </c>
      <c r="Q1000" s="4" t="s">
        <v>6335</v>
      </c>
    </row>
    <row r="1001" spans="1:17" ht="71" customHeight="1">
      <c r="A1001" s="31">
        <v>275</v>
      </c>
      <c r="B1001" s="40" t="s">
        <v>6271</v>
      </c>
      <c r="C1001" s="3" t="s">
        <v>6336</v>
      </c>
      <c r="D1001" s="3" t="s">
        <v>2398</v>
      </c>
      <c r="E1001" s="3" t="s">
        <v>2399</v>
      </c>
      <c r="F1001" s="3" t="s">
        <v>1291</v>
      </c>
      <c r="G1001" s="3" t="s">
        <v>87</v>
      </c>
      <c r="H1001" s="3" t="s">
        <v>88</v>
      </c>
      <c r="I1001" s="202">
        <v>30.339780999999999</v>
      </c>
      <c r="J1001" s="202">
        <v>76.386880000000005</v>
      </c>
      <c r="K1001" s="75" t="s">
        <v>2276</v>
      </c>
      <c r="L1001" s="3">
        <v>2005</v>
      </c>
      <c r="M1001" s="3">
        <v>2005</v>
      </c>
      <c r="N1001" s="75" t="s">
        <v>2276</v>
      </c>
      <c r="O1001" s="3" t="s">
        <v>67</v>
      </c>
      <c r="P1001" s="3" t="s">
        <v>6334</v>
      </c>
      <c r="Q1001" s="4" t="s">
        <v>6272</v>
      </c>
    </row>
    <row r="1002" spans="1:17" ht="58">
      <c r="A1002" s="31">
        <v>275</v>
      </c>
      <c r="B1002" s="40" t="s">
        <v>6271</v>
      </c>
      <c r="C1002" s="3" t="s">
        <v>6337</v>
      </c>
      <c r="D1002" s="3" t="s">
        <v>2398</v>
      </c>
      <c r="E1002" s="3" t="s">
        <v>2399</v>
      </c>
      <c r="F1002" s="3" t="s">
        <v>6273</v>
      </c>
      <c r="G1002" s="3" t="s">
        <v>90</v>
      </c>
      <c r="H1002" s="3" t="s">
        <v>88</v>
      </c>
      <c r="I1002" s="202">
        <v>29.969512000000002</v>
      </c>
      <c r="J1002" s="202">
        <v>76.878281999999999</v>
      </c>
      <c r="K1002" s="75" t="s">
        <v>2276</v>
      </c>
      <c r="L1002" s="3">
        <v>2005</v>
      </c>
      <c r="M1002" s="3">
        <v>2005</v>
      </c>
      <c r="N1002" s="75" t="s">
        <v>2276</v>
      </c>
      <c r="O1002" s="3" t="s">
        <v>67</v>
      </c>
      <c r="P1002" s="3" t="s">
        <v>6334</v>
      </c>
      <c r="Q1002" s="4" t="s">
        <v>6272</v>
      </c>
    </row>
    <row r="1003" spans="1:17" ht="58">
      <c r="A1003" s="31">
        <v>275</v>
      </c>
      <c r="B1003" s="40" t="s">
        <v>6271</v>
      </c>
      <c r="C1003" s="3" t="s">
        <v>6338</v>
      </c>
      <c r="D1003" s="3" t="s">
        <v>2398</v>
      </c>
      <c r="E1003" s="3" t="s">
        <v>2399</v>
      </c>
      <c r="F1003" s="3" t="s">
        <v>6274</v>
      </c>
      <c r="G1003" s="3" t="s">
        <v>90</v>
      </c>
      <c r="H1003" s="3" t="s">
        <v>88</v>
      </c>
      <c r="I1003" s="202">
        <v>29.149187999999999</v>
      </c>
      <c r="J1003" s="202">
        <v>75.721653000000003</v>
      </c>
      <c r="K1003" s="75" t="s">
        <v>2276</v>
      </c>
      <c r="L1003" s="3">
        <v>2005</v>
      </c>
      <c r="M1003" s="3">
        <v>2005</v>
      </c>
      <c r="N1003" s="75" t="s">
        <v>2276</v>
      </c>
      <c r="O1003" s="3" t="s">
        <v>67</v>
      </c>
      <c r="P1003" s="3" t="s">
        <v>6334</v>
      </c>
      <c r="Q1003" s="4" t="s">
        <v>6272</v>
      </c>
    </row>
    <row r="1004" spans="1:17" ht="58">
      <c r="A1004" s="31">
        <v>275</v>
      </c>
      <c r="B1004" s="40" t="s">
        <v>6275</v>
      </c>
      <c r="C1004" s="3" t="s">
        <v>6339</v>
      </c>
      <c r="D1004" s="3" t="s">
        <v>2398</v>
      </c>
      <c r="E1004" s="3" t="s">
        <v>2399</v>
      </c>
      <c r="F1004" s="3" t="s">
        <v>6276</v>
      </c>
      <c r="G1004" s="3" t="s">
        <v>6277</v>
      </c>
      <c r="H1004" s="3" t="s">
        <v>88</v>
      </c>
      <c r="I1004" s="202">
        <v>28.984462000000001</v>
      </c>
      <c r="J1004" s="202">
        <v>77.706413999999995</v>
      </c>
      <c r="K1004" s="75" t="s">
        <v>2276</v>
      </c>
      <c r="L1004" s="3">
        <v>2005</v>
      </c>
      <c r="M1004" s="3">
        <v>2005</v>
      </c>
      <c r="N1004" s="75" t="s">
        <v>2276</v>
      </c>
      <c r="O1004" s="3" t="s">
        <v>67</v>
      </c>
      <c r="P1004" s="3" t="s">
        <v>6334</v>
      </c>
      <c r="Q1004" s="4" t="s">
        <v>6272</v>
      </c>
    </row>
    <row r="1005" spans="1:17" ht="58">
      <c r="A1005" s="31">
        <v>275</v>
      </c>
      <c r="B1005" s="40" t="s">
        <v>6275</v>
      </c>
      <c r="C1005" s="3" t="s">
        <v>6340</v>
      </c>
      <c r="D1005" s="3" t="s">
        <v>2398</v>
      </c>
      <c r="E1005" s="3" t="s">
        <v>2399</v>
      </c>
      <c r="F1005" s="3" t="s">
        <v>6278</v>
      </c>
      <c r="G1005" s="3" t="s">
        <v>6277</v>
      </c>
      <c r="H1005" s="3" t="s">
        <v>88</v>
      </c>
      <c r="I1005" s="202">
        <v>26.449922999999998</v>
      </c>
      <c r="J1005" s="202">
        <v>80.331873999999999</v>
      </c>
      <c r="K1005" s="75" t="s">
        <v>2276</v>
      </c>
      <c r="L1005" s="3">
        <v>2005</v>
      </c>
      <c r="M1005" s="3">
        <v>2005</v>
      </c>
      <c r="N1005" s="75" t="s">
        <v>2276</v>
      </c>
      <c r="O1005" s="3" t="s">
        <v>67</v>
      </c>
      <c r="P1005" s="3" t="s">
        <v>6334</v>
      </c>
      <c r="Q1005" s="4" t="s">
        <v>6272</v>
      </c>
    </row>
    <row r="1006" spans="1:17" ht="58">
      <c r="A1006" s="31">
        <v>275</v>
      </c>
      <c r="B1006" s="40" t="s">
        <v>6275</v>
      </c>
      <c r="C1006" s="3" t="s">
        <v>6341</v>
      </c>
      <c r="D1006" s="3" t="s">
        <v>2398</v>
      </c>
      <c r="E1006" s="3" t="s">
        <v>2399</v>
      </c>
      <c r="F1006" s="3" t="s">
        <v>6279</v>
      </c>
      <c r="G1006" s="3" t="s">
        <v>6277</v>
      </c>
      <c r="H1006" s="3" t="s">
        <v>88</v>
      </c>
      <c r="I1006" s="202">
        <v>26.772974999999999</v>
      </c>
      <c r="J1006" s="202">
        <v>82.145792999999998</v>
      </c>
      <c r="K1006" s="75" t="s">
        <v>2276</v>
      </c>
      <c r="L1006" s="3">
        <v>2005</v>
      </c>
      <c r="M1006" s="3">
        <v>2005</v>
      </c>
      <c r="N1006" s="75" t="s">
        <v>2276</v>
      </c>
      <c r="O1006" s="3" t="s">
        <v>67</v>
      </c>
      <c r="P1006" s="3" t="s">
        <v>6334</v>
      </c>
      <c r="Q1006" s="4" t="s">
        <v>6272</v>
      </c>
    </row>
    <row r="1007" spans="1:17" ht="58">
      <c r="A1007" s="31">
        <v>275</v>
      </c>
      <c r="B1007" s="40" t="s">
        <v>6280</v>
      </c>
      <c r="C1007" s="3" t="s">
        <v>6342</v>
      </c>
      <c r="D1007" s="3" t="s">
        <v>2398</v>
      </c>
      <c r="E1007" s="3" t="s">
        <v>2399</v>
      </c>
      <c r="F1007" s="3" t="s">
        <v>6281</v>
      </c>
      <c r="G1007" s="3" t="s">
        <v>6282</v>
      </c>
      <c r="H1007" s="3" t="s">
        <v>88</v>
      </c>
      <c r="I1007" s="202">
        <v>25.466155000000001</v>
      </c>
      <c r="J1007" s="202">
        <v>84.522219000000007</v>
      </c>
      <c r="K1007" s="75" t="s">
        <v>2276</v>
      </c>
      <c r="L1007" s="3">
        <v>2005</v>
      </c>
      <c r="M1007" s="3">
        <v>2005</v>
      </c>
      <c r="N1007" s="75" t="s">
        <v>2276</v>
      </c>
      <c r="O1007" s="3" t="s">
        <v>67</v>
      </c>
      <c r="P1007" s="3" t="s">
        <v>6334</v>
      </c>
      <c r="Q1007" s="4" t="s">
        <v>6272</v>
      </c>
    </row>
    <row r="1008" spans="1:17" ht="58">
      <c r="A1008" s="31">
        <v>275</v>
      </c>
      <c r="B1008" s="40" t="s">
        <v>6280</v>
      </c>
      <c r="C1008" s="3" t="s">
        <v>6343</v>
      </c>
      <c r="D1008" s="3" t="s">
        <v>2398</v>
      </c>
      <c r="E1008" s="3" t="s">
        <v>2399</v>
      </c>
      <c r="F1008" s="3" t="s">
        <v>6283</v>
      </c>
      <c r="G1008" s="3" t="s">
        <v>6282</v>
      </c>
      <c r="H1008" s="3" t="s">
        <v>88</v>
      </c>
      <c r="I1008" s="202">
        <v>25.856027000000001</v>
      </c>
      <c r="J1008" s="202">
        <v>85.786822999999998</v>
      </c>
      <c r="K1008" s="75" t="s">
        <v>2276</v>
      </c>
      <c r="L1008" s="3">
        <v>2005</v>
      </c>
      <c r="M1008" s="3">
        <v>2005</v>
      </c>
      <c r="N1008" s="75" t="s">
        <v>2276</v>
      </c>
      <c r="O1008" s="3" t="s">
        <v>67</v>
      </c>
      <c r="P1008" s="3" t="s">
        <v>6334</v>
      </c>
      <c r="Q1008" s="4" t="s">
        <v>6272</v>
      </c>
    </row>
    <row r="1009" spans="1:17" ht="58">
      <c r="A1009" s="31">
        <v>275</v>
      </c>
      <c r="B1009" s="40" t="s">
        <v>6280</v>
      </c>
      <c r="C1009" s="3" t="s">
        <v>6344</v>
      </c>
      <c r="D1009" s="3" t="s">
        <v>2398</v>
      </c>
      <c r="E1009" s="3" t="s">
        <v>2399</v>
      </c>
      <c r="F1009" s="3" t="s">
        <v>6284</v>
      </c>
      <c r="G1009" s="3" t="s">
        <v>6282</v>
      </c>
      <c r="H1009" s="3" t="s">
        <v>88</v>
      </c>
      <c r="I1009" s="202">
        <v>25.418164000000001</v>
      </c>
      <c r="J1009" s="202">
        <v>86.127154000000004</v>
      </c>
      <c r="K1009" s="75" t="s">
        <v>2276</v>
      </c>
      <c r="L1009" s="3">
        <v>2005</v>
      </c>
      <c r="M1009" s="3">
        <v>2005</v>
      </c>
      <c r="N1009" s="75" t="s">
        <v>2276</v>
      </c>
      <c r="O1009" s="3" t="s">
        <v>67</v>
      </c>
      <c r="P1009" s="3" t="s">
        <v>6334</v>
      </c>
      <c r="Q1009" s="4" t="s">
        <v>6272</v>
      </c>
    </row>
    <row r="1010" spans="1:17" ht="58">
      <c r="A1010" s="31">
        <v>275</v>
      </c>
      <c r="B1010" s="40" t="s">
        <v>6285</v>
      </c>
      <c r="C1010" s="3" t="s">
        <v>6345</v>
      </c>
      <c r="D1010" s="3" t="s">
        <v>2398</v>
      </c>
      <c r="E1010" s="3" t="s">
        <v>2399</v>
      </c>
      <c r="F1010" s="3" t="s">
        <v>6286</v>
      </c>
      <c r="G1010" s="3" t="s">
        <v>6287</v>
      </c>
      <c r="H1010" s="3" t="s">
        <v>88</v>
      </c>
      <c r="I1010" s="202">
        <v>25.178577000000001</v>
      </c>
      <c r="J1010" s="202">
        <v>88.246117999999996</v>
      </c>
      <c r="K1010" s="75" t="s">
        <v>2276</v>
      </c>
      <c r="L1010" s="3">
        <v>2005</v>
      </c>
      <c r="M1010" s="3">
        <v>2005</v>
      </c>
      <c r="N1010" s="75" t="s">
        <v>2276</v>
      </c>
      <c r="O1010" s="3" t="s">
        <v>67</v>
      </c>
      <c r="P1010" s="3" t="s">
        <v>6334</v>
      </c>
      <c r="Q1010" s="4" t="s">
        <v>6272</v>
      </c>
    </row>
    <row r="1011" spans="1:17" ht="58">
      <c r="A1011" s="31">
        <v>275</v>
      </c>
      <c r="B1011" s="40" t="s">
        <v>6285</v>
      </c>
      <c r="C1011" s="3" t="s">
        <v>6346</v>
      </c>
      <c r="D1011" s="3" t="s">
        <v>2398</v>
      </c>
      <c r="E1011" s="3" t="s">
        <v>2399</v>
      </c>
      <c r="F1011" s="3" t="s">
        <v>6288</v>
      </c>
      <c r="G1011" s="3" t="s">
        <v>6287</v>
      </c>
      <c r="H1011" s="3" t="s">
        <v>88</v>
      </c>
      <c r="I1011" s="202">
        <v>24.617218000000001</v>
      </c>
      <c r="J1011" s="202">
        <v>88.303489999999996</v>
      </c>
      <c r="K1011" s="75" t="s">
        <v>2276</v>
      </c>
      <c r="L1011" s="3">
        <v>2005</v>
      </c>
      <c r="M1011" s="3">
        <v>2005</v>
      </c>
      <c r="N1011" s="75" t="s">
        <v>2276</v>
      </c>
      <c r="O1011" s="3" t="s">
        <v>67</v>
      </c>
      <c r="P1011" s="3" t="s">
        <v>6334</v>
      </c>
      <c r="Q1011" s="4" t="s">
        <v>6272</v>
      </c>
    </row>
    <row r="1012" spans="1:17" ht="58">
      <c r="A1012" s="31">
        <v>275</v>
      </c>
      <c r="B1012" s="40" t="s">
        <v>6285</v>
      </c>
      <c r="C1012" s="3" t="s">
        <v>6347</v>
      </c>
      <c r="D1012" s="3" t="s">
        <v>2398</v>
      </c>
      <c r="E1012" s="3" t="s">
        <v>2399</v>
      </c>
      <c r="F1012" s="3" t="s">
        <v>6289</v>
      </c>
      <c r="G1012" s="3" t="s">
        <v>6287</v>
      </c>
      <c r="H1012" s="3" t="s">
        <v>88</v>
      </c>
      <c r="I1012" s="202">
        <v>22.425661000000002</v>
      </c>
      <c r="J1012" s="202">
        <v>87.319882000000007</v>
      </c>
      <c r="K1012" s="75" t="s">
        <v>2276</v>
      </c>
      <c r="L1012" s="3">
        <v>2005</v>
      </c>
      <c r="M1012" s="3">
        <v>2005</v>
      </c>
      <c r="N1012" s="75" t="s">
        <v>2276</v>
      </c>
      <c r="O1012" s="3" t="s">
        <v>67</v>
      </c>
      <c r="P1012" s="3" t="s">
        <v>6334</v>
      </c>
      <c r="Q1012" s="4" t="s">
        <v>6272</v>
      </c>
    </row>
    <row r="1013" spans="1:17" ht="51" customHeight="1">
      <c r="A1013" s="31">
        <v>276</v>
      </c>
      <c r="B1013" s="41" t="s">
        <v>6290</v>
      </c>
      <c r="C1013" s="3" t="s">
        <v>6348</v>
      </c>
      <c r="D1013" s="3" t="s">
        <v>2398</v>
      </c>
      <c r="E1013" s="3" t="s">
        <v>2422</v>
      </c>
      <c r="F1013" s="3" t="s">
        <v>6291</v>
      </c>
      <c r="G1013" s="3" t="s">
        <v>6292</v>
      </c>
      <c r="H1013" s="3" t="s">
        <v>1052</v>
      </c>
      <c r="I1013" s="202">
        <v>18.788343999999999</v>
      </c>
      <c r="J1013" s="202">
        <v>98.985301000000007</v>
      </c>
      <c r="K1013" s="75" t="s">
        <v>2276</v>
      </c>
      <c r="L1013" s="3">
        <v>2019</v>
      </c>
      <c r="M1013" s="3">
        <v>2019</v>
      </c>
      <c r="N1013" s="75" t="s">
        <v>2276</v>
      </c>
      <c r="O1013" s="3" t="s">
        <v>67</v>
      </c>
      <c r="P1013" s="3" t="s">
        <v>6334</v>
      </c>
      <c r="Q1013" s="4" t="s">
        <v>6293</v>
      </c>
    </row>
    <row r="1014" spans="1:17" ht="87">
      <c r="A1014" s="31">
        <v>277</v>
      </c>
      <c r="B1014" s="40" t="s">
        <v>6294</v>
      </c>
      <c r="C1014" s="3" t="s">
        <v>6349</v>
      </c>
      <c r="D1014" s="3" t="s">
        <v>2398</v>
      </c>
      <c r="E1014" s="3" t="s">
        <v>2422</v>
      </c>
      <c r="F1014" s="3" t="s">
        <v>6295</v>
      </c>
      <c r="G1014" s="3" t="s">
        <v>6296</v>
      </c>
      <c r="H1014" s="3" t="s">
        <v>114</v>
      </c>
      <c r="I1014" s="202">
        <v>31.370037</v>
      </c>
      <c r="J1014" s="202">
        <v>119.54579699999999</v>
      </c>
      <c r="K1014" s="75" t="s">
        <v>2276</v>
      </c>
      <c r="L1014" s="3">
        <v>2016</v>
      </c>
      <c r="M1014" s="3">
        <v>2016</v>
      </c>
      <c r="N1014" s="75" t="s">
        <v>2276</v>
      </c>
      <c r="O1014" s="3" t="s">
        <v>67</v>
      </c>
      <c r="P1014" s="3" t="s">
        <v>6334</v>
      </c>
      <c r="Q1014" s="4" t="s">
        <v>6297</v>
      </c>
    </row>
    <row r="1015" spans="1:17" ht="115.5" customHeight="1">
      <c r="A1015" s="31">
        <v>277</v>
      </c>
      <c r="B1015" s="40" t="s">
        <v>6294</v>
      </c>
      <c r="C1015" s="3" t="s">
        <v>6539</v>
      </c>
      <c r="D1015" s="3" t="s">
        <v>2398</v>
      </c>
      <c r="E1015" s="3" t="s">
        <v>2422</v>
      </c>
      <c r="F1015" s="3" t="s">
        <v>6298</v>
      </c>
      <c r="G1015" s="3" t="s">
        <v>6296</v>
      </c>
      <c r="H1015" s="3" t="s">
        <v>114</v>
      </c>
      <c r="I1015" s="202">
        <v>31.654971</v>
      </c>
      <c r="J1015" s="202">
        <v>120.753182</v>
      </c>
      <c r="K1015" s="75" t="s">
        <v>2276</v>
      </c>
      <c r="L1015" s="3">
        <v>2016</v>
      </c>
      <c r="M1015" s="3">
        <v>2016</v>
      </c>
      <c r="N1015" s="75" t="s">
        <v>2276</v>
      </c>
      <c r="O1015" s="3" t="s">
        <v>67</v>
      </c>
      <c r="P1015" s="3" t="s">
        <v>6334</v>
      </c>
      <c r="Q1015" s="4" t="s">
        <v>6297</v>
      </c>
    </row>
    <row r="1016" spans="1:17" ht="112" customHeight="1">
      <c r="A1016" s="31">
        <v>277</v>
      </c>
      <c r="B1016" s="40" t="s">
        <v>6294</v>
      </c>
      <c r="C1016" s="3" t="s">
        <v>6350</v>
      </c>
      <c r="D1016" s="3" t="s">
        <v>2398</v>
      </c>
      <c r="E1016" s="3" t="s">
        <v>2422</v>
      </c>
      <c r="F1016" s="3" t="s">
        <v>6299</v>
      </c>
      <c r="G1016" s="3" t="s">
        <v>6296</v>
      </c>
      <c r="H1016" s="3" t="s">
        <v>114</v>
      </c>
      <c r="I1016" s="202">
        <v>32.910459000000003</v>
      </c>
      <c r="J1016" s="202">
        <v>119.85254</v>
      </c>
      <c r="K1016" s="75" t="s">
        <v>2276</v>
      </c>
      <c r="L1016" s="3">
        <v>2016</v>
      </c>
      <c r="M1016" s="3">
        <v>2016</v>
      </c>
      <c r="N1016" s="75" t="s">
        <v>2276</v>
      </c>
      <c r="O1016" s="3" t="s">
        <v>67</v>
      </c>
      <c r="P1016" s="3" t="s">
        <v>6334</v>
      </c>
      <c r="Q1016" s="4" t="s">
        <v>6300</v>
      </c>
    </row>
    <row r="1017" spans="1:17" ht="87">
      <c r="A1017" s="31">
        <v>277</v>
      </c>
      <c r="B1017" s="40" t="s">
        <v>6294</v>
      </c>
      <c r="C1017" s="3" t="s">
        <v>6351</v>
      </c>
      <c r="D1017" s="3" t="s">
        <v>2398</v>
      </c>
      <c r="E1017" s="3" t="s">
        <v>2422</v>
      </c>
      <c r="F1017" s="3" t="s">
        <v>6301</v>
      </c>
      <c r="G1017" s="3" t="s">
        <v>6296</v>
      </c>
      <c r="H1017" s="3" t="s">
        <v>114</v>
      </c>
      <c r="I1017" s="202">
        <v>33.238593999999999</v>
      </c>
      <c r="J1017" s="202">
        <v>119.353319</v>
      </c>
      <c r="K1017" s="75" t="s">
        <v>2276</v>
      </c>
      <c r="L1017" s="3">
        <v>2016</v>
      </c>
      <c r="M1017" s="3">
        <v>2016</v>
      </c>
      <c r="N1017" s="75" t="s">
        <v>2276</v>
      </c>
      <c r="O1017" s="3" t="s">
        <v>67</v>
      </c>
      <c r="P1017" s="3" t="s">
        <v>6334</v>
      </c>
      <c r="Q1017" s="4" t="s">
        <v>6300</v>
      </c>
    </row>
    <row r="1018" spans="1:17" ht="87">
      <c r="A1018" s="31">
        <v>277</v>
      </c>
      <c r="B1018" s="40" t="s">
        <v>6294</v>
      </c>
      <c r="C1018" s="3" t="s">
        <v>6352</v>
      </c>
      <c r="D1018" s="3" t="s">
        <v>2398</v>
      </c>
      <c r="E1018" s="3" t="s">
        <v>2422</v>
      </c>
      <c r="F1018" s="3" t="s">
        <v>6302</v>
      </c>
      <c r="G1018" s="3" t="s">
        <v>6296</v>
      </c>
      <c r="H1018" s="3" t="s">
        <v>114</v>
      </c>
      <c r="I1018" s="202">
        <v>34.369579999999999</v>
      </c>
      <c r="J1018" s="202">
        <v>118.35453699999999</v>
      </c>
      <c r="K1018" s="75" t="s">
        <v>2276</v>
      </c>
      <c r="L1018" s="3">
        <v>2016</v>
      </c>
      <c r="M1018" s="3">
        <v>2016</v>
      </c>
      <c r="N1018" s="75" t="s">
        <v>2276</v>
      </c>
      <c r="O1018" s="3" t="s">
        <v>67</v>
      </c>
      <c r="P1018" s="3" t="s">
        <v>6334</v>
      </c>
      <c r="Q1018" s="4" t="s">
        <v>6303</v>
      </c>
    </row>
    <row r="1019" spans="1:17" ht="117" customHeight="1">
      <c r="A1019" s="31">
        <v>277</v>
      </c>
      <c r="B1019" s="40" t="s">
        <v>6294</v>
      </c>
      <c r="C1019" s="3" t="s">
        <v>6353</v>
      </c>
      <c r="D1019" s="3" t="s">
        <v>2398</v>
      </c>
      <c r="E1019" s="3" t="s">
        <v>2422</v>
      </c>
      <c r="F1019" s="3" t="s">
        <v>6304</v>
      </c>
      <c r="G1019" s="3" t="s">
        <v>6296</v>
      </c>
      <c r="H1019" s="3" t="s">
        <v>114</v>
      </c>
      <c r="I1019" s="202">
        <v>34.190972000000002</v>
      </c>
      <c r="J1019" s="202">
        <v>119.58672900000001</v>
      </c>
      <c r="K1019" s="75" t="s">
        <v>2276</v>
      </c>
      <c r="L1019" s="3">
        <v>2016</v>
      </c>
      <c r="M1019" s="3">
        <v>2016</v>
      </c>
      <c r="N1019" s="75" t="s">
        <v>2276</v>
      </c>
      <c r="O1019" s="3" t="s">
        <v>67</v>
      </c>
      <c r="P1019" s="3" t="s">
        <v>6334</v>
      </c>
      <c r="Q1019" s="4" t="s">
        <v>6303</v>
      </c>
    </row>
    <row r="1020" spans="1:17" ht="58">
      <c r="A1020" s="31">
        <v>278</v>
      </c>
      <c r="B1020" s="40" t="s">
        <v>6305</v>
      </c>
      <c r="C1020" s="3" t="s">
        <v>6354</v>
      </c>
      <c r="D1020" s="3" t="s">
        <v>2398</v>
      </c>
      <c r="E1020" s="3" t="s">
        <v>2399</v>
      </c>
      <c r="F1020" s="3" t="s">
        <v>6306</v>
      </c>
      <c r="G1020" s="3" t="s">
        <v>87</v>
      </c>
      <c r="H1020" s="3" t="s">
        <v>6307</v>
      </c>
      <c r="I1020" s="202">
        <v>32.187691999999998</v>
      </c>
      <c r="J1020" s="202">
        <v>74.194452999999996</v>
      </c>
      <c r="K1020" s="75" t="s">
        <v>2276</v>
      </c>
      <c r="L1020" s="3">
        <v>2010</v>
      </c>
      <c r="M1020" s="3">
        <v>2010</v>
      </c>
      <c r="N1020" s="75" t="s">
        <v>2276</v>
      </c>
      <c r="O1020" s="3" t="s">
        <v>67</v>
      </c>
      <c r="P1020" s="3" t="s">
        <v>6334</v>
      </c>
      <c r="Q1020" s="4" t="s">
        <v>6308</v>
      </c>
    </row>
    <row r="1021" spans="1:17" ht="88" customHeight="1">
      <c r="A1021" s="31">
        <v>278</v>
      </c>
      <c r="B1021" s="40" t="s">
        <v>6305</v>
      </c>
      <c r="C1021" s="3" t="s">
        <v>6355</v>
      </c>
      <c r="D1021" s="3" t="s">
        <v>2398</v>
      </c>
      <c r="E1021" s="3" t="s">
        <v>2399</v>
      </c>
      <c r="F1021" s="3" t="s">
        <v>6309</v>
      </c>
      <c r="G1021" s="3" t="s">
        <v>87</v>
      </c>
      <c r="H1021" s="3" t="s">
        <v>6307</v>
      </c>
      <c r="I1021" s="202">
        <v>32.494498999999998</v>
      </c>
      <c r="J1021" s="202">
        <v>74.522891999999999</v>
      </c>
      <c r="K1021" s="75" t="s">
        <v>2276</v>
      </c>
      <c r="L1021" s="3">
        <v>2010</v>
      </c>
      <c r="M1021" s="3">
        <v>2010</v>
      </c>
      <c r="N1021" s="75" t="s">
        <v>2276</v>
      </c>
      <c r="O1021" s="3" t="s">
        <v>67</v>
      </c>
      <c r="P1021" s="3" t="s">
        <v>6334</v>
      </c>
      <c r="Q1021" s="4" t="s">
        <v>6308</v>
      </c>
    </row>
    <row r="1022" spans="1:17" ht="31" customHeight="1">
      <c r="A1022" s="31">
        <v>279</v>
      </c>
      <c r="B1022" s="40" t="s">
        <v>6310</v>
      </c>
      <c r="C1022" s="3" t="s">
        <v>6356</v>
      </c>
      <c r="D1022" s="3" t="s">
        <v>2398</v>
      </c>
      <c r="E1022" s="3" t="s">
        <v>2422</v>
      </c>
      <c r="F1022" s="3" t="s">
        <v>6311</v>
      </c>
      <c r="G1022" s="75" t="s">
        <v>2276</v>
      </c>
      <c r="H1022" s="3" t="s">
        <v>3490</v>
      </c>
      <c r="I1022" s="202">
        <v>-17.850000000000001</v>
      </c>
      <c r="J1022" s="202">
        <v>31.566666999999999</v>
      </c>
      <c r="K1022" s="75" t="s">
        <v>2276</v>
      </c>
      <c r="L1022" s="3">
        <v>2009</v>
      </c>
      <c r="M1022" s="3">
        <v>2010</v>
      </c>
      <c r="N1022" s="3">
        <v>104</v>
      </c>
      <c r="O1022" s="3" t="s">
        <v>67</v>
      </c>
      <c r="P1022" s="3" t="s">
        <v>6334</v>
      </c>
      <c r="Q1022" s="4"/>
    </row>
    <row r="1023" spans="1:17" ht="31" customHeight="1">
      <c r="A1023" s="31">
        <v>279</v>
      </c>
      <c r="B1023" s="40" t="s">
        <v>6310</v>
      </c>
      <c r="C1023" s="3" t="s">
        <v>6357</v>
      </c>
      <c r="D1023" s="3" t="s">
        <v>2398</v>
      </c>
      <c r="E1023" s="3" t="s">
        <v>2422</v>
      </c>
      <c r="F1023" s="3" t="s">
        <v>6312</v>
      </c>
      <c r="G1023" s="75" t="s">
        <v>2276</v>
      </c>
      <c r="H1023" s="3" t="s">
        <v>6364</v>
      </c>
      <c r="I1023" s="21">
        <v>-18.833333</v>
      </c>
      <c r="J1023" s="21">
        <v>33.183332999999998</v>
      </c>
      <c r="K1023" s="75" t="s">
        <v>2276</v>
      </c>
      <c r="L1023" s="3">
        <v>2009</v>
      </c>
      <c r="M1023" s="3">
        <v>2010</v>
      </c>
      <c r="N1023" s="3">
        <v>22</v>
      </c>
      <c r="O1023" s="3" t="s">
        <v>67</v>
      </c>
      <c r="P1023" s="3" t="s">
        <v>6334</v>
      </c>
      <c r="Q1023" s="4"/>
    </row>
    <row r="1024" spans="1:17" ht="31" customHeight="1">
      <c r="A1024" s="31">
        <v>279</v>
      </c>
      <c r="B1024" s="40" t="s">
        <v>6310</v>
      </c>
      <c r="C1024" s="3" t="s">
        <v>6358</v>
      </c>
      <c r="D1024" s="3" t="s">
        <v>2398</v>
      </c>
      <c r="E1024" s="3" t="s">
        <v>2422</v>
      </c>
      <c r="F1024" s="3" t="s">
        <v>6313</v>
      </c>
      <c r="G1024" s="75" t="s">
        <v>2276</v>
      </c>
      <c r="H1024" s="3" t="s">
        <v>6364</v>
      </c>
      <c r="I1024" s="21">
        <v>-18.766667000000002</v>
      </c>
      <c r="J1024" s="21">
        <v>34.333333000000003</v>
      </c>
      <c r="K1024" s="75" t="s">
        <v>2276</v>
      </c>
      <c r="L1024" s="3">
        <v>2009</v>
      </c>
      <c r="M1024" s="3">
        <v>2010</v>
      </c>
      <c r="N1024" s="3">
        <v>25</v>
      </c>
      <c r="O1024" s="3" t="s">
        <v>67</v>
      </c>
      <c r="P1024" s="3" t="s">
        <v>6334</v>
      </c>
      <c r="Q1024" s="4"/>
    </row>
    <row r="1025" spans="1:17" ht="43.5">
      <c r="A1025" s="31">
        <v>280</v>
      </c>
      <c r="B1025" s="40" t="s">
        <v>6314</v>
      </c>
      <c r="C1025" s="3" t="s">
        <v>6359</v>
      </c>
      <c r="D1025" s="3" t="s">
        <v>2398</v>
      </c>
      <c r="E1025" s="3" t="s">
        <v>2399</v>
      </c>
      <c r="F1025" s="3" t="s">
        <v>6315</v>
      </c>
      <c r="G1025" s="3" t="s">
        <v>6316</v>
      </c>
      <c r="H1025" s="3" t="s">
        <v>779</v>
      </c>
      <c r="I1025" s="202">
        <v>20.26408</v>
      </c>
      <c r="J1025" s="202">
        <v>106.05813999999999</v>
      </c>
      <c r="K1025" s="75" t="s">
        <v>2276</v>
      </c>
      <c r="L1025" s="3">
        <v>2015</v>
      </c>
      <c r="M1025" s="3">
        <v>2015</v>
      </c>
      <c r="N1025" s="75" t="s">
        <v>2276</v>
      </c>
      <c r="O1025" s="3" t="s">
        <v>67</v>
      </c>
      <c r="P1025" s="3" t="s">
        <v>6334</v>
      </c>
      <c r="Q1025" s="4" t="s">
        <v>6317</v>
      </c>
    </row>
    <row r="1026" spans="1:17" ht="43.5">
      <c r="A1026" s="31">
        <v>280</v>
      </c>
      <c r="B1026" s="40" t="s">
        <v>6314</v>
      </c>
      <c r="C1026" s="3" t="s">
        <v>6360</v>
      </c>
      <c r="D1026" s="3" t="s">
        <v>2398</v>
      </c>
      <c r="E1026" s="3" t="s">
        <v>2399</v>
      </c>
      <c r="F1026" s="3" t="s">
        <v>6318</v>
      </c>
      <c r="G1026" s="3" t="s">
        <v>6319</v>
      </c>
      <c r="H1026" s="3" t="s">
        <v>779</v>
      </c>
      <c r="I1026" s="202">
        <v>21.342251000000001</v>
      </c>
      <c r="J1026" s="202">
        <v>106.014059</v>
      </c>
      <c r="K1026" s="75" t="s">
        <v>2276</v>
      </c>
      <c r="L1026" s="3">
        <v>2015</v>
      </c>
      <c r="M1026" s="3">
        <v>2015</v>
      </c>
      <c r="N1026" s="75" t="s">
        <v>2276</v>
      </c>
      <c r="O1026" s="3" t="s">
        <v>67</v>
      </c>
      <c r="P1026" s="3" t="s">
        <v>6334</v>
      </c>
      <c r="Q1026" s="4" t="s">
        <v>6317</v>
      </c>
    </row>
    <row r="1027" spans="1:17" ht="43.5">
      <c r="A1027" s="31">
        <v>280</v>
      </c>
      <c r="B1027" s="40" t="s">
        <v>6314</v>
      </c>
      <c r="C1027" s="3" t="s">
        <v>6361</v>
      </c>
      <c r="D1027" s="3" t="s">
        <v>2398</v>
      </c>
      <c r="E1027" s="3" t="s">
        <v>2399</v>
      </c>
      <c r="F1027" s="3" t="s">
        <v>6320</v>
      </c>
      <c r="G1027" s="3" t="s">
        <v>6321</v>
      </c>
      <c r="H1027" s="3" t="s">
        <v>779</v>
      </c>
      <c r="I1027" s="202">
        <v>21.868908999999999</v>
      </c>
      <c r="J1027" s="202">
        <v>104.18146900000001</v>
      </c>
      <c r="K1027" s="75" t="s">
        <v>2276</v>
      </c>
      <c r="L1027" s="3">
        <v>2015</v>
      </c>
      <c r="M1027" s="3">
        <v>2015</v>
      </c>
      <c r="N1027" s="75" t="s">
        <v>2276</v>
      </c>
      <c r="O1027" s="3" t="s">
        <v>67</v>
      </c>
      <c r="P1027" s="3" t="s">
        <v>6334</v>
      </c>
      <c r="Q1027" s="4" t="s">
        <v>6317</v>
      </c>
    </row>
    <row r="1028" spans="1:17" ht="116">
      <c r="A1028" s="31">
        <v>281</v>
      </c>
      <c r="B1028" s="40" t="s">
        <v>6322</v>
      </c>
      <c r="C1028" s="3" t="s">
        <v>5439</v>
      </c>
      <c r="D1028" s="3" t="s">
        <v>2398</v>
      </c>
      <c r="E1028" s="3" t="s">
        <v>2422</v>
      </c>
      <c r="F1028" s="3" t="s">
        <v>6323</v>
      </c>
      <c r="G1028" s="3" t="s">
        <v>6324</v>
      </c>
      <c r="H1028" s="3" t="s">
        <v>114</v>
      </c>
      <c r="I1028" s="202">
        <v>33.957483000000003</v>
      </c>
      <c r="J1028" s="202">
        <v>118.28627</v>
      </c>
      <c r="K1028" s="21">
        <v>8555</v>
      </c>
      <c r="L1028" s="3">
        <v>2001</v>
      </c>
      <c r="M1028" s="3">
        <v>2005</v>
      </c>
      <c r="N1028" s="75" t="s">
        <v>2276</v>
      </c>
      <c r="O1028" s="3" t="s">
        <v>67</v>
      </c>
      <c r="P1028" s="3" t="s">
        <v>6334</v>
      </c>
      <c r="Q1028" s="4" t="s">
        <v>6325</v>
      </c>
    </row>
    <row r="1029" spans="1:17" ht="43.5">
      <c r="A1029" s="31">
        <v>282</v>
      </c>
      <c r="B1029" s="40" t="s">
        <v>6326</v>
      </c>
      <c r="C1029" s="3" t="s">
        <v>6362</v>
      </c>
      <c r="D1029" s="3" t="s">
        <v>2398</v>
      </c>
      <c r="E1029" s="3" t="s">
        <v>2399</v>
      </c>
      <c r="F1029" s="3" t="s">
        <v>6327</v>
      </c>
      <c r="G1029" s="3" t="s">
        <v>6328</v>
      </c>
      <c r="H1029" s="3" t="s">
        <v>895</v>
      </c>
      <c r="I1029" s="202">
        <v>-8.7302070000000001</v>
      </c>
      <c r="J1029" s="202">
        <v>115.545165</v>
      </c>
      <c r="K1029" s="75" t="s">
        <v>2276</v>
      </c>
      <c r="L1029" s="3">
        <v>2017</v>
      </c>
      <c r="M1029" s="3">
        <v>2017</v>
      </c>
      <c r="N1029" s="75" t="s">
        <v>2276</v>
      </c>
      <c r="O1029" s="3" t="s">
        <v>67</v>
      </c>
      <c r="P1029" s="3" t="s">
        <v>6334</v>
      </c>
      <c r="Q1029" s="4" t="s">
        <v>6329</v>
      </c>
    </row>
    <row r="1030" spans="1:17" ht="43.5">
      <c r="A1030" s="31">
        <v>283</v>
      </c>
      <c r="B1030" s="40" t="s">
        <v>6330</v>
      </c>
      <c r="C1030" s="3" t="s">
        <v>6363</v>
      </c>
      <c r="D1030" s="3" t="s">
        <v>2398</v>
      </c>
      <c r="E1030" s="3" t="s">
        <v>2422</v>
      </c>
      <c r="F1030" s="75" t="s">
        <v>2276</v>
      </c>
      <c r="G1030" s="3" t="s">
        <v>6331</v>
      </c>
      <c r="H1030" s="3" t="s">
        <v>6332</v>
      </c>
      <c r="I1030" s="202">
        <v>51.79363</v>
      </c>
      <c r="J1030" s="202">
        <v>82.67586</v>
      </c>
      <c r="K1030" s="21">
        <v>86000</v>
      </c>
      <c r="L1030" s="3">
        <v>2013</v>
      </c>
      <c r="M1030" s="3">
        <v>2014</v>
      </c>
      <c r="N1030" s="75" t="s">
        <v>2276</v>
      </c>
      <c r="O1030" s="3" t="s">
        <v>67</v>
      </c>
      <c r="P1030" s="3" t="s">
        <v>6334</v>
      </c>
      <c r="Q1030" s="4" t="s">
        <v>6333</v>
      </c>
    </row>
    <row r="1031" spans="1:17" ht="43" customHeight="1">
      <c r="A1031" s="188">
        <v>284</v>
      </c>
      <c r="B1031" s="207" t="s">
        <v>6382</v>
      </c>
      <c r="C1031" s="26" t="s">
        <v>6415</v>
      </c>
      <c r="D1031" s="26" t="s">
        <v>2633</v>
      </c>
      <c r="E1031" s="26" t="s">
        <v>2636</v>
      </c>
      <c r="F1031" s="26" t="s">
        <v>6383</v>
      </c>
      <c r="G1031" s="75" t="s">
        <v>2276</v>
      </c>
      <c r="H1031" s="26" t="s">
        <v>3414</v>
      </c>
      <c r="I1031" s="26">
        <v>-33.200000000000003</v>
      </c>
      <c r="J1031" s="26">
        <v>117.4</v>
      </c>
      <c r="K1031" s="26">
        <v>25000</v>
      </c>
      <c r="L1031" s="26">
        <v>1962</v>
      </c>
      <c r="M1031" s="26">
        <v>1990</v>
      </c>
      <c r="N1031" s="75" t="s">
        <v>2276</v>
      </c>
      <c r="O1031" s="26" t="s">
        <v>67</v>
      </c>
      <c r="P1031" s="19" t="s">
        <v>6414</v>
      </c>
      <c r="Q1031" s="26" t="s">
        <v>7932</v>
      </c>
    </row>
    <row r="1032" spans="1:17" ht="42" customHeight="1">
      <c r="A1032" s="188">
        <v>284</v>
      </c>
      <c r="B1032" s="208" t="s">
        <v>6382</v>
      </c>
      <c r="C1032" s="26" t="s">
        <v>6416</v>
      </c>
      <c r="D1032" s="26" t="s">
        <v>2633</v>
      </c>
      <c r="E1032" s="26" t="s">
        <v>2636</v>
      </c>
      <c r="F1032" s="26" t="s">
        <v>6383</v>
      </c>
      <c r="G1032" s="75" t="s">
        <v>2276</v>
      </c>
      <c r="H1032" s="26" t="s">
        <v>3414</v>
      </c>
      <c r="I1032" s="26">
        <v>-33.200000000000003</v>
      </c>
      <c r="J1032" s="26">
        <v>117.4</v>
      </c>
      <c r="K1032" s="26">
        <v>25000</v>
      </c>
      <c r="L1032" s="26">
        <v>1991</v>
      </c>
      <c r="M1032" s="26">
        <v>2012</v>
      </c>
      <c r="N1032" s="75" t="s">
        <v>2276</v>
      </c>
      <c r="O1032" s="26" t="s">
        <v>67</v>
      </c>
      <c r="P1032" s="19" t="s">
        <v>6414</v>
      </c>
      <c r="Q1032" s="26" t="s">
        <v>7932</v>
      </c>
    </row>
    <row r="1033" spans="1:17" ht="87">
      <c r="A1033" s="188">
        <v>285</v>
      </c>
      <c r="B1033" s="208" t="s">
        <v>6384</v>
      </c>
      <c r="C1033" s="26" t="s">
        <v>6417</v>
      </c>
      <c r="D1033" s="26" t="s">
        <v>2398</v>
      </c>
      <c r="E1033" s="26" t="s">
        <v>4847</v>
      </c>
      <c r="F1033" s="26" t="s">
        <v>6385</v>
      </c>
      <c r="G1033" s="26" t="s">
        <v>5781</v>
      </c>
      <c r="H1033" s="26" t="s">
        <v>4112</v>
      </c>
      <c r="I1033" s="26">
        <v>64.83</v>
      </c>
      <c r="J1033" s="26">
        <v>-147.72</v>
      </c>
      <c r="K1033" s="26">
        <v>79</v>
      </c>
      <c r="L1033" s="26">
        <v>1988</v>
      </c>
      <c r="M1033" s="26">
        <v>2016</v>
      </c>
      <c r="N1033" s="209">
        <v>379.74683544303798</v>
      </c>
      <c r="O1033" s="26" t="s">
        <v>67</v>
      </c>
      <c r="P1033" s="19" t="s">
        <v>6414</v>
      </c>
      <c r="Q1033" s="26" t="s">
        <v>6386</v>
      </c>
    </row>
    <row r="1034" spans="1:17" ht="130.5">
      <c r="A1034" s="188">
        <v>285</v>
      </c>
      <c r="B1034" s="208" t="s">
        <v>6384</v>
      </c>
      <c r="C1034" s="26" t="s">
        <v>6418</v>
      </c>
      <c r="D1034" s="26" t="s">
        <v>2398</v>
      </c>
      <c r="E1034" s="26" t="s">
        <v>4847</v>
      </c>
      <c r="F1034" s="75" t="s">
        <v>2276</v>
      </c>
      <c r="G1034" s="26" t="s">
        <v>5781</v>
      </c>
      <c r="H1034" s="26" t="s">
        <v>4112</v>
      </c>
      <c r="I1034" s="26">
        <v>65.5</v>
      </c>
      <c r="J1034" s="26">
        <v>-149.30000000000001</v>
      </c>
      <c r="K1034" s="26">
        <v>455000</v>
      </c>
      <c r="L1034" s="26">
        <v>1988</v>
      </c>
      <c r="M1034" s="26">
        <v>2016</v>
      </c>
      <c r="N1034" s="209">
        <v>0.25934065934065897</v>
      </c>
      <c r="O1034" s="4" t="s">
        <v>67</v>
      </c>
      <c r="P1034" s="19" t="s">
        <v>6414</v>
      </c>
      <c r="Q1034" s="26" t="s">
        <v>6387</v>
      </c>
    </row>
    <row r="1035" spans="1:17" ht="30" customHeight="1">
      <c r="A1035" s="193">
        <v>286</v>
      </c>
      <c r="B1035" s="208" t="s">
        <v>6388</v>
      </c>
      <c r="C1035" s="4" t="s">
        <v>6419</v>
      </c>
      <c r="D1035" s="4" t="s">
        <v>2416</v>
      </c>
      <c r="E1035" s="4" t="s">
        <v>2636</v>
      </c>
      <c r="F1035" s="4" t="s">
        <v>4032</v>
      </c>
      <c r="G1035" s="75" t="s">
        <v>2276</v>
      </c>
      <c r="H1035" s="4" t="s">
        <v>4032</v>
      </c>
      <c r="I1035" s="58"/>
      <c r="J1035" s="58"/>
      <c r="K1035" s="58"/>
      <c r="L1035" s="4">
        <v>2007</v>
      </c>
      <c r="M1035" s="4">
        <v>2007</v>
      </c>
      <c r="N1035" s="75" t="s">
        <v>2276</v>
      </c>
      <c r="O1035" s="4" t="s">
        <v>67</v>
      </c>
      <c r="P1035" s="19" t="s">
        <v>6414</v>
      </c>
      <c r="Q1035" s="4"/>
    </row>
    <row r="1036" spans="1:17" ht="30" customHeight="1">
      <c r="A1036" s="193">
        <v>286</v>
      </c>
      <c r="B1036" s="208" t="s">
        <v>6388</v>
      </c>
      <c r="C1036" s="4" t="s">
        <v>6420</v>
      </c>
      <c r="D1036" s="4" t="s">
        <v>2416</v>
      </c>
      <c r="E1036" s="4" t="s">
        <v>2636</v>
      </c>
      <c r="F1036" s="4" t="s">
        <v>4032</v>
      </c>
      <c r="G1036" s="75" t="s">
        <v>2276</v>
      </c>
      <c r="H1036" s="4" t="s">
        <v>4032</v>
      </c>
      <c r="I1036" s="58"/>
      <c r="J1036" s="58"/>
      <c r="K1036" s="58"/>
      <c r="L1036" s="4">
        <v>2007</v>
      </c>
      <c r="M1036" s="4">
        <v>2007</v>
      </c>
      <c r="N1036" s="75" t="s">
        <v>2276</v>
      </c>
      <c r="O1036" s="4" t="s">
        <v>67</v>
      </c>
      <c r="P1036" s="19" t="s">
        <v>6414</v>
      </c>
      <c r="Q1036" s="4"/>
    </row>
    <row r="1037" spans="1:17" ht="30" customHeight="1">
      <c r="A1037" s="193">
        <v>286</v>
      </c>
      <c r="B1037" s="208" t="s">
        <v>6388</v>
      </c>
      <c r="C1037" s="4" t="s">
        <v>6421</v>
      </c>
      <c r="D1037" s="4" t="s">
        <v>2416</v>
      </c>
      <c r="E1037" s="4" t="s">
        <v>2636</v>
      </c>
      <c r="F1037" s="4" t="s">
        <v>4032</v>
      </c>
      <c r="G1037" s="75" t="s">
        <v>2276</v>
      </c>
      <c r="H1037" s="4" t="s">
        <v>4032</v>
      </c>
      <c r="I1037" s="58"/>
      <c r="J1037" s="58"/>
      <c r="K1037" s="58"/>
      <c r="L1037" s="4">
        <v>2007</v>
      </c>
      <c r="M1037" s="4">
        <v>2007</v>
      </c>
      <c r="N1037" s="75" t="s">
        <v>2276</v>
      </c>
      <c r="O1037" s="4" t="s">
        <v>67</v>
      </c>
      <c r="P1037" s="19" t="s">
        <v>6414</v>
      </c>
      <c r="Q1037" s="4"/>
    </row>
    <row r="1038" spans="1:17" ht="30" customHeight="1">
      <c r="A1038" s="193">
        <v>287</v>
      </c>
      <c r="B1038" s="41" t="s">
        <v>6389</v>
      </c>
      <c r="C1038" s="4" t="s">
        <v>6422</v>
      </c>
      <c r="D1038" s="4" t="s">
        <v>2398</v>
      </c>
      <c r="E1038" s="26" t="s">
        <v>4847</v>
      </c>
      <c r="F1038" s="4" t="s">
        <v>6390</v>
      </c>
      <c r="G1038" s="4" t="s">
        <v>4132</v>
      </c>
      <c r="H1038" s="4" t="s">
        <v>4112</v>
      </c>
      <c r="I1038" s="75">
        <v>34.4</v>
      </c>
      <c r="J1038" s="75">
        <v>-118.3</v>
      </c>
      <c r="K1038" s="210">
        <v>264</v>
      </c>
      <c r="L1038" s="4">
        <v>1980</v>
      </c>
      <c r="M1038" s="4">
        <v>2007</v>
      </c>
      <c r="N1038" s="75" t="s">
        <v>2276</v>
      </c>
      <c r="O1038" s="4" t="s">
        <v>67</v>
      </c>
      <c r="P1038" s="19" t="s">
        <v>6414</v>
      </c>
      <c r="Q1038" s="4"/>
    </row>
    <row r="1039" spans="1:17" ht="30" customHeight="1">
      <c r="A1039" s="193">
        <v>287</v>
      </c>
      <c r="B1039" s="208" t="s">
        <v>6389</v>
      </c>
      <c r="C1039" s="4" t="s">
        <v>6423</v>
      </c>
      <c r="D1039" s="4" t="s">
        <v>2398</v>
      </c>
      <c r="E1039" s="26" t="s">
        <v>4847</v>
      </c>
      <c r="F1039" s="4" t="s">
        <v>6391</v>
      </c>
      <c r="G1039" s="4" t="s">
        <v>4132</v>
      </c>
      <c r="H1039" s="4" t="s">
        <v>4112</v>
      </c>
      <c r="I1039" s="75">
        <v>34.799999999999997</v>
      </c>
      <c r="J1039" s="75">
        <v>-119.6</v>
      </c>
      <c r="K1039" s="210">
        <v>615</v>
      </c>
      <c r="L1039" s="4">
        <v>1980</v>
      </c>
      <c r="M1039" s="4">
        <v>2007</v>
      </c>
      <c r="N1039" s="75" t="s">
        <v>2276</v>
      </c>
      <c r="O1039" s="4" t="s">
        <v>67</v>
      </c>
      <c r="P1039" s="19" t="s">
        <v>6414</v>
      </c>
      <c r="Q1039" s="4"/>
    </row>
    <row r="1040" spans="1:17" ht="30" customHeight="1">
      <c r="A1040" s="193">
        <v>287</v>
      </c>
      <c r="B1040" s="208" t="s">
        <v>6389</v>
      </c>
      <c r="C1040" s="4" t="s">
        <v>6424</v>
      </c>
      <c r="D1040" s="4" t="s">
        <v>2398</v>
      </c>
      <c r="E1040" s="26" t="s">
        <v>4847</v>
      </c>
      <c r="F1040" s="4" t="s">
        <v>6392</v>
      </c>
      <c r="G1040" s="4" t="s">
        <v>4132</v>
      </c>
      <c r="H1040" s="4" t="s">
        <v>4112</v>
      </c>
      <c r="I1040" s="75">
        <v>33.69</v>
      </c>
      <c r="J1040" s="75">
        <v>-116.6</v>
      </c>
      <c r="K1040" s="210">
        <v>305</v>
      </c>
      <c r="L1040" s="4">
        <v>1980</v>
      </c>
      <c r="M1040" s="4">
        <v>2007</v>
      </c>
      <c r="N1040" s="75" t="s">
        <v>2276</v>
      </c>
      <c r="O1040" s="4" t="s">
        <v>67</v>
      </c>
      <c r="P1040" s="19" t="s">
        <v>6414</v>
      </c>
      <c r="Q1040" s="4"/>
    </row>
    <row r="1041" spans="1:17" ht="30" customHeight="1">
      <c r="A1041" s="193">
        <v>287</v>
      </c>
      <c r="B1041" s="208" t="s">
        <v>6389</v>
      </c>
      <c r="C1041" s="4" t="s">
        <v>6425</v>
      </c>
      <c r="D1041" s="4" t="s">
        <v>2398</v>
      </c>
      <c r="E1041" s="26" t="s">
        <v>4847</v>
      </c>
      <c r="F1041" s="4" t="s">
        <v>6393</v>
      </c>
      <c r="G1041" s="4" t="s">
        <v>4132</v>
      </c>
      <c r="H1041" s="4" t="s">
        <v>4112</v>
      </c>
      <c r="I1041" s="75">
        <v>32.9</v>
      </c>
      <c r="J1041" s="75">
        <v>-116.5</v>
      </c>
      <c r="K1041" s="210">
        <v>211</v>
      </c>
      <c r="L1041" s="4">
        <v>1980</v>
      </c>
      <c r="M1041" s="4">
        <v>2007</v>
      </c>
      <c r="N1041" s="75" t="s">
        <v>2276</v>
      </c>
      <c r="O1041" s="4" t="s">
        <v>67</v>
      </c>
      <c r="P1041" s="19" t="s">
        <v>6414</v>
      </c>
      <c r="Q1041" s="4"/>
    </row>
    <row r="1042" spans="1:17" ht="72.5">
      <c r="A1042" s="193">
        <v>288</v>
      </c>
      <c r="B1042" s="207" t="s">
        <v>6394</v>
      </c>
      <c r="C1042" s="4" t="s">
        <v>6426</v>
      </c>
      <c r="D1042" s="4" t="s">
        <v>2398</v>
      </c>
      <c r="E1042" s="4" t="s">
        <v>2636</v>
      </c>
      <c r="F1042" s="4" t="s">
        <v>6395</v>
      </c>
      <c r="G1042" s="4" t="s">
        <v>6396</v>
      </c>
      <c r="H1042" s="4" t="s">
        <v>4112</v>
      </c>
      <c r="I1042" s="75">
        <v>43.2</v>
      </c>
      <c r="J1042" s="75">
        <v>-121.6</v>
      </c>
      <c r="K1042" s="210">
        <v>15578</v>
      </c>
      <c r="L1042" s="4">
        <v>1905</v>
      </c>
      <c r="M1042" s="4">
        <v>1924</v>
      </c>
      <c r="N1042" s="75" t="s">
        <v>2276</v>
      </c>
      <c r="O1042" s="4" t="s">
        <v>67</v>
      </c>
      <c r="P1042" s="19" t="s">
        <v>6414</v>
      </c>
      <c r="Q1042" s="4" t="s">
        <v>6397</v>
      </c>
    </row>
    <row r="1043" spans="1:17" ht="72.5">
      <c r="A1043" s="193">
        <v>288</v>
      </c>
      <c r="B1043" s="207" t="s">
        <v>6394</v>
      </c>
      <c r="C1043" s="4" t="s">
        <v>6427</v>
      </c>
      <c r="D1043" s="4" t="s">
        <v>2398</v>
      </c>
      <c r="E1043" s="4" t="s">
        <v>2636</v>
      </c>
      <c r="F1043" s="4" t="s">
        <v>6395</v>
      </c>
      <c r="G1043" s="4" t="s">
        <v>6396</v>
      </c>
      <c r="H1043" s="4" t="s">
        <v>4112</v>
      </c>
      <c r="I1043" s="75">
        <v>43.2</v>
      </c>
      <c r="J1043" s="75">
        <v>-121.6</v>
      </c>
      <c r="K1043" s="210">
        <v>15578</v>
      </c>
      <c r="L1043" s="4">
        <v>1925</v>
      </c>
      <c r="M1043" s="4">
        <v>1975</v>
      </c>
      <c r="N1043" s="75" t="s">
        <v>2276</v>
      </c>
      <c r="O1043" s="4" t="s">
        <v>67</v>
      </c>
      <c r="P1043" s="19" t="s">
        <v>6414</v>
      </c>
      <c r="Q1043" s="4" t="s">
        <v>6397</v>
      </c>
    </row>
    <row r="1044" spans="1:17" ht="72.5">
      <c r="A1044" s="193">
        <v>288</v>
      </c>
      <c r="B1044" s="207" t="s">
        <v>6394</v>
      </c>
      <c r="C1044" s="4" t="s">
        <v>6428</v>
      </c>
      <c r="D1044" s="4" t="s">
        <v>2398</v>
      </c>
      <c r="E1044" s="4" t="s">
        <v>2636</v>
      </c>
      <c r="F1044" s="4" t="s">
        <v>6395</v>
      </c>
      <c r="G1044" s="4" t="s">
        <v>6396</v>
      </c>
      <c r="H1044" s="4" t="s">
        <v>4112</v>
      </c>
      <c r="I1044" s="75">
        <v>43.2</v>
      </c>
      <c r="J1044" s="75">
        <v>-121.6</v>
      </c>
      <c r="K1044" s="210">
        <v>15578</v>
      </c>
      <c r="L1044" s="4">
        <v>1976</v>
      </c>
      <c r="M1044" s="4">
        <v>1995</v>
      </c>
      <c r="N1044" s="75" t="s">
        <v>2276</v>
      </c>
      <c r="O1044" s="4" t="s">
        <v>67</v>
      </c>
      <c r="P1044" s="19" t="s">
        <v>6414</v>
      </c>
      <c r="Q1044" s="4" t="s">
        <v>6397</v>
      </c>
    </row>
    <row r="1045" spans="1:17" ht="73.5" customHeight="1">
      <c r="A1045" s="193">
        <v>288</v>
      </c>
      <c r="B1045" s="207" t="s">
        <v>6394</v>
      </c>
      <c r="C1045" s="4" t="s">
        <v>6429</v>
      </c>
      <c r="D1045" s="4" t="s">
        <v>2398</v>
      </c>
      <c r="E1045" s="4" t="s">
        <v>2636</v>
      </c>
      <c r="F1045" s="4" t="s">
        <v>6395</v>
      </c>
      <c r="G1045" s="4" t="s">
        <v>6396</v>
      </c>
      <c r="H1045" s="4" t="s">
        <v>4112</v>
      </c>
      <c r="I1045" s="75">
        <v>43.2</v>
      </c>
      <c r="J1045" s="75">
        <v>-121.6</v>
      </c>
      <c r="K1045" s="210">
        <v>15578</v>
      </c>
      <c r="L1045" s="4">
        <v>1995</v>
      </c>
      <c r="M1045" s="4">
        <v>2010</v>
      </c>
      <c r="N1045" s="75" t="s">
        <v>2276</v>
      </c>
      <c r="O1045" s="4" t="s">
        <v>67</v>
      </c>
      <c r="P1045" s="19" t="s">
        <v>6414</v>
      </c>
      <c r="Q1045" s="4" t="s">
        <v>6397</v>
      </c>
    </row>
    <row r="1046" spans="1:17" ht="73.5" customHeight="1">
      <c r="A1046" s="193">
        <v>288</v>
      </c>
      <c r="B1046" s="207" t="s">
        <v>6394</v>
      </c>
      <c r="C1046" s="4" t="s">
        <v>6430</v>
      </c>
      <c r="D1046" s="4" t="s">
        <v>2398</v>
      </c>
      <c r="E1046" s="4" t="s">
        <v>2636</v>
      </c>
      <c r="F1046" s="4" t="s">
        <v>6395</v>
      </c>
      <c r="G1046" s="4" t="s">
        <v>6396</v>
      </c>
      <c r="H1046" s="4" t="s">
        <v>4112</v>
      </c>
      <c r="I1046" s="75">
        <v>42.8</v>
      </c>
      <c r="J1046" s="75">
        <v>-121.3</v>
      </c>
      <c r="K1046" s="75" t="s">
        <v>2276</v>
      </c>
      <c r="L1046" s="4">
        <v>1911</v>
      </c>
      <c r="M1046" s="4">
        <v>1924</v>
      </c>
      <c r="N1046" s="75" t="s">
        <v>2276</v>
      </c>
      <c r="O1046" s="4" t="s">
        <v>67</v>
      </c>
      <c r="P1046" s="19" t="s">
        <v>6414</v>
      </c>
      <c r="Q1046" s="4"/>
    </row>
    <row r="1047" spans="1:17" ht="73.5" customHeight="1">
      <c r="A1047" s="193">
        <v>288</v>
      </c>
      <c r="B1047" s="207" t="s">
        <v>6394</v>
      </c>
      <c r="C1047" s="4" t="s">
        <v>6431</v>
      </c>
      <c r="D1047" s="4" t="s">
        <v>2398</v>
      </c>
      <c r="E1047" s="4" t="s">
        <v>2636</v>
      </c>
      <c r="F1047" s="4" t="s">
        <v>6395</v>
      </c>
      <c r="G1047" s="4" t="s">
        <v>6396</v>
      </c>
      <c r="H1047" s="4" t="s">
        <v>4112</v>
      </c>
      <c r="I1047" s="75">
        <v>42.8</v>
      </c>
      <c r="J1047" s="75">
        <v>-121.3</v>
      </c>
      <c r="K1047" s="75" t="s">
        <v>2276</v>
      </c>
      <c r="L1047" s="4">
        <v>1925</v>
      </c>
      <c r="M1047" s="4">
        <v>1997</v>
      </c>
      <c r="N1047" s="75" t="s">
        <v>2276</v>
      </c>
      <c r="O1047" s="4" t="s">
        <v>67</v>
      </c>
      <c r="P1047" s="19" t="s">
        <v>6414</v>
      </c>
      <c r="Q1047" s="4"/>
    </row>
    <row r="1048" spans="1:17" ht="73.5" customHeight="1">
      <c r="A1048" s="193">
        <v>288</v>
      </c>
      <c r="B1048" s="207" t="s">
        <v>6394</v>
      </c>
      <c r="C1048" s="4" t="s">
        <v>6635</v>
      </c>
      <c r="D1048" s="4" t="s">
        <v>2398</v>
      </c>
      <c r="E1048" s="4" t="s">
        <v>2636</v>
      </c>
      <c r="F1048" s="4" t="s">
        <v>6395</v>
      </c>
      <c r="G1048" s="4" t="s">
        <v>6396</v>
      </c>
      <c r="H1048" s="4" t="s">
        <v>4112</v>
      </c>
      <c r="I1048" s="75">
        <v>42.8</v>
      </c>
      <c r="J1048" s="75">
        <v>-121.3</v>
      </c>
      <c r="K1048" s="75" t="s">
        <v>2276</v>
      </c>
      <c r="L1048" s="4">
        <v>1998</v>
      </c>
      <c r="M1048" s="4">
        <v>2010</v>
      </c>
      <c r="N1048" s="75" t="s">
        <v>2276</v>
      </c>
      <c r="O1048" s="4" t="s">
        <v>67</v>
      </c>
      <c r="P1048" s="19" t="s">
        <v>6414</v>
      </c>
      <c r="Q1048" s="4"/>
    </row>
    <row r="1049" spans="1:17" ht="43.5">
      <c r="A1049" s="193">
        <v>288</v>
      </c>
      <c r="B1049" s="207" t="s">
        <v>6394</v>
      </c>
      <c r="C1049" s="4" t="s">
        <v>6433</v>
      </c>
      <c r="D1049" s="4" t="s">
        <v>2398</v>
      </c>
      <c r="E1049" s="4" t="s">
        <v>2636</v>
      </c>
      <c r="F1049" s="4" t="s">
        <v>6398</v>
      </c>
      <c r="G1049" s="4" t="s">
        <v>6396</v>
      </c>
      <c r="H1049" s="4" t="s">
        <v>4112</v>
      </c>
      <c r="I1049" s="75">
        <v>44.8</v>
      </c>
      <c r="J1049" s="75">
        <v>-121.4</v>
      </c>
      <c r="K1049" s="210">
        <v>2640</v>
      </c>
      <c r="L1049" s="4">
        <v>1910</v>
      </c>
      <c r="M1049" s="4">
        <v>1924</v>
      </c>
      <c r="N1049" s="75" t="s">
        <v>2276</v>
      </c>
      <c r="O1049" s="4" t="s">
        <v>67</v>
      </c>
      <c r="P1049" s="19" t="s">
        <v>6414</v>
      </c>
      <c r="Q1049" s="4" t="s">
        <v>6399</v>
      </c>
    </row>
    <row r="1050" spans="1:17" ht="43.5">
      <c r="A1050" s="193">
        <v>288</v>
      </c>
      <c r="B1050" s="207" t="s">
        <v>6394</v>
      </c>
      <c r="C1050" s="4" t="s">
        <v>6434</v>
      </c>
      <c r="D1050" s="4" t="s">
        <v>2398</v>
      </c>
      <c r="E1050" s="4" t="s">
        <v>2636</v>
      </c>
      <c r="F1050" s="4" t="s">
        <v>6398</v>
      </c>
      <c r="G1050" s="4" t="s">
        <v>6396</v>
      </c>
      <c r="H1050" s="4" t="s">
        <v>4112</v>
      </c>
      <c r="I1050" s="75">
        <v>44.8</v>
      </c>
      <c r="J1050" s="75">
        <v>-121.4</v>
      </c>
      <c r="K1050" s="210">
        <v>2640</v>
      </c>
      <c r="L1050" s="4">
        <v>1925</v>
      </c>
      <c r="M1050" s="4">
        <v>1975</v>
      </c>
      <c r="N1050" s="75" t="s">
        <v>2276</v>
      </c>
      <c r="O1050" s="4" t="s">
        <v>67</v>
      </c>
      <c r="P1050" s="19" t="s">
        <v>6414</v>
      </c>
      <c r="Q1050" s="4" t="s">
        <v>6399</v>
      </c>
    </row>
    <row r="1051" spans="1:17" ht="43.5">
      <c r="A1051" s="193">
        <v>288</v>
      </c>
      <c r="B1051" s="207" t="s">
        <v>6394</v>
      </c>
      <c r="C1051" s="4" t="s">
        <v>6435</v>
      </c>
      <c r="D1051" s="4" t="s">
        <v>2398</v>
      </c>
      <c r="E1051" s="4" t="s">
        <v>2636</v>
      </c>
      <c r="F1051" s="4" t="s">
        <v>6398</v>
      </c>
      <c r="G1051" s="4" t="s">
        <v>6396</v>
      </c>
      <c r="H1051" s="4" t="s">
        <v>4112</v>
      </c>
      <c r="I1051" s="75">
        <v>44.8</v>
      </c>
      <c r="J1051" s="75">
        <v>-121.4</v>
      </c>
      <c r="K1051" s="210">
        <v>2640</v>
      </c>
      <c r="L1051" s="4">
        <v>1976</v>
      </c>
      <c r="M1051" s="4">
        <v>1995</v>
      </c>
      <c r="N1051" s="75" t="s">
        <v>2276</v>
      </c>
      <c r="O1051" s="4" t="s">
        <v>67</v>
      </c>
      <c r="P1051" s="19" t="s">
        <v>6414</v>
      </c>
      <c r="Q1051" s="4" t="s">
        <v>6399</v>
      </c>
    </row>
    <row r="1052" spans="1:17" ht="43.5">
      <c r="A1052" s="193">
        <v>288</v>
      </c>
      <c r="B1052" s="207" t="s">
        <v>6394</v>
      </c>
      <c r="C1052" s="4" t="s">
        <v>6436</v>
      </c>
      <c r="D1052" s="4" t="s">
        <v>2398</v>
      </c>
      <c r="E1052" s="4" t="s">
        <v>2636</v>
      </c>
      <c r="F1052" s="4" t="s">
        <v>6398</v>
      </c>
      <c r="G1052" s="4" t="s">
        <v>6396</v>
      </c>
      <c r="H1052" s="4" t="s">
        <v>4112</v>
      </c>
      <c r="I1052" s="75">
        <v>44.8</v>
      </c>
      <c r="J1052" s="75">
        <v>-121.4</v>
      </c>
      <c r="K1052" s="210">
        <v>2640</v>
      </c>
      <c r="L1052" s="4">
        <v>1996</v>
      </c>
      <c r="M1052" s="4">
        <v>2010</v>
      </c>
      <c r="N1052" s="75" t="s">
        <v>2276</v>
      </c>
      <c r="O1052" s="4" t="s">
        <v>67</v>
      </c>
      <c r="P1052" s="19" t="s">
        <v>6414</v>
      </c>
      <c r="Q1052" s="4" t="s">
        <v>6399</v>
      </c>
    </row>
    <row r="1053" spans="1:17" ht="41.5" customHeight="1">
      <c r="A1053" s="193">
        <v>289</v>
      </c>
      <c r="B1053" s="208" t="s">
        <v>6400</v>
      </c>
      <c r="C1053" s="4" t="s">
        <v>6437</v>
      </c>
      <c r="D1053" s="4" t="s">
        <v>2398</v>
      </c>
      <c r="E1053" s="4" t="s">
        <v>2636</v>
      </c>
      <c r="F1053" s="4" t="s">
        <v>6401</v>
      </c>
      <c r="G1053" s="4" t="s">
        <v>6402</v>
      </c>
      <c r="H1053" s="4" t="s">
        <v>5373</v>
      </c>
      <c r="I1053" s="75">
        <v>60</v>
      </c>
      <c r="J1053" s="75">
        <v>-112.1</v>
      </c>
      <c r="K1053" s="210">
        <v>43000</v>
      </c>
      <c r="L1053" s="4">
        <v>1970</v>
      </c>
      <c r="M1053" s="4">
        <v>2015</v>
      </c>
      <c r="N1053" s="75" t="s">
        <v>2276</v>
      </c>
      <c r="O1053" s="4" t="s">
        <v>67</v>
      </c>
      <c r="P1053" s="19" t="s">
        <v>6414</v>
      </c>
      <c r="Q1053" s="4"/>
    </row>
    <row r="1054" spans="1:17" ht="58">
      <c r="A1054" s="193">
        <v>289</v>
      </c>
      <c r="B1054" s="207" t="s">
        <v>6400</v>
      </c>
      <c r="C1054" s="4" t="s">
        <v>6438</v>
      </c>
      <c r="D1054" s="4" t="s">
        <v>2398</v>
      </c>
      <c r="E1054" s="4" t="s">
        <v>2636</v>
      </c>
      <c r="F1054" s="4" t="s">
        <v>6403</v>
      </c>
      <c r="G1054" s="4" t="s">
        <v>6402</v>
      </c>
      <c r="H1054" s="4" t="s">
        <v>5373</v>
      </c>
      <c r="I1054" s="75">
        <v>57.2</v>
      </c>
      <c r="J1054" s="75">
        <v>-111.5</v>
      </c>
      <c r="K1054" s="210">
        <v>79000</v>
      </c>
      <c r="L1054" s="4">
        <v>1970</v>
      </c>
      <c r="M1054" s="4">
        <v>2015</v>
      </c>
      <c r="N1054" s="4">
        <v>1.3</v>
      </c>
      <c r="O1054" s="4" t="s">
        <v>67</v>
      </c>
      <c r="P1054" s="19" t="s">
        <v>6414</v>
      </c>
      <c r="Q1054" s="4" t="s">
        <v>6404</v>
      </c>
    </row>
    <row r="1055" spans="1:17" ht="112.5" customHeight="1">
      <c r="A1055" s="193">
        <v>290</v>
      </c>
      <c r="B1055" s="58" t="s">
        <v>6405</v>
      </c>
      <c r="C1055" s="4" t="s">
        <v>6439</v>
      </c>
      <c r="D1055" s="4" t="s">
        <v>2416</v>
      </c>
      <c r="E1055" s="4" t="s">
        <v>2636</v>
      </c>
      <c r="F1055" s="4" t="s">
        <v>6406</v>
      </c>
      <c r="G1055" s="75" t="s">
        <v>2276</v>
      </c>
      <c r="H1055" s="4" t="s">
        <v>3490</v>
      </c>
      <c r="I1055" s="75">
        <v>-18.440000000000001</v>
      </c>
      <c r="J1055" s="75">
        <v>27.26</v>
      </c>
      <c r="K1055" s="210">
        <v>6387</v>
      </c>
      <c r="L1055" s="4">
        <v>1989</v>
      </c>
      <c r="M1055" s="4">
        <v>2007</v>
      </c>
      <c r="N1055" s="212">
        <v>3.0056779077770099</v>
      </c>
      <c r="O1055" s="4" t="s">
        <v>67</v>
      </c>
      <c r="P1055" s="19" t="s">
        <v>6414</v>
      </c>
      <c r="Q1055" s="4" t="s">
        <v>6407</v>
      </c>
    </row>
    <row r="1056" spans="1:17" ht="29" customHeight="1">
      <c r="A1056" s="193">
        <v>291</v>
      </c>
      <c r="B1056" s="208" t="s">
        <v>6408</v>
      </c>
      <c r="C1056" s="4" t="s">
        <v>6440</v>
      </c>
      <c r="D1056" s="4" t="s">
        <v>2398</v>
      </c>
      <c r="E1056" s="4" t="s">
        <v>2636</v>
      </c>
      <c r="F1056" s="4" t="s">
        <v>6409</v>
      </c>
      <c r="G1056" s="4" t="s">
        <v>6410</v>
      </c>
      <c r="H1056" s="4" t="s">
        <v>6411</v>
      </c>
      <c r="I1056" s="75">
        <v>65.17</v>
      </c>
      <c r="J1056" s="75">
        <v>18.75</v>
      </c>
      <c r="K1056" s="210">
        <v>598</v>
      </c>
      <c r="L1056" s="4">
        <v>1921</v>
      </c>
      <c r="M1056" s="4">
        <v>1970</v>
      </c>
      <c r="N1056" s="75" t="s">
        <v>2276</v>
      </c>
      <c r="O1056" s="4" t="s">
        <v>67</v>
      </c>
      <c r="P1056" s="19" t="s">
        <v>6414</v>
      </c>
      <c r="Q1056" s="4"/>
    </row>
    <row r="1057" spans="1:17" ht="32" customHeight="1">
      <c r="A1057" s="193">
        <v>292</v>
      </c>
      <c r="B1057" s="208" t="s">
        <v>6412</v>
      </c>
      <c r="C1057" s="4" t="s">
        <v>6441</v>
      </c>
      <c r="D1057" s="4" t="s">
        <v>2398</v>
      </c>
      <c r="E1057" s="4" t="s">
        <v>4847</v>
      </c>
      <c r="F1057" s="75" t="s">
        <v>2276</v>
      </c>
      <c r="G1057" s="75" t="s">
        <v>2276</v>
      </c>
      <c r="H1057" s="4" t="s">
        <v>6411</v>
      </c>
      <c r="I1057" s="75">
        <v>59.2</v>
      </c>
      <c r="J1057" s="75">
        <v>18.5</v>
      </c>
      <c r="K1057" s="210">
        <v>305360</v>
      </c>
      <c r="L1057" s="4">
        <v>2011</v>
      </c>
      <c r="M1057" s="4">
        <v>2015</v>
      </c>
      <c r="N1057" s="75" t="s">
        <v>2276</v>
      </c>
      <c r="O1057" s="4" t="s">
        <v>67</v>
      </c>
      <c r="P1057" s="19" t="s">
        <v>6414</v>
      </c>
      <c r="Q1057" s="4" t="s">
        <v>6413</v>
      </c>
    </row>
    <row r="1058" spans="1:17" ht="33.5" customHeight="1">
      <c r="A1058" s="214">
        <v>293</v>
      </c>
      <c r="B1058" s="40" t="s">
        <v>7060</v>
      </c>
      <c r="C1058" s="19" t="s">
        <v>7061</v>
      </c>
      <c r="D1058" s="4" t="s">
        <v>2398</v>
      </c>
      <c r="E1058" s="205" t="s">
        <v>2399</v>
      </c>
      <c r="F1058" s="19" t="s">
        <v>7062</v>
      </c>
      <c r="G1058" s="19" t="s">
        <v>7063</v>
      </c>
      <c r="H1058" s="19" t="s">
        <v>7366</v>
      </c>
      <c r="I1058" s="21">
        <f>48 + 23/60</f>
        <v>48.383333333333333</v>
      </c>
      <c r="J1058" s="21">
        <f>21 + 21.7/60</f>
        <v>21.361666666666668</v>
      </c>
      <c r="K1058" s="21">
        <v>1</v>
      </c>
      <c r="L1058" s="19">
        <v>2006</v>
      </c>
      <c r="M1058" s="19">
        <v>2007</v>
      </c>
      <c r="N1058" s="75" t="s">
        <v>2276</v>
      </c>
      <c r="O1058" s="4" t="s">
        <v>67</v>
      </c>
      <c r="P1058" s="19" t="s">
        <v>5187</v>
      </c>
      <c r="Q1058" s="205"/>
    </row>
    <row r="1059" spans="1:17" ht="38" customHeight="1">
      <c r="A1059" s="214">
        <v>294</v>
      </c>
      <c r="B1059" s="40" t="s">
        <v>7068</v>
      </c>
      <c r="C1059" s="19" t="s">
        <v>7069</v>
      </c>
      <c r="D1059" s="4" t="s">
        <v>2398</v>
      </c>
      <c r="E1059" s="205" t="s">
        <v>2400</v>
      </c>
      <c r="F1059" s="205" t="s">
        <v>7070</v>
      </c>
      <c r="G1059" s="82" t="s">
        <v>166</v>
      </c>
      <c r="H1059" s="19" t="s">
        <v>121</v>
      </c>
      <c r="I1059" s="21">
        <v>-7.9078809999999997</v>
      </c>
      <c r="J1059" s="21">
        <v>-55.433556799999998</v>
      </c>
      <c r="K1059" s="21">
        <f>185*185</f>
        <v>34225</v>
      </c>
      <c r="L1059" s="19">
        <v>2013</v>
      </c>
      <c r="M1059" s="19">
        <v>2014</v>
      </c>
      <c r="N1059" s="75" t="s">
        <v>2276</v>
      </c>
      <c r="O1059" s="4" t="s">
        <v>67</v>
      </c>
      <c r="P1059" s="19" t="s">
        <v>5187</v>
      </c>
      <c r="Q1059" s="4" t="s">
        <v>7081</v>
      </c>
    </row>
    <row r="1060" spans="1:17" ht="42.5" customHeight="1">
      <c r="A1060" s="214">
        <v>295</v>
      </c>
      <c r="B1060" s="40" t="s">
        <v>7079</v>
      </c>
      <c r="C1060" s="19" t="s">
        <v>7080</v>
      </c>
      <c r="D1060" s="4" t="s">
        <v>2398</v>
      </c>
      <c r="E1060" s="205" t="s">
        <v>2400</v>
      </c>
      <c r="F1060" s="75" t="s">
        <v>2276</v>
      </c>
      <c r="G1060" s="205" t="s">
        <v>165</v>
      </c>
      <c r="H1060" s="19" t="s">
        <v>121</v>
      </c>
      <c r="I1060" s="21">
        <f>AVERAGE(-9 - 15/60, -10-40/60)</f>
        <v>-9.9583333333333321</v>
      </c>
      <c r="J1060" s="21">
        <f>AVERAGE(-62 - 50/60, -60)</f>
        <v>-61.416666666666671</v>
      </c>
      <c r="K1060" s="21">
        <f>185*185</f>
        <v>34225</v>
      </c>
      <c r="L1060" s="205">
        <v>2005</v>
      </c>
      <c r="M1060" s="205">
        <v>2005</v>
      </c>
      <c r="N1060" s="75" t="s">
        <v>2276</v>
      </c>
      <c r="O1060" s="4" t="s">
        <v>67</v>
      </c>
      <c r="P1060" s="19" t="s">
        <v>5187</v>
      </c>
      <c r="Q1060" s="19" t="s">
        <v>7082</v>
      </c>
    </row>
    <row r="1061" spans="1:17" ht="37.5" customHeight="1">
      <c r="A1061" s="214">
        <v>296</v>
      </c>
      <c r="B1061" s="40" t="s">
        <v>7089</v>
      </c>
      <c r="C1061" s="19" t="s">
        <v>7090</v>
      </c>
      <c r="D1061" s="4" t="s">
        <v>2398</v>
      </c>
      <c r="E1061" s="205" t="s">
        <v>2405</v>
      </c>
      <c r="F1061" s="75" t="s">
        <v>2276</v>
      </c>
      <c r="G1061" s="205" t="s">
        <v>165</v>
      </c>
      <c r="H1061" s="19" t="s">
        <v>121</v>
      </c>
      <c r="I1061" s="21">
        <v>-12.6955445</v>
      </c>
      <c r="J1061" s="21">
        <v>-55.928997299999999</v>
      </c>
      <c r="K1061" s="21">
        <v>903357</v>
      </c>
      <c r="L1061" s="205">
        <v>2001</v>
      </c>
      <c r="M1061" s="205">
        <v>2004</v>
      </c>
      <c r="N1061" s="75" t="s">
        <v>2276</v>
      </c>
      <c r="O1061" s="205" t="s">
        <v>149</v>
      </c>
      <c r="P1061" s="19" t="s">
        <v>5187</v>
      </c>
      <c r="Q1061" s="205"/>
    </row>
    <row r="1062" spans="1:17" ht="39" customHeight="1">
      <c r="A1062" s="214">
        <v>297</v>
      </c>
      <c r="B1062" s="40" t="s">
        <v>7095</v>
      </c>
      <c r="C1062" s="19" t="s">
        <v>7096</v>
      </c>
      <c r="D1062" s="4" t="s">
        <v>2398</v>
      </c>
      <c r="E1062" s="205" t="s">
        <v>2637</v>
      </c>
      <c r="F1062" s="205" t="s">
        <v>7098</v>
      </c>
      <c r="G1062" s="205" t="s">
        <v>7097</v>
      </c>
      <c r="H1062" s="19" t="s">
        <v>4112</v>
      </c>
      <c r="I1062" s="21">
        <v>40.752764800000001</v>
      </c>
      <c r="J1062" s="21">
        <v>-104.0032815</v>
      </c>
      <c r="K1062" s="21">
        <f>60900/100</f>
        <v>609</v>
      </c>
      <c r="L1062" s="19">
        <v>2007</v>
      </c>
      <c r="M1062" s="19">
        <v>2010</v>
      </c>
      <c r="N1062" s="75" t="s">
        <v>2276</v>
      </c>
      <c r="O1062" s="4" t="s">
        <v>67</v>
      </c>
      <c r="P1062" s="19" t="s">
        <v>5187</v>
      </c>
      <c r="Q1062" s="4" t="s">
        <v>7100</v>
      </c>
    </row>
    <row r="1063" spans="1:17" ht="41.5" customHeight="1">
      <c r="A1063" s="214">
        <v>298</v>
      </c>
      <c r="B1063" s="40" t="s">
        <v>7107</v>
      </c>
      <c r="C1063" s="205" t="s">
        <v>7106</v>
      </c>
      <c r="D1063" s="4" t="s">
        <v>2398</v>
      </c>
      <c r="E1063" s="205" t="s">
        <v>2399</v>
      </c>
      <c r="F1063" s="205" t="s">
        <v>7105</v>
      </c>
      <c r="G1063" s="75" t="s">
        <v>2276</v>
      </c>
      <c r="H1063" s="205" t="s">
        <v>3616</v>
      </c>
      <c r="I1063" s="21">
        <v>-31.682602500000002</v>
      </c>
      <c r="J1063" s="21">
        <v>-64.837188999999995</v>
      </c>
      <c r="K1063" s="21">
        <f>200*16/(1000^2)</f>
        <v>3.2000000000000002E-3</v>
      </c>
      <c r="L1063" s="19">
        <v>2009</v>
      </c>
      <c r="M1063" s="19">
        <v>2009</v>
      </c>
      <c r="N1063" s="75" t="s">
        <v>2276</v>
      </c>
      <c r="O1063" s="4" t="s">
        <v>67</v>
      </c>
      <c r="P1063" s="19" t="s">
        <v>5187</v>
      </c>
      <c r="Q1063" s="205"/>
    </row>
    <row r="1064" spans="1:17" ht="38" customHeight="1">
      <c r="A1064" s="214">
        <v>299</v>
      </c>
      <c r="B1064" s="40" t="s">
        <v>7111</v>
      </c>
      <c r="C1064" s="19" t="s">
        <v>7112</v>
      </c>
      <c r="D1064" s="19" t="s">
        <v>2398</v>
      </c>
      <c r="E1064" s="205" t="s">
        <v>2422</v>
      </c>
      <c r="F1064" s="11" t="s">
        <v>7114</v>
      </c>
      <c r="G1064" s="11" t="s">
        <v>7113</v>
      </c>
      <c r="H1064" s="19" t="s">
        <v>4112</v>
      </c>
      <c r="I1064" s="21">
        <f>43 + 10 /60</f>
        <v>43.166666666666664</v>
      </c>
      <c r="J1064" s="21">
        <f>-116-48/60</f>
        <v>-116.8</v>
      </c>
      <c r="K1064" s="21">
        <f>324/100</f>
        <v>3.24</v>
      </c>
      <c r="L1064" s="19">
        <v>2004</v>
      </c>
      <c r="M1064" s="19">
        <v>2010</v>
      </c>
      <c r="N1064" s="75" t="s">
        <v>2276</v>
      </c>
      <c r="O1064" s="4" t="s">
        <v>67</v>
      </c>
      <c r="P1064" s="19" t="s">
        <v>5187</v>
      </c>
      <c r="Q1064" s="205"/>
    </row>
    <row r="1065" spans="1:17" ht="36.5" customHeight="1">
      <c r="A1065" s="214">
        <v>300</v>
      </c>
      <c r="B1065" s="57" t="s">
        <v>7118</v>
      </c>
      <c r="C1065" s="19" t="s">
        <v>7119</v>
      </c>
      <c r="D1065" s="19" t="s">
        <v>2398</v>
      </c>
      <c r="E1065" s="11" t="s">
        <v>2636</v>
      </c>
      <c r="F1065" s="82" t="s">
        <v>2276</v>
      </c>
      <c r="G1065" s="11" t="s">
        <v>7117</v>
      </c>
      <c r="H1065" s="19" t="s">
        <v>3414</v>
      </c>
      <c r="I1065" s="74">
        <v>-17.377790600000001</v>
      </c>
      <c r="J1065" s="74">
        <v>123.9260275</v>
      </c>
      <c r="K1065" s="74">
        <v>423517</v>
      </c>
      <c r="L1065" s="11">
        <v>1980</v>
      </c>
      <c r="M1065" s="11">
        <v>1997</v>
      </c>
      <c r="N1065" s="82" t="s">
        <v>2276</v>
      </c>
      <c r="O1065" s="19" t="s">
        <v>67</v>
      </c>
      <c r="P1065" s="19" t="s">
        <v>5187</v>
      </c>
      <c r="Q1065" s="11"/>
    </row>
    <row r="1066" spans="1:17" ht="44.5" customHeight="1">
      <c r="A1066" s="214">
        <v>301</v>
      </c>
      <c r="B1066" s="40" t="s">
        <v>7131</v>
      </c>
      <c r="C1066" s="19" t="s">
        <v>7132</v>
      </c>
      <c r="D1066" s="19" t="s">
        <v>2398</v>
      </c>
      <c r="E1066" s="205" t="s">
        <v>2422</v>
      </c>
      <c r="F1066" s="4" t="s">
        <v>7136</v>
      </c>
      <c r="G1066" s="205" t="s">
        <v>7139</v>
      </c>
      <c r="H1066" s="205" t="s">
        <v>121</v>
      </c>
      <c r="I1066" s="21">
        <v>-16</v>
      </c>
      <c r="J1066" s="21">
        <v>-42</v>
      </c>
      <c r="K1066" s="21">
        <v>609</v>
      </c>
      <c r="L1066" s="205">
        <v>2014</v>
      </c>
      <c r="M1066" s="205">
        <v>2014</v>
      </c>
      <c r="N1066" s="82" t="s">
        <v>2276</v>
      </c>
      <c r="O1066" s="19" t="s">
        <v>67</v>
      </c>
      <c r="P1066" s="19" t="s">
        <v>5187</v>
      </c>
      <c r="Q1066" s="4" t="s">
        <v>7135</v>
      </c>
    </row>
    <row r="1067" spans="1:17" ht="44.5" customHeight="1">
      <c r="A1067" s="214">
        <v>301</v>
      </c>
      <c r="B1067" s="40" t="s">
        <v>7131</v>
      </c>
      <c r="C1067" s="19" t="s">
        <v>7133</v>
      </c>
      <c r="D1067" s="19" t="s">
        <v>2398</v>
      </c>
      <c r="E1067" s="205" t="s">
        <v>2422</v>
      </c>
      <c r="F1067" s="4" t="s">
        <v>7137</v>
      </c>
      <c r="G1067" s="205" t="s">
        <v>7138</v>
      </c>
      <c r="H1067" s="205" t="s">
        <v>121</v>
      </c>
      <c r="I1067" s="21">
        <v>-15.823395100000001</v>
      </c>
      <c r="J1067" s="21">
        <v>-43.322687899999998</v>
      </c>
      <c r="K1067" s="21">
        <v>1761</v>
      </c>
      <c r="L1067" s="205">
        <v>2014</v>
      </c>
      <c r="M1067" s="205">
        <v>2014</v>
      </c>
      <c r="N1067" s="82" t="s">
        <v>2276</v>
      </c>
      <c r="O1067" s="19" t="s">
        <v>67</v>
      </c>
      <c r="P1067" s="19" t="s">
        <v>5187</v>
      </c>
      <c r="Q1067" s="4" t="s">
        <v>7135</v>
      </c>
    </row>
    <row r="1068" spans="1:17" ht="44.5" customHeight="1">
      <c r="A1068" s="214">
        <v>301</v>
      </c>
      <c r="B1068" s="40" t="s">
        <v>7131</v>
      </c>
      <c r="C1068" s="205" t="s">
        <v>7134</v>
      </c>
      <c r="D1068" s="19" t="s">
        <v>2398</v>
      </c>
      <c r="E1068" s="205" t="s">
        <v>2422</v>
      </c>
      <c r="F1068" s="4" t="s">
        <v>3046</v>
      </c>
      <c r="G1068" s="205" t="s">
        <v>2956</v>
      </c>
      <c r="H1068" s="205" t="s">
        <v>121</v>
      </c>
      <c r="I1068" s="21">
        <v>-14.578281</v>
      </c>
      <c r="J1068" s="21">
        <v>-38.866053600000001</v>
      </c>
      <c r="K1068" s="21">
        <v>7070</v>
      </c>
      <c r="L1068" s="205">
        <v>2014</v>
      </c>
      <c r="M1068" s="205">
        <v>2014</v>
      </c>
      <c r="N1068" s="82" t="s">
        <v>2276</v>
      </c>
      <c r="O1068" s="19" t="s">
        <v>67</v>
      </c>
      <c r="P1068" s="19" t="s">
        <v>5187</v>
      </c>
      <c r="Q1068" s="4" t="s">
        <v>7135</v>
      </c>
    </row>
    <row r="1069" spans="1:17" ht="36.5" customHeight="1">
      <c r="A1069" s="214">
        <v>302</v>
      </c>
      <c r="B1069" s="40" t="s">
        <v>7153</v>
      </c>
      <c r="C1069" s="205" t="s">
        <v>7152</v>
      </c>
      <c r="D1069" s="19" t="s">
        <v>2398</v>
      </c>
      <c r="E1069" s="205" t="s">
        <v>2399</v>
      </c>
      <c r="F1069" s="205" t="s">
        <v>7154</v>
      </c>
      <c r="G1069" s="205" t="s">
        <v>7155</v>
      </c>
      <c r="H1069" s="11" t="s">
        <v>6116</v>
      </c>
      <c r="I1069" s="21">
        <f>42 + 36/60</f>
        <v>42.6</v>
      </c>
      <c r="J1069" s="21">
        <f>1/60</f>
        <v>1.6666666666666666E-2</v>
      </c>
      <c r="K1069" s="21">
        <f>3.6/100</f>
        <v>3.6000000000000004E-2</v>
      </c>
      <c r="L1069" s="11">
        <v>2015</v>
      </c>
      <c r="M1069" s="11">
        <v>2015</v>
      </c>
      <c r="N1069" s="82" t="s">
        <v>2276</v>
      </c>
      <c r="O1069" s="19" t="s">
        <v>67</v>
      </c>
      <c r="P1069" s="19" t="s">
        <v>5187</v>
      </c>
      <c r="Q1069" s="205"/>
    </row>
    <row r="1070" spans="1:17" ht="39.5" customHeight="1">
      <c r="A1070" s="214">
        <v>303</v>
      </c>
      <c r="B1070" s="40" t="s">
        <v>7166</v>
      </c>
      <c r="C1070" s="19" t="s">
        <v>7167</v>
      </c>
      <c r="D1070" s="205" t="s">
        <v>2398</v>
      </c>
      <c r="E1070" s="205" t="s">
        <v>2422</v>
      </c>
      <c r="F1070" s="205" t="s">
        <v>7169</v>
      </c>
      <c r="G1070" s="205" t="s">
        <v>7168</v>
      </c>
      <c r="H1070" s="205" t="s">
        <v>4314</v>
      </c>
      <c r="I1070" s="21">
        <v>43.224080006857598</v>
      </c>
      <c r="J1070" s="21">
        <v>-7.6646931826081497</v>
      </c>
      <c r="K1070" s="21">
        <f>30000/0.6</f>
        <v>50000</v>
      </c>
      <c r="L1070" s="205">
        <v>2005</v>
      </c>
      <c r="M1070" s="205">
        <v>2009</v>
      </c>
      <c r="N1070" s="82" t="s">
        <v>2276</v>
      </c>
      <c r="O1070" s="19" t="s">
        <v>67</v>
      </c>
      <c r="P1070" s="19" t="s">
        <v>5187</v>
      </c>
      <c r="Q1070" s="19" t="s">
        <v>7186</v>
      </c>
    </row>
    <row r="1071" spans="1:17" ht="39.5" customHeight="1">
      <c r="A1071" s="214">
        <v>303</v>
      </c>
      <c r="B1071" s="40" t="s">
        <v>7166</v>
      </c>
      <c r="C1071" s="19" t="s">
        <v>7187</v>
      </c>
      <c r="D1071" s="205" t="s">
        <v>2398</v>
      </c>
      <c r="E1071" s="205" t="s">
        <v>2422</v>
      </c>
      <c r="F1071" s="205" t="s">
        <v>7170</v>
      </c>
      <c r="G1071" s="205" t="s">
        <v>7168</v>
      </c>
      <c r="H1071" s="205" t="s">
        <v>4314</v>
      </c>
      <c r="I1071" s="21">
        <v>43.284344685012499</v>
      </c>
      <c r="J1071" s="21">
        <v>-5.2442031536895302</v>
      </c>
      <c r="K1071" s="21">
        <v>6000</v>
      </c>
      <c r="L1071" s="205">
        <v>2005</v>
      </c>
      <c r="M1071" s="205">
        <v>2009</v>
      </c>
      <c r="N1071" s="82" t="s">
        <v>2276</v>
      </c>
      <c r="O1071" s="19" t="s">
        <v>67</v>
      </c>
      <c r="P1071" s="19" t="s">
        <v>5187</v>
      </c>
      <c r="Q1071" s="19" t="s">
        <v>7186</v>
      </c>
    </row>
    <row r="1072" spans="1:17" ht="39.5" customHeight="1">
      <c r="A1072" s="214">
        <v>303</v>
      </c>
      <c r="B1072" s="40" t="s">
        <v>7166</v>
      </c>
      <c r="C1072" s="19" t="s">
        <v>7188</v>
      </c>
      <c r="D1072" s="205" t="s">
        <v>2398</v>
      </c>
      <c r="E1072" s="205" t="s">
        <v>2422</v>
      </c>
      <c r="F1072" s="205" t="s">
        <v>7171</v>
      </c>
      <c r="G1072" s="205" t="s">
        <v>7168</v>
      </c>
      <c r="H1072" s="205" t="s">
        <v>4314</v>
      </c>
      <c r="I1072" s="21">
        <v>43.112988378599098</v>
      </c>
      <c r="J1072" s="21">
        <v>-2.7109157073804502</v>
      </c>
      <c r="K1072" s="21">
        <v>3000</v>
      </c>
      <c r="L1072" s="205">
        <v>2005</v>
      </c>
      <c r="M1072" s="205">
        <v>2009</v>
      </c>
      <c r="N1072" s="82" t="s">
        <v>2276</v>
      </c>
      <c r="O1072" s="19" t="s">
        <v>67</v>
      </c>
      <c r="P1072" s="19" t="s">
        <v>5187</v>
      </c>
      <c r="Q1072" s="19" t="s">
        <v>7186</v>
      </c>
    </row>
    <row r="1073" spans="1:17" ht="39.5" customHeight="1">
      <c r="A1073" s="214">
        <v>303</v>
      </c>
      <c r="B1073" s="40" t="s">
        <v>7166</v>
      </c>
      <c r="C1073" s="19" t="s">
        <v>7189</v>
      </c>
      <c r="D1073" s="205" t="s">
        <v>2398</v>
      </c>
      <c r="E1073" s="205" t="s">
        <v>2422</v>
      </c>
      <c r="F1073" s="11" t="s">
        <v>6143</v>
      </c>
      <c r="G1073" s="11" t="s">
        <v>7174</v>
      </c>
      <c r="H1073" s="205" t="s">
        <v>4314</v>
      </c>
      <c r="I1073" s="21">
        <v>42.858794319360598</v>
      </c>
      <c r="J1073" s="21">
        <v>-1.2826979314387601</v>
      </c>
      <c r="K1073" s="21">
        <v>1000</v>
      </c>
      <c r="L1073" s="205">
        <v>2005</v>
      </c>
      <c r="M1073" s="205">
        <v>2009</v>
      </c>
      <c r="N1073" s="82" t="s">
        <v>2276</v>
      </c>
      <c r="O1073" s="19" t="s">
        <v>67</v>
      </c>
      <c r="P1073" s="19" t="s">
        <v>5187</v>
      </c>
      <c r="Q1073" s="19" t="s">
        <v>7186</v>
      </c>
    </row>
    <row r="1074" spans="1:17" ht="39.5" customHeight="1">
      <c r="A1074" s="214">
        <v>303</v>
      </c>
      <c r="B1074" s="40" t="s">
        <v>7166</v>
      </c>
      <c r="C1074" s="19" t="s">
        <v>7190</v>
      </c>
      <c r="D1074" s="205" t="s">
        <v>2398</v>
      </c>
      <c r="E1074" s="205" t="s">
        <v>2422</v>
      </c>
      <c r="F1074" s="11" t="s">
        <v>7172</v>
      </c>
      <c r="G1074" s="11" t="s">
        <v>7174</v>
      </c>
      <c r="H1074" s="205" t="s">
        <v>4314</v>
      </c>
      <c r="I1074" s="21">
        <v>42.234142612692601</v>
      </c>
      <c r="J1074" s="21">
        <v>0.64997402018690098</v>
      </c>
      <c r="K1074" s="21">
        <v>6000</v>
      </c>
      <c r="L1074" s="205">
        <v>2005</v>
      </c>
      <c r="M1074" s="205">
        <v>2009</v>
      </c>
      <c r="N1074" s="82" t="s">
        <v>2276</v>
      </c>
      <c r="O1074" s="19" t="s">
        <v>67</v>
      </c>
      <c r="P1074" s="19" t="s">
        <v>5187</v>
      </c>
      <c r="Q1074" s="19" t="s">
        <v>7186</v>
      </c>
    </row>
    <row r="1075" spans="1:17" ht="39.5" customHeight="1">
      <c r="A1075" s="214">
        <v>303</v>
      </c>
      <c r="B1075" s="40" t="s">
        <v>7166</v>
      </c>
      <c r="C1075" s="19" t="s">
        <v>7191</v>
      </c>
      <c r="D1075" s="205" t="s">
        <v>2398</v>
      </c>
      <c r="E1075" s="205" t="s">
        <v>2422</v>
      </c>
      <c r="F1075" s="11" t="s">
        <v>7173</v>
      </c>
      <c r="G1075" s="11" t="s">
        <v>7174</v>
      </c>
      <c r="H1075" s="205" t="s">
        <v>4314</v>
      </c>
      <c r="I1075" s="21">
        <v>42.085069503480803</v>
      </c>
      <c r="J1075" s="21">
        <v>2.5175000198392001</v>
      </c>
      <c r="K1075" s="21">
        <v>2000</v>
      </c>
      <c r="L1075" s="205">
        <v>2005</v>
      </c>
      <c r="M1075" s="205">
        <v>2009</v>
      </c>
      <c r="N1075" s="82" t="s">
        <v>2276</v>
      </c>
      <c r="O1075" s="19" t="s">
        <v>67</v>
      </c>
      <c r="P1075" s="19" t="s">
        <v>5187</v>
      </c>
      <c r="Q1075" s="19" t="s">
        <v>7186</v>
      </c>
    </row>
    <row r="1076" spans="1:17" ht="39.5" customHeight="1">
      <c r="A1076" s="214">
        <v>303</v>
      </c>
      <c r="B1076" s="40" t="s">
        <v>7166</v>
      </c>
      <c r="C1076" s="19" t="s">
        <v>7192</v>
      </c>
      <c r="D1076" s="205" t="s">
        <v>2398</v>
      </c>
      <c r="E1076" s="205" t="s">
        <v>2422</v>
      </c>
      <c r="F1076" s="19" t="s">
        <v>7175</v>
      </c>
      <c r="G1076" s="205" t="s">
        <v>7183</v>
      </c>
      <c r="H1076" s="205" t="s">
        <v>4314</v>
      </c>
      <c r="I1076" s="21">
        <v>42.241385118929301</v>
      </c>
      <c r="J1076" s="21">
        <v>-2.1373345217399802</v>
      </c>
      <c r="K1076" s="21">
        <v>5000</v>
      </c>
      <c r="L1076" s="205">
        <v>2005</v>
      </c>
      <c r="M1076" s="205">
        <v>2009</v>
      </c>
      <c r="N1076" s="82" t="s">
        <v>2276</v>
      </c>
      <c r="O1076" s="19" t="s">
        <v>67</v>
      </c>
      <c r="P1076" s="19" t="s">
        <v>5187</v>
      </c>
      <c r="Q1076" s="19" t="s">
        <v>7186</v>
      </c>
    </row>
    <row r="1077" spans="1:17" ht="39.5" customHeight="1">
      <c r="A1077" s="214">
        <v>303</v>
      </c>
      <c r="B1077" s="40" t="s">
        <v>7166</v>
      </c>
      <c r="C1077" s="19" t="s">
        <v>7193</v>
      </c>
      <c r="D1077" s="205" t="s">
        <v>2398</v>
      </c>
      <c r="E1077" s="205" t="s">
        <v>2422</v>
      </c>
      <c r="F1077" s="19" t="s">
        <v>7176</v>
      </c>
      <c r="G1077" s="205" t="s">
        <v>7183</v>
      </c>
      <c r="H1077" s="205" t="s">
        <v>4314</v>
      </c>
      <c r="I1077" s="21">
        <v>40.725552574195703</v>
      </c>
      <c r="J1077" s="21">
        <v>-0.79917194337321795</v>
      </c>
      <c r="K1077" s="21">
        <v>5000</v>
      </c>
      <c r="L1077" s="205">
        <v>2005</v>
      </c>
      <c r="M1077" s="205">
        <v>2009</v>
      </c>
      <c r="N1077" s="82" t="s">
        <v>2276</v>
      </c>
      <c r="O1077" s="19" t="s">
        <v>67</v>
      </c>
      <c r="P1077" s="19" t="s">
        <v>5187</v>
      </c>
      <c r="Q1077" s="19" t="s">
        <v>7186</v>
      </c>
    </row>
    <row r="1078" spans="1:17" ht="39.5" customHeight="1">
      <c r="A1078" s="214">
        <v>303</v>
      </c>
      <c r="B1078" s="40" t="s">
        <v>7166</v>
      </c>
      <c r="C1078" s="19" t="s">
        <v>7194</v>
      </c>
      <c r="D1078" s="205" t="s">
        <v>2398</v>
      </c>
      <c r="E1078" s="205" t="s">
        <v>2422</v>
      </c>
      <c r="F1078" s="19" t="s">
        <v>7177</v>
      </c>
      <c r="G1078" s="205" t="s">
        <v>7183</v>
      </c>
      <c r="H1078" s="205" t="s">
        <v>4314</v>
      </c>
      <c r="I1078" s="21">
        <v>41.287346905146002</v>
      </c>
      <c r="J1078" s="21">
        <v>-3.77436906436238</v>
      </c>
      <c r="K1078" s="21">
        <v>15000</v>
      </c>
      <c r="L1078" s="205">
        <v>2005</v>
      </c>
      <c r="M1078" s="205">
        <v>2009</v>
      </c>
      <c r="N1078" s="82" t="s">
        <v>2276</v>
      </c>
      <c r="O1078" s="19" t="s">
        <v>67</v>
      </c>
      <c r="P1078" s="19" t="s">
        <v>5187</v>
      </c>
      <c r="Q1078" s="19" t="s">
        <v>7186</v>
      </c>
    </row>
    <row r="1079" spans="1:17" ht="39.5" customHeight="1">
      <c r="A1079" s="214">
        <v>303</v>
      </c>
      <c r="B1079" s="40" t="s">
        <v>7166</v>
      </c>
      <c r="C1079" s="19" t="s">
        <v>7195</v>
      </c>
      <c r="D1079" s="205" t="s">
        <v>2398</v>
      </c>
      <c r="E1079" s="205" t="s">
        <v>2422</v>
      </c>
      <c r="F1079" s="19" t="s">
        <v>7178</v>
      </c>
      <c r="G1079" s="205" t="s">
        <v>7183</v>
      </c>
      <c r="H1079" s="205" t="s">
        <v>4314</v>
      </c>
      <c r="I1079" s="21">
        <v>38.289214885243503</v>
      </c>
      <c r="J1079" s="21">
        <v>-2.04728771963822</v>
      </c>
      <c r="K1079" s="21">
        <v>2000</v>
      </c>
      <c r="L1079" s="205">
        <v>2005</v>
      </c>
      <c r="M1079" s="205">
        <v>2009</v>
      </c>
      <c r="N1079" s="82" t="s">
        <v>2276</v>
      </c>
      <c r="O1079" s="19" t="s">
        <v>67</v>
      </c>
      <c r="P1079" s="19" t="s">
        <v>5187</v>
      </c>
      <c r="Q1079" s="19" t="s">
        <v>7186</v>
      </c>
    </row>
    <row r="1080" spans="1:17" ht="39.5" customHeight="1">
      <c r="A1080" s="214">
        <v>303</v>
      </c>
      <c r="B1080" s="40" t="s">
        <v>7166</v>
      </c>
      <c r="C1080" s="19" t="s">
        <v>7196</v>
      </c>
      <c r="D1080" s="205" t="s">
        <v>2398</v>
      </c>
      <c r="E1080" s="205" t="s">
        <v>2422</v>
      </c>
      <c r="F1080" s="218" t="s">
        <v>7179</v>
      </c>
      <c r="G1080" s="205" t="s">
        <v>7183</v>
      </c>
      <c r="H1080" s="205" t="s">
        <v>4314</v>
      </c>
      <c r="I1080" s="21">
        <v>38.834407895083402</v>
      </c>
      <c r="J1080" s="21">
        <v>-4.7570266709673099</v>
      </c>
      <c r="K1080" s="21">
        <v>10000</v>
      </c>
      <c r="L1080" s="205">
        <v>2005</v>
      </c>
      <c r="M1080" s="205">
        <v>2009</v>
      </c>
      <c r="N1080" s="82" t="s">
        <v>2276</v>
      </c>
      <c r="O1080" s="19" t="s">
        <v>67</v>
      </c>
      <c r="P1080" s="19" t="s">
        <v>5187</v>
      </c>
      <c r="Q1080" s="19" t="s">
        <v>7186</v>
      </c>
    </row>
    <row r="1081" spans="1:17" ht="39.5" customHeight="1">
      <c r="A1081" s="214">
        <v>303</v>
      </c>
      <c r="B1081" s="40" t="s">
        <v>7166</v>
      </c>
      <c r="C1081" s="19" t="s">
        <v>7197</v>
      </c>
      <c r="D1081" s="205" t="s">
        <v>2398</v>
      </c>
      <c r="E1081" s="205" t="s">
        <v>2422</v>
      </c>
      <c r="F1081" s="19" t="s">
        <v>7180</v>
      </c>
      <c r="G1081" s="205" t="s">
        <v>7183</v>
      </c>
      <c r="H1081" s="205" t="s">
        <v>4314</v>
      </c>
      <c r="I1081" s="21">
        <v>37.248316172262001</v>
      </c>
      <c r="J1081" s="21">
        <v>-3.8211603556102798</v>
      </c>
      <c r="K1081" s="21">
        <v>5000</v>
      </c>
      <c r="L1081" s="205">
        <v>2005</v>
      </c>
      <c r="M1081" s="205">
        <v>2009</v>
      </c>
      <c r="N1081" s="82" t="s">
        <v>2276</v>
      </c>
      <c r="O1081" s="19" t="s">
        <v>67</v>
      </c>
      <c r="P1081" s="19" t="s">
        <v>5187</v>
      </c>
      <c r="Q1081" s="19" t="s">
        <v>7186</v>
      </c>
    </row>
    <row r="1082" spans="1:17" ht="39.5" customHeight="1">
      <c r="A1082" s="214">
        <v>303</v>
      </c>
      <c r="B1082" s="40" t="s">
        <v>7166</v>
      </c>
      <c r="C1082" s="19" t="s">
        <v>7198</v>
      </c>
      <c r="D1082" s="205" t="s">
        <v>2398</v>
      </c>
      <c r="E1082" s="205" t="s">
        <v>2422</v>
      </c>
      <c r="F1082" s="205" t="s">
        <v>7181</v>
      </c>
      <c r="G1082" s="205" t="s">
        <v>7184</v>
      </c>
      <c r="H1082" s="205" t="s">
        <v>4314</v>
      </c>
      <c r="I1082" s="21">
        <v>39.833258874736103</v>
      </c>
      <c r="J1082" s="21">
        <v>-5.7127010622592902</v>
      </c>
      <c r="K1082" s="21">
        <v>40000</v>
      </c>
      <c r="L1082" s="205">
        <v>2005</v>
      </c>
      <c r="M1082" s="205">
        <v>2009</v>
      </c>
      <c r="N1082" s="82" t="s">
        <v>2276</v>
      </c>
      <c r="O1082" s="19" t="s">
        <v>67</v>
      </c>
      <c r="P1082" s="19" t="s">
        <v>5187</v>
      </c>
      <c r="Q1082" s="19" t="s">
        <v>7186</v>
      </c>
    </row>
    <row r="1083" spans="1:17" ht="39.5" customHeight="1">
      <c r="A1083" s="214">
        <v>303</v>
      </c>
      <c r="B1083" s="40" t="s">
        <v>7166</v>
      </c>
      <c r="C1083" s="19" t="s">
        <v>7199</v>
      </c>
      <c r="D1083" s="205" t="s">
        <v>2398</v>
      </c>
      <c r="E1083" s="205" t="s">
        <v>2422</v>
      </c>
      <c r="F1083" s="144" t="s">
        <v>7182</v>
      </c>
      <c r="G1083" s="205" t="s">
        <v>7184</v>
      </c>
      <c r="H1083" s="205" t="s">
        <v>4314</v>
      </c>
      <c r="I1083" s="21">
        <v>38.4622130523667</v>
      </c>
      <c r="J1083" s="21">
        <v>-4.7575626327340501</v>
      </c>
      <c r="K1083" s="21">
        <v>6800</v>
      </c>
      <c r="L1083" s="205">
        <v>2005</v>
      </c>
      <c r="M1083" s="205">
        <v>2009</v>
      </c>
      <c r="N1083" s="82" t="s">
        <v>2276</v>
      </c>
      <c r="O1083" s="19" t="s">
        <v>67</v>
      </c>
      <c r="P1083" s="19" t="s">
        <v>5187</v>
      </c>
      <c r="Q1083" s="19" t="s">
        <v>7186</v>
      </c>
    </row>
    <row r="1084" spans="1:17" ht="39.5" customHeight="1">
      <c r="A1084" s="214">
        <v>303</v>
      </c>
      <c r="B1084" s="40" t="s">
        <v>7166</v>
      </c>
      <c r="C1084" s="19" t="s">
        <v>7200</v>
      </c>
      <c r="D1084" s="205" t="s">
        <v>2398</v>
      </c>
      <c r="E1084" s="205" t="s">
        <v>2422</v>
      </c>
      <c r="F1084" s="144" t="s">
        <v>7185</v>
      </c>
      <c r="G1084" s="205" t="s">
        <v>7184</v>
      </c>
      <c r="H1084" s="205" t="s">
        <v>4314</v>
      </c>
      <c r="I1084" s="21">
        <v>39.780001987619499</v>
      </c>
      <c r="J1084" s="21">
        <v>-2.98873263352833</v>
      </c>
      <c r="K1084" s="21">
        <v>35000</v>
      </c>
      <c r="L1084" s="205">
        <v>2005</v>
      </c>
      <c r="M1084" s="205">
        <v>2009</v>
      </c>
      <c r="N1084" s="82" t="s">
        <v>2276</v>
      </c>
      <c r="O1084" s="19" t="s">
        <v>67</v>
      </c>
      <c r="P1084" s="19" t="s">
        <v>5187</v>
      </c>
      <c r="Q1084" s="19" t="s">
        <v>7186</v>
      </c>
    </row>
    <row r="1085" spans="1:17" ht="39.5" customHeight="1">
      <c r="A1085" s="214">
        <v>303</v>
      </c>
      <c r="B1085" s="40" t="s">
        <v>7166</v>
      </c>
      <c r="C1085" s="19" t="s">
        <v>7201</v>
      </c>
      <c r="D1085" s="205" t="s">
        <v>2398</v>
      </c>
      <c r="E1085" s="205" t="s">
        <v>2422</v>
      </c>
      <c r="F1085" s="144" t="s">
        <v>7185</v>
      </c>
      <c r="G1085" s="205" t="s">
        <v>7184</v>
      </c>
      <c r="H1085" s="205" t="s">
        <v>4314</v>
      </c>
      <c r="I1085" s="21">
        <v>42.098985381613502</v>
      </c>
      <c r="J1085" s="21">
        <v>-5.6201001304150999</v>
      </c>
      <c r="K1085" s="21">
        <v>35000</v>
      </c>
      <c r="L1085" s="205">
        <v>2005</v>
      </c>
      <c r="M1085" s="205">
        <v>2009</v>
      </c>
      <c r="N1085" s="82" t="s">
        <v>2276</v>
      </c>
      <c r="O1085" s="19" t="s">
        <v>67</v>
      </c>
      <c r="P1085" s="19" t="s">
        <v>5187</v>
      </c>
      <c r="Q1085" s="19" t="s">
        <v>7186</v>
      </c>
    </row>
    <row r="1086" spans="1:17" ht="39.5" customHeight="1">
      <c r="A1086" s="214">
        <v>303</v>
      </c>
      <c r="B1086" s="40" t="s">
        <v>7166</v>
      </c>
      <c r="C1086" s="19" t="s">
        <v>7202</v>
      </c>
      <c r="D1086" s="205" t="s">
        <v>2398</v>
      </c>
      <c r="E1086" s="205" t="s">
        <v>2422</v>
      </c>
      <c r="F1086" s="22" t="s">
        <v>7216</v>
      </c>
      <c r="G1086" s="205" t="s">
        <v>5533</v>
      </c>
      <c r="H1086" s="205" t="s">
        <v>4942</v>
      </c>
      <c r="I1086" s="21">
        <v>44.786053241569597</v>
      </c>
      <c r="J1086" s="21">
        <v>7.1427774572134703</v>
      </c>
      <c r="K1086" s="21">
        <v>8300</v>
      </c>
      <c r="L1086" s="205">
        <v>2005</v>
      </c>
      <c r="M1086" s="205">
        <v>2009</v>
      </c>
      <c r="N1086" s="82" t="s">
        <v>2276</v>
      </c>
      <c r="O1086" s="19" t="s">
        <v>67</v>
      </c>
      <c r="P1086" s="19" t="s">
        <v>5187</v>
      </c>
      <c r="Q1086" s="19" t="s">
        <v>7186</v>
      </c>
    </row>
    <row r="1087" spans="1:17" ht="39.5" customHeight="1">
      <c r="A1087" s="214">
        <v>303</v>
      </c>
      <c r="B1087" s="40" t="s">
        <v>7166</v>
      </c>
      <c r="C1087" s="19" t="s">
        <v>7203</v>
      </c>
      <c r="D1087" s="205" t="s">
        <v>2398</v>
      </c>
      <c r="E1087" s="205" t="s">
        <v>2422</v>
      </c>
      <c r="F1087" s="22" t="s">
        <v>7217</v>
      </c>
      <c r="G1087" s="205" t="s">
        <v>5533</v>
      </c>
      <c r="H1087" s="205" t="s">
        <v>4942</v>
      </c>
      <c r="I1087" s="21">
        <v>46.053994108297701</v>
      </c>
      <c r="J1087" s="21">
        <v>8.6489329923080298</v>
      </c>
      <c r="K1087" s="21">
        <v>1400</v>
      </c>
      <c r="L1087" s="205">
        <v>2005</v>
      </c>
      <c r="M1087" s="205">
        <v>2009</v>
      </c>
      <c r="N1087" s="82" t="s">
        <v>2276</v>
      </c>
      <c r="O1087" s="19" t="s">
        <v>67</v>
      </c>
      <c r="P1087" s="19" t="s">
        <v>5187</v>
      </c>
      <c r="Q1087" s="19" t="s">
        <v>7186</v>
      </c>
    </row>
    <row r="1088" spans="1:17" ht="39.5" customHeight="1">
      <c r="A1088" s="214">
        <v>303</v>
      </c>
      <c r="B1088" s="40" t="s">
        <v>7166</v>
      </c>
      <c r="C1088" s="19" t="s">
        <v>7204</v>
      </c>
      <c r="D1088" s="205" t="s">
        <v>2398</v>
      </c>
      <c r="E1088" s="205" t="s">
        <v>2422</v>
      </c>
      <c r="F1088" s="22" t="s">
        <v>7218</v>
      </c>
      <c r="G1088" s="205" t="s">
        <v>5533</v>
      </c>
      <c r="H1088" s="205" t="s">
        <v>4942</v>
      </c>
      <c r="I1088" s="21">
        <v>46.0567127888919</v>
      </c>
      <c r="J1088" s="21">
        <v>10.163238582957501</v>
      </c>
      <c r="K1088" s="21">
        <v>1800</v>
      </c>
      <c r="L1088" s="205">
        <v>2005</v>
      </c>
      <c r="M1088" s="205">
        <v>2009</v>
      </c>
      <c r="N1088" s="82" t="s">
        <v>2276</v>
      </c>
      <c r="O1088" s="19" t="s">
        <v>67</v>
      </c>
      <c r="P1088" s="19" t="s">
        <v>5187</v>
      </c>
      <c r="Q1088" s="19" t="s">
        <v>7186</v>
      </c>
    </row>
    <row r="1089" spans="1:17" ht="39.5" customHeight="1">
      <c r="A1089" s="214">
        <v>303</v>
      </c>
      <c r="B1089" s="40" t="s">
        <v>7166</v>
      </c>
      <c r="C1089" s="19" t="s">
        <v>7205</v>
      </c>
      <c r="D1089" s="205" t="s">
        <v>2398</v>
      </c>
      <c r="E1089" s="205" t="s">
        <v>2422</v>
      </c>
      <c r="F1089" s="22" t="s">
        <v>7220</v>
      </c>
      <c r="G1089" s="205" t="s">
        <v>7219</v>
      </c>
      <c r="H1089" s="205" t="s">
        <v>4942</v>
      </c>
      <c r="I1089" s="21">
        <v>43.695919295380001</v>
      </c>
      <c r="J1089" s="21">
        <v>11.3329112261598</v>
      </c>
      <c r="K1089" s="21">
        <v>300</v>
      </c>
      <c r="L1089" s="205">
        <v>2005</v>
      </c>
      <c r="M1089" s="205">
        <v>2009</v>
      </c>
      <c r="N1089" s="82" t="s">
        <v>2276</v>
      </c>
      <c r="O1089" s="19" t="s">
        <v>67</v>
      </c>
      <c r="P1089" s="19" t="s">
        <v>5187</v>
      </c>
      <c r="Q1089" s="19" t="s">
        <v>7186</v>
      </c>
    </row>
    <row r="1090" spans="1:17" ht="39.5" customHeight="1">
      <c r="A1090" s="214">
        <v>303</v>
      </c>
      <c r="B1090" s="40" t="s">
        <v>7166</v>
      </c>
      <c r="C1090" s="19" t="s">
        <v>7206</v>
      </c>
      <c r="D1090" s="205" t="s">
        <v>2398</v>
      </c>
      <c r="E1090" s="205" t="s">
        <v>2422</v>
      </c>
      <c r="F1090" s="22" t="s">
        <v>7221</v>
      </c>
      <c r="G1090" s="205" t="s">
        <v>7219</v>
      </c>
      <c r="H1090" s="205" t="s">
        <v>4942</v>
      </c>
      <c r="I1090" s="21">
        <v>42.296414171528497</v>
      </c>
      <c r="J1090" s="21">
        <v>13.5080453900122</v>
      </c>
      <c r="K1090" s="21">
        <v>4000</v>
      </c>
      <c r="L1090" s="205">
        <v>2005</v>
      </c>
      <c r="M1090" s="205">
        <v>2009</v>
      </c>
      <c r="N1090" s="82" t="s">
        <v>2276</v>
      </c>
      <c r="O1090" s="19" t="s">
        <v>67</v>
      </c>
      <c r="P1090" s="19" t="s">
        <v>5187</v>
      </c>
      <c r="Q1090" s="19" t="s">
        <v>7186</v>
      </c>
    </row>
    <row r="1091" spans="1:17" ht="39.5" customHeight="1">
      <c r="A1091" s="214">
        <v>303</v>
      </c>
      <c r="B1091" s="40" t="s">
        <v>7166</v>
      </c>
      <c r="C1091" s="19" t="s">
        <v>7207</v>
      </c>
      <c r="D1091" s="205" t="s">
        <v>2398</v>
      </c>
      <c r="E1091" s="205" t="s">
        <v>2422</v>
      </c>
      <c r="F1091" s="22" t="s">
        <v>7222</v>
      </c>
      <c r="G1091" s="205" t="s">
        <v>7219</v>
      </c>
      <c r="H1091" s="205" t="s">
        <v>4942</v>
      </c>
      <c r="I1091" s="21">
        <v>42.252270368624501</v>
      </c>
      <c r="J1091" s="21">
        <v>11.8991803749865</v>
      </c>
      <c r="K1091" s="21">
        <v>500</v>
      </c>
      <c r="L1091" s="205">
        <v>2005</v>
      </c>
      <c r="M1091" s="205">
        <v>2009</v>
      </c>
      <c r="N1091" s="82" t="s">
        <v>2276</v>
      </c>
      <c r="O1091" s="19" t="s">
        <v>67</v>
      </c>
      <c r="P1091" s="19" t="s">
        <v>5187</v>
      </c>
      <c r="Q1091" s="19" t="s">
        <v>7186</v>
      </c>
    </row>
    <row r="1092" spans="1:17" ht="39.5" customHeight="1">
      <c r="A1092" s="214">
        <v>303</v>
      </c>
      <c r="B1092" s="40" t="s">
        <v>7166</v>
      </c>
      <c r="C1092" s="19" t="s">
        <v>7208</v>
      </c>
      <c r="D1092" s="205" t="s">
        <v>2398</v>
      </c>
      <c r="E1092" s="205" t="s">
        <v>2422</v>
      </c>
      <c r="F1092" s="22" t="s">
        <v>7223</v>
      </c>
      <c r="G1092" s="205" t="s">
        <v>7227</v>
      </c>
      <c r="H1092" s="205" t="s">
        <v>4942</v>
      </c>
      <c r="I1092" s="21">
        <v>41.592197485742602</v>
      </c>
      <c r="J1092" s="21">
        <v>15.322983447961599</v>
      </c>
      <c r="K1092" s="21">
        <v>2700</v>
      </c>
      <c r="L1092" s="205">
        <v>2005</v>
      </c>
      <c r="M1092" s="205">
        <v>2009</v>
      </c>
      <c r="N1092" s="82" t="s">
        <v>2276</v>
      </c>
      <c r="O1092" s="19" t="s">
        <v>67</v>
      </c>
      <c r="P1092" s="19" t="s">
        <v>5187</v>
      </c>
      <c r="Q1092" s="19" t="s">
        <v>7186</v>
      </c>
    </row>
    <row r="1093" spans="1:17" ht="39.5" customHeight="1">
      <c r="A1093" s="214">
        <v>303</v>
      </c>
      <c r="B1093" s="40" t="s">
        <v>7166</v>
      </c>
      <c r="C1093" s="19" t="s">
        <v>7209</v>
      </c>
      <c r="D1093" s="205" t="s">
        <v>2398</v>
      </c>
      <c r="E1093" s="205" t="s">
        <v>2422</v>
      </c>
      <c r="F1093" s="22" t="s">
        <v>7224</v>
      </c>
      <c r="G1093" s="205" t="s">
        <v>7227</v>
      </c>
      <c r="H1093" s="205" t="s">
        <v>4942</v>
      </c>
      <c r="I1093" s="21">
        <v>40.451649627680801</v>
      </c>
      <c r="J1093" s="21">
        <v>15.926151719880901</v>
      </c>
      <c r="K1093" s="21">
        <v>2000</v>
      </c>
      <c r="L1093" s="205">
        <v>2005</v>
      </c>
      <c r="M1093" s="205">
        <v>2009</v>
      </c>
      <c r="N1093" s="82" t="s">
        <v>2276</v>
      </c>
      <c r="O1093" s="19" t="s">
        <v>67</v>
      </c>
      <c r="P1093" s="19" t="s">
        <v>5187</v>
      </c>
      <c r="Q1093" s="19" t="s">
        <v>7186</v>
      </c>
    </row>
    <row r="1094" spans="1:17" ht="39.5" customHeight="1">
      <c r="A1094" s="214">
        <v>303</v>
      </c>
      <c r="B1094" s="40" t="s">
        <v>7166</v>
      </c>
      <c r="C1094" s="19" t="s">
        <v>7210</v>
      </c>
      <c r="D1094" s="205" t="s">
        <v>2398</v>
      </c>
      <c r="E1094" s="205" t="s">
        <v>2422</v>
      </c>
      <c r="F1094" s="22" t="s">
        <v>7225</v>
      </c>
      <c r="G1094" s="205" t="s">
        <v>7227</v>
      </c>
      <c r="H1094" s="205" t="s">
        <v>4942</v>
      </c>
      <c r="I1094" s="21">
        <v>39.027568398980598</v>
      </c>
      <c r="J1094" s="21">
        <v>16.491825716735399</v>
      </c>
      <c r="K1094" s="21">
        <v>1000</v>
      </c>
      <c r="L1094" s="205">
        <v>2005</v>
      </c>
      <c r="M1094" s="205">
        <v>2009</v>
      </c>
      <c r="N1094" s="82" t="s">
        <v>2276</v>
      </c>
      <c r="O1094" s="19" t="s">
        <v>67</v>
      </c>
      <c r="P1094" s="19" t="s">
        <v>5187</v>
      </c>
      <c r="Q1094" s="19" t="s">
        <v>7186</v>
      </c>
    </row>
    <row r="1095" spans="1:17" ht="39.5" customHeight="1">
      <c r="A1095" s="214">
        <v>303</v>
      </c>
      <c r="B1095" s="40" t="s">
        <v>7166</v>
      </c>
      <c r="C1095" s="19" t="s">
        <v>7211</v>
      </c>
      <c r="D1095" s="205" t="s">
        <v>2398</v>
      </c>
      <c r="E1095" s="205" t="s">
        <v>2422</v>
      </c>
      <c r="F1095" s="22" t="s">
        <v>7226</v>
      </c>
      <c r="G1095" s="205" t="s">
        <v>7227</v>
      </c>
      <c r="H1095" s="205" t="s">
        <v>4942</v>
      </c>
      <c r="I1095" s="21">
        <v>37.508857539689302</v>
      </c>
      <c r="J1095" s="21">
        <v>15.0851648351648</v>
      </c>
      <c r="K1095" s="21">
        <v>1500</v>
      </c>
      <c r="L1095" s="205">
        <v>2005</v>
      </c>
      <c r="M1095" s="205">
        <v>2009</v>
      </c>
      <c r="N1095" s="82" t="s">
        <v>2276</v>
      </c>
      <c r="O1095" s="19" t="s">
        <v>67</v>
      </c>
      <c r="P1095" s="19" t="s">
        <v>5187</v>
      </c>
      <c r="Q1095" s="19" t="s">
        <v>7186</v>
      </c>
    </row>
    <row r="1096" spans="1:17" ht="39.5" customHeight="1">
      <c r="A1096" s="214">
        <v>303</v>
      </c>
      <c r="B1096" s="40" t="s">
        <v>7166</v>
      </c>
      <c r="C1096" s="19" t="s">
        <v>7212</v>
      </c>
      <c r="D1096" s="205" t="s">
        <v>2398</v>
      </c>
      <c r="E1096" s="205" t="s">
        <v>2422</v>
      </c>
      <c r="F1096" s="22" t="s">
        <v>7228</v>
      </c>
      <c r="G1096" s="205" t="s">
        <v>4941</v>
      </c>
      <c r="H1096" s="205" t="s">
        <v>4942</v>
      </c>
      <c r="I1096" s="21">
        <v>41.063880014190403</v>
      </c>
      <c r="J1096" s="21">
        <v>9.2319210841608896</v>
      </c>
      <c r="K1096" s="21">
        <v>5500</v>
      </c>
      <c r="L1096" s="205">
        <v>2005</v>
      </c>
      <c r="M1096" s="205">
        <v>2009</v>
      </c>
      <c r="N1096" s="82" t="s">
        <v>2276</v>
      </c>
      <c r="O1096" s="19" t="s">
        <v>67</v>
      </c>
      <c r="P1096" s="19" t="s">
        <v>5187</v>
      </c>
      <c r="Q1096" s="19" t="s">
        <v>7186</v>
      </c>
    </row>
    <row r="1097" spans="1:17" ht="39.5" customHeight="1">
      <c r="A1097" s="214">
        <v>303</v>
      </c>
      <c r="B1097" s="40" t="s">
        <v>7166</v>
      </c>
      <c r="C1097" s="19" t="s">
        <v>7213</v>
      </c>
      <c r="D1097" s="205" t="s">
        <v>2398</v>
      </c>
      <c r="E1097" s="205" t="s">
        <v>2422</v>
      </c>
      <c r="F1097" s="22" t="s">
        <v>7229</v>
      </c>
      <c r="G1097" s="205" t="s">
        <v>4941</v>
      </c>
      <c r="H1097" s="205" t="s">
        <v>4942</v>
      </c>
      <c r="I1097" s="21">
        <v>40.654010026409502</v>
      </c>
      <c r="J1097" s="21">
        <v>8.7077413036274898</v>
      </c>
      <c r="K1097" s="21">
        <v>4000</v>
      </c>
      <c r="L1097" s="205">
        <v>2005</v>
      </c>
      <c r="M1097" s="205">
        <v>2009</v>
      </c>
      <c r="N1097" s="82" t="s">
        <v>2276</v>
      </c>
      <c r="O1097" s="19" t="s">
        <v>67</v>
      </c>
      <c r="P1097" s="19" t="s">
        <v>5187</v>
      </c>
      <c r="Q1097" s="19" t="s">
        <v>7186</v>
      </c>
    </row>
    <row r="1098" spans="1:17" ht="39.5" customHeight="1">
      <c r="A1098" s="214">
        <v>303</v>
      </c>
      <c r="B1098" s="40" t="s">
        <v>7166</v>
      </c>
      <c r="C1098" s="19" t="s">
        <v>7214</v>
      </c>
      <c r="D1098" s="205" t="s">
        <v>2398</v>
      </c>
      <c r="E1098" s="205" t="s">
        <v>2422</v>
      </c>
      <c r="F1098" s="22" t="s">
        <v>7230</v>
      </c>
      <c r="G1098" s="205" t="s">
        <v>4941</v>
      </c>
      <c r="H1098" s="205" t="s">
        <v>4942</v>
      </c>
      <c r="I1098" s="21">
        <v>40.267469975680399</v>
      </c>
      <c r="J1098" s="21">
        <v>9.0302474336965002</v>
      </c>
      <c r="K1098" s="21">
        <v>6000</v>
      </c>
      <c r="L1098" s="205">
        <v>2005</v>
      </c>
      <c r="M1098" s="205">
        <v>2009</v>
      </c>
      <c r="N1098" s="82" t="s">
        <v>2276</v>
      </c>
      <c r="O1098" s="19" t="s">
        <v>67</v>
      </c>
      <c r="P1098" s="19" t="s">
        <v>5187</v>
      </c>
      <c r="Q1098" s="19" t="s">
        <v>7186</v>
      </c>
    </row>
    <row r="1099" spans="1:17" ht="39.5" customHeight="1">
      <c r="A1099" s="214">
        <v>303</v>
      </c>
      <c r="B1099" s="40" t="s">
        <v>7166</v>
      </c>
      <c r="C1099" s="19" t="s">
        <v>7215</v>
      </c>
      <c r="D1099" s="205" t="s">
        <v>2398</v>
      </c>
      <c r="E1099" s="205" t="s">
        <v>2422</v>
      </c>
      <c r="F1099" s="22" t="s">
        <v>7231</v>
      </c>
      <c r="G1099" s="205" t="s">
        <v>4941</v>
      </c>
      <c r="H1099" s="205" t="s">
        <v>4942</v>
      </c>
      <c r="I1099" s="21">
        <v>39.7970204936885</v>
      </c>
      <c r="J1099" s="21">
        <v>9.3422291275959708</v>
      </c>
      <c r="K1099" s="21">
        <v>3500</v>
      </c>
      <c r="L1099" s="205">
        <v>2005</v>
      </c>
      <c r="M1099" s="205">
        <v>2009</v>
      </c>
      <c r="N1099" s="82" t="s">
        <v>2276</v>
      </c>
      <c r="O1099" s="19" t="s">
        <v>67</v>
      </c>
      <c r="P1099" s="19" t="s">
        <v>5187</v>
      </c>
      <c r="Q1099" s="19" t="s">
        <v>7186</v>
      </c>
    </row>
    <row r="1100" spans="1:17" ht="38" customHeight="1">
      <c r="A1100" s="214">
        <v>303</v>
      </c>
      <c r="B1100" s="40" t="s">
        <v>7166</v>
      </c>
      <c r="C1100" s="19" t="s">
        <v>7236</v>
      </c>
      <c r="D1100" s="205" t="s">
        <v>2398</v>
      </c>
      <c r="E1100" s="205" t="s">
        <v>2422</v>
      </c>
      <c r="F1100" s="26" t="s">
        <v>7232</v>
      </c>
      <c r="G1100" s="19" t="s">
        <v>7235</v>
      </c>
      <c r="H1100" s="19" t="s">
        <v>4051</v>
      </c>
      <c r="I1100" s="21">
        <v>40.085513711450503</v>
      </c>
      <c r="J1100" s="21">
        <v>20.971935568767599</v>
      </c>
      <c r="K1100" s="21">
        <v>1900</v>
      </c>
      <c r="L1100" s="205">
        <v>2005</v>
      </c>
      <c r="M1100" s="205">
        <v>2009</v>
      </c>
      <c r="N1100" s="82" t="s">
        <v>2276</v>
      </c>
      <c r="O1100" s="19" t="s">
        <v>67</v>
      </c>
      <c r="P1100" s="19" t="s">
        <v>5187</v>
      </c>
      <c r="Q1100" s="19" t="s">
        <v>7186</v>
      </c>
    </row>
    <row r="1101" spans="1:17" ht="38" customHeight="1">
      <c r="A1101" s="214">
        <v>303</v>
      </c>
      <c r="B1101" s="40" t="s">
        <v>7166</v>
      </c>
      <c r="C1101" s="19" t="s">
        <v>7237</v>
      </c>
      <c r="D1101" s="205" t="s">
        <v>2398</v>
      </c>
      <c r="E1101" s="205" t="s">
        <v>2422</v>
      </c>
      <c r="F1101" s="26" t="s">
        <v>7233</v>
      </c>
      <c r="G1101" s="19" t="s">
        <v>7235</v>
      </c>
      <c r="H1101" s="19" t="s">
        <v>4051</v>
      </c>
      <c r="I1101" s="21">
        <v>38.659634194312801</v>
      </c>
      <c r="J1101" s="21">
        <v>22.089581260848298</v>
      </c>
      <c r="K1101" s="21">
        <v>4200</v>
      </c>
      <c r="L1101" s="205">
        <v>2005</v>
      </c>
      <c r="M1101" s="205">
        <v>2009</v>
      </c>
      <c r="N1101" s="82" t="s">
        <v>2276</v>
      </c>
      <c r="O1101" s="19" t="s">
        <v>67</v>
      </c>
      <c r="P1101" s="19" t="s">
        <v>5187</v>
      </c>
      <c r="Q1101" s="19" t="s">
        <v>7186</v>
      </c>
    </row>
    <row r="1102" spans="1:17" ht="37" customHeight="1">
      <c r="A1102" s="214">
        <v>303</v>
      </c>
      <c r="B1102" s="40" t="s">
        <v>7166</v>
      </c>
      <c r="C1102" s="19" t="s">
        <v>7238</v>
      </c>
      <c r="D1102" s="205" t="s">
        <v>2398</v>
      </c>
      <c r="E1102" s="205" t="s">
        <v>2422</v>
      </c>
      <c r="F1102" s="26" t="s">
        <v>7234</v>
      </c>
      <c r="G1102" s="19" t="s">
        <v>7235</v>
      </c>
      <c r="H1102" s="19" t="s">
        <v>4051</v>
      </c>
      <c r="I1102" s="21">
        <v>38.013518653611399</v>
      </c>
      <c r="J1102" s="21">
        <v>22.1881458257579</v>
      </c>
      <c r="K1102" s="21">
        <v>1950</v>
      </c>
      <c r="L1102" s="205">
        <v>2005</v>
      </c>
      <c r="M1102" s="205">
        <v>2009</v>
      </c>
      <c r="N1102" s="82" t="s">
        <v>2276</v>
      </c>
      <c r="O1102" s="19" t="s">
        <v>67</v>
      </c>
      <c r="P1102" s="19" t="s">
        <v>5187</v>
      </c>
      <c r="Q1102" s="19" t="s">
        <v>7186</v>
      </c>
    </row>
    <row r="1103" spans="1:17" ht="37" customHeight="1">
      <c r="A1103" s="214">
        <v>303</v>
      </c>
      <c r="B1103" s="40" t="s">
        <v>7166</v>
      </c>
      <c r="C1103" s="19" t="s">
        <v>7239</v>
      </c>
      <c r="D1103" s="205" t="s">
        <v>2398</v>
      </c>
      <c r="E1103" s="205" t="s">
        <v>2422</v>
      </c>
      <c r="F1103" s="26" t="s">
        <v>7246</v>
      </c>
      <c r="G1103" s="19" t="s">
        <v>7248</v>
      </c>
      <c r="H1103" s="19" t="s">
        <v>4051</v>
      </c>
      <c r="I1103" s="21">
        <v>41.107411606433203</v>
      </c>
      <c r="J1103" s="21">
        <v>25.991871947202799</v>
      </c>
      <c r="K1103" s="21">
        <v>2200</v>
      </c>
      <c r="L1103" s="205">
        <v>2005</v>
      </c>
      <c r="M1103" s="205">
        <v>2009</v>
      </c>
      <c r="N1103" s="82" t="s">
        <v>2276</v>
      </c>
      <c r="O1103" s="19" t="s">
        <v>67</v>
      </c>
      <c r="P1103" s="19" t="s">
        <v>5187</v>
      </c>
      <c r="Q1103" s="19" t="s">
        <v>7186</v>
      </c>
    </row>
    <row r="1104" spans="1:17" ht="37" customHeight="1">
      <c r="A1104" s="214">
        <v>303</v>
      </c>
      <c r="B1104" s="40" t="s">
        <v>7166</v>
      </c>
      <c r="C1104" s="19" t="s">
        <v>7240</v>
      </c>
      <c r="D1104" s="205" t="s">
        <v>2398</v>
      </c>
      <c r="E1104" s="205" t="s">
        <v>2422</v>
      </c>
      <c r="F1104" s="26" t="s">
        <v>7247</v>
      </c>
      <c r="G1104" s="19" t="s">
        <v>7248</v>
      </c>
      <c r="H1104" s="19" t="s">
        <v>4051</v>
      </c>
      <c r="I1104" s="21">
        <v>40.418877644649598</v>
      </c>
      <c r="J1104" s="21">
        <v>23.430402030291901</v>
      </c>
      <c r="K1104" s="21">
        <v>9100</v>
      </c>
      <c r="L1104" s="205">
        <v>2005</v>
      </c>
      <c r="M1104" s="205">
        <v>2009</v>
      </c>
      <c r="N1104" s="82" t="s">
        <v>2276</v>
      </c>
      <c r="O1104" s="19" t="s">
        <v>67</v>
      </c>
      <c r="P1104" s="19" t="s">
        <v>5187</v>
      </c>
      <c r="Q1104" s="19" t="s">
        <v>7186</v>
      </c>
    </row>
    <row r="1105" spans="1:17" ht="37" customHeight="1">
      <c r="A1105" s="214">
        <v>303</v>
      </c>
      <c r="B1105" s="40" t="s">
        <v>7166</v>
      </c>
      <c r="C1105" s="19" t="s">
        <v>7241</v>
      </c>
      <c r="D1105" s="205" t="s">
        <v>2398</v>
      </c>
      <c r="E1105" s="205" t="s">
        <v>2422</v>
      </c>
      <c r="F1105" s="26" t="s">
        <v>7249</v>
      </c>
      <c r="G1105" s="19" t="s">
        <v>7254</v>
      </c>
      <c r="H1105" s="19" t="s">
        <v>4051</v>
      </c>
      <c r="I1105" s="21">
        <v>39.4300930193764</v>
      </c>
      <c r="J1105" s="21">
        <v>20.567054172226999</v>
      </c>
      <c r="K1105" s="21">
        <v>1600</v>
      </c>
      <c r="L1105" s="205">
        <v>2005</v>
      </c>
      <c r="M1105" s="205">
        <v>2009</v>
      </c>
      <c r="N1105" s="82" t="s">
        <v>2276</v>
      </c>
      <c r="O1105" s="19" t="s">
        <v>67</v>
      </c>
      <c r="P1105" s="19" t="s">
        <v>5187</v>
      </c>
      <c r="Q1105" s="19" t="s">
        <v>7186</v>
      </c>
    </row>
    <row r="1106" spans="1:17" ht="37" customHeight="1">
      <c r="A1106" s="214">
        <v>303</v>
      </c>
      <c r="B1106" s="40" t="s">
        <v>7166</v>
      </c>
      <c r="C1106" s="19" t="s">
        <v>7242</v>
      </c>
      <c r="D1106" s="205" t="s">
        <v>2398</v>
      </c>
      <c r="E1106" s="205" t="s">
        <v>2422</v>
      </c>
      <c r="F1106" s="26" t="s">
        <v>7250</v>
      </c>
      <c r="G1106" s="19" t="s">
        <v>7254</v>
      </c>
      <c r="H1106" s="19" t="s">
        <v>4051</v>
      </c>
      <c r="I1106" s="21">
        <v>39.559435364507401</v>
      </c>
      <c r="J1106" s="21">
        <v>22.699804553495301</v>
      </c>
      <c r="K1106" s="21">
        <v>3200</v>
      </c>
      <c r="L1106" s="205">
        <v>2005</v>
      </c>
      <c r="M1106" s="205">
        <v>2009</v>
      </c>
      <c r="N1106" s="82" t="s">
        <v>2276</v>
      </c>
      <c r="O1106" s="19" t="s">
        <v>67</v>
      </c>
      <c r="P1106" s="19" t="s">
        <v>5187</v>
      </c>
      <c r="Q1106" s="19" t="s">
        <v>7186</v>
      </c>
    </row>
    <row r="1107" spans="1:17" ht="37" customHeight="1">
      <c r="A1107" s="214">
        <v>303</v>
      </c>
      <c r="B1107" s="40" t="s">
        <v>7166</v>
      </c>
      <c r="C1107" s="19" t="s">
        <v>7243</v>
      </c>
      <c r="D1107" s="205" t="s">
        <v>2398</v>
      </c>
      <c r="E1107" s="205" t="s">
        <v>2422</v>
      </c>
      <c r="F1107" s="26" t="s">
        <v>7251</v>
      </c>
      <c r="G1107" s="19" t="s">
        <v>7254</v>
      </c>
      <c r="H1107" s="19" t="s">
        <v>4051</v>
      </c>
      <c r="I1107" s="21">
        <v>36.9211155759075</v>
      </c>
      <c r="J1107" s="21">
        <v>22.7194960924956</v>
      </c>
      <c r="K1107" s="21">
        <v>2800</v>
      </c>
      <c r="L1107" s="205">
        <v>2005</v>
      </c>
      <c r="M1107" s="205">
        <v>2009</v>
      </c>
      <c r="N1107" s="82" t="s">
        <v>2276</v>
      </c>
      <c r="O1107" s="19" t="s">
        <v>67</v>
      </c>
      <c r="P1107" s="19" t="s">
        <v>5187</v>
      </c>
      <c r="Q1107" s="19" t="s">
        <v>7186</v>
      </c>
    </row>
    <row r="1108" spans="1:17" ht="37" customHeight="1">
      <c r="A1108" s="214">
        <v>303</v>
      </c>
      <c r="B1108" s="40" t="s">
        <v>7166</v>
      </c>
      <c r="C1108" s="19" t="s">
        <v>7244</v>
      </c>
      <c r="D1108" s="205" t="s">
        <v>2398</v>
      </c>
      <c r="E1108" s="205" t="s">
        <v>2422</v>
      </c>
      <c r="F1108" s="26" t="s">
        <v>7252</v>
      </c>
      <c r="G1108" s="19" t="s">
        <v>7255</v>
      </c>
      <c r="H1108" s="19" t="s">
        <v>4051</v>
      </c>
      <c r="I1108" s="21">
        <v>35.158553279364199</v>
      </c>
      <c r="J1108" s="21">
        <v>25.113693557542099</v>
      </c>
      <c r="K1108" s="21">
        <v>1850</v>
      </c>
      <c r="L1108" s="205">
        <v>2005</v>
      </c>
      <c r="M1108" s="205">
        <v>2009</v>
      </c>
      <c r="N1108" s="82" t="s">
        <v>2276</v>
      </c>
      <c r="O1108" s="19" t="s">
        <v>67</v>
      </c>
      <c r="P1108" s="19" t="s">
        <v>5187</v>
      </c>
      <c r="Q1108" s="19" t="s">
        <v>7186</v>
      </c>
    </row>
    <row r="1109" spans="1:17" ht="37" customHeight="1">
      <c r="A1109" s="214">
        <v>303</v>
      </c>
      <c r="B1109" s="40" t="s">
        <v>7166</v>
      </c>
      <c r="C1109" s="19" t="s">
        <v>7245</v>
      </c>
      <c r="D1109" s="205" t="s">
        <v>2398</v>
      </c>
      <c r="E1109" s="205" t="s">
        <v>2422</v>
      </c>
      <c r="F1109" s="26" t="s">
        <v>7253</v>
      </c>
      <c r="G1109" s="19" t="s">
        <v>2276</v>
      </c>
      <c r="H1109" s="19" t="s">
        <v>4051</v>
      </c>
      <c r="I1109" s="21">
        <v>36.2265334255857</v>
      </c>
      <c r="J1109" s="21">
        <v>27.992578827783099</v>
      </c>
      <c r="K1109" s="21">
        <v>1250</v>
      </c>
      <c r="L1109" s="205">
        <v>2005</v>
      </c>
      <c r="M1109" s="205">
        <v>2009</v>
      </c>
      <c r="N1109" s="82" t="s">
        <v>2276</v>
      </c>
      <c r="O1109" s="19" t="s">
        <v>67</v>
      </c>
      <c r="P1109" s="19" t="s">
        <v>5187</v>
      </c>
      <c r="Q1109" s="19" t="s">
        <v>7186</v>
      </c>
    </row>
    <row r="1110" spans="1:17" ht="35.5" customHeight="1">
      <c r="A1110" s="214">
        <v>304</v>
      </c>
      <c r="B1110" s="40" t="s">
        <v>7305</v>
      </c>
      <c r="C1110" s="19" t="s">
        <v>7306</v>
      </c>
      <c r="D1110" s="205" t="s">
        <v>2398</v>
      </c>
      <c r="E1110" s="205" t="s">
        <v>2636</v>
      </c>
      <c r="F1110" s="19" t="s">
        <v>2276</v>
      </c>
      <c r="G1110" s="19" t="s">
        <v>2276</v>
      </c>
      <c r="H1110" s="218" t="s">
        <v>7311</v>
      </c>
      <c r="I1110" s="21">
        <v>45</v>
      </c>
      <c r="J1110" s="21">
        <v>7</v>
      </c>
      <c r="K1110" s="21">
        <f>92212 + 505990 + 301338 + 643801</f>
        <v>1543341</v>
      </c>
      <c r="L1110" s="11">
        <v>2010</v>
      </c>
      <c r="M1110" s="11">
        <v>2010</v>
      </c>
      <c r="N1110" s="82" t="s">
        <v>2276</v>
      </c>
      <c r="O1110" s="19" t="s">
        <v>67</v>
      </c>
      <c r="P1110" s="19" t="s">
        <v>5187</v>
      </c>
      <c r="Q1110" s="205" t="s">
        <v>7312</v>
      </c>
    </row>
    <row r="1111" spans="1:17" ht="35.5" customHeight="1">
      <c r="A1111" s="214">
        <v>304</v>
      </c>
      <c r="B1111" s="40" t="s">
        <v>7305</v>
      </c>
      <c r="C1111" s="19" t="s">
        <v>7307</v>
      </c>
      <c r="D1111" s="205" t="s">
        <v>2398</v>
      </c>
      <c r="E1111" s="205" t="s">
        <v>2636</v>
      </c>
      <c r="F1111" s="19" t="s">
        <v>2276</v>
      </c>
      <c r="G1111" s="19" t="s">
        <v>2276</v>
      </c>
      <c r="H1111" s="19" t="s">
        <v>4051</v>
      </c>
      <c r="I1111" s="21">
        <v>38.145839199999998</v>
      </c>
      <c r="J1111" s="21">
        <v>24.481300000000001</v>
      </c>
      <c r="K1111" s="21">
        <v>131957</v>
      </c>
      <c r="L1111" s="11">
        <v>2010</v>
      </c>
      <c r="M1111" s="11">
        <v>2010</v>
      </c>
      <c r="N1111" s="82" t="s">
        <v>2276</v>
      </c>
      <c r="O1111" s="19" t="s">
        <v>67</v>
      </c>
      <c r="P1111" s="19" t="s">
        <v>5187</v>
      </c>
      <c r="Q1111" s="205"/>
    </row>
    <row r="1112" spans="1:17" ht="35.5" customHeight="1">
      <c r="A1112" s="214">
        <v>304</v>
      </c>
      <c r="B1112" s="40" t="s">
        <v>7305</v>
      </c>
      <c r="C1112" s="19" t="s">
        <v>7308</v>
      </c>
      <c r="D1112" s="205" t="s">
        <v>2398</v>
      </c>
      <c r="E1112" s="205" t="s">
        <v>2636</v>
      </c>
      <c r="F1112" s="19" t="s">
        <v>2276</v>
      </c>
      <c r="G1112" s="205" t="s">
        <v>7318</v>
      </c>
      <c r="H1112" s="19" t="s">
        <v>6116</v>
      </c>
      <c r="I1112" s="21">
        <v>42.625776999999999</v>
      </c>
      <c r="J1112" s="21">
        <v>2.4497341000000001</v>
      </c>
      <c r="K1112" s="21">
        <v>4116</v>
      </c>
      <c r="L1112" s="11">
        <v>2008</v>
      </c>
      <c r="M1112" s="11">
        <v>2008</v>
      </c>
      <c r="N1112" s="82" t="s">
        <v>2276</v>
      </c>
      <c r="O1112" s="19" t="s">
        <v>67</v>
      </c>
      <c r="P1112" s="19" t="s">
        <v>5187</v>
      </c>
      <c r="Q1112" s="205" t="s">
        <v>5907</v>
      </c>
    </row>
    <row r="1113" spans="1:17" s="204" customFormat="1" ht="35.5" customHeight="1">
      <c r="A1113" s="214">
        <v>304</v>
      </c>
      <c r="B1113" s="40" t="s">
        <v>7305</v>
      </c>
      <c r="C1113" s="19" t="s">
        <v>7309</v>
      </c>
      <c r="D1113" s="205" t="s">
        <v>2398</v>
      </c>
      <c r="E1113" s="205" t="s">
        <v>2636</v>
      </c>
      <c r="F1113" s="19" t="s">
        <v>2276</v>
      </c>
      <c r="G1113" s="205" t="s">
        <v>7319</v>
      </c>
      <c r="H1113" s="19" t="s">
        <v>6116</v>
      </c>
      <c r="I1113" s="21">
        <v>43.187128000000001</v>
      </c>
      <c r="J1113" s="21">
        <v>-0.88125909999999996</v>
      </c>
      <c r="K1113" s="21">
        <v>7645</v>
      </c>
      <c r="L1113" s="11">
        <v>2008</v>
      </c>
      <c r="M1113" s="11">
        <v>2008</v>
      </c>
      <c r="N1113" s="82" t="s">
        <v>2276</v>
      </c>
      <c r="O1113" s="19" t="s">
        <v>67</v>
      </c>
      <c r="P1113" s="19" t="s">
        <v>5187</v>
      </c>
      <c r="Q1113" s="205" t="s">
        <v>5907</v>
      </c>
    </row>
    <row r="1114" spans="1:17" ht="36.5" customHeight="1">
      <c r="A1114" s="214">
        <v>304</v>
      </c>
      <c r="B1114" s="40" t="s">
        <v>7305</v>
      </c>
      <c r="C1114" s="19" t="s">
        <v>7310</v>
      </c>
      <c r="D1114" s="205" t="s">
        <v>2398</v>
      </c>
      <c r="E1114" s="205" t="s">
        <v>2636</v>
      </c>
      <c r="F1114" s="19" t="s">
        <v>2276</v>
      </c>
      <c r="G1114" s="205" t="s">
        <v>7320</v>
      </c>
      <c r="H1114" s="19" t="s">
        <v>6116</v>
      </c>
      <c r="I1114" s="21">
        <v>43.143320000000003</v>
      </c>
      <c r="J1114" s="21">
        <v>0.1594796</v>
      </c>
      <c r="K1114" s="21">
        <v>4464</v>
      </c>
      <c r="L1114" s="11">
        <v>2008</v>
      </c>
      <c r="M1114" s="11">
        <v>2008</v>
      </c>
      <c r="N1114" s="82" t="s">
        <v>2276</v>
      </c>
      <c r="O1114" s="19" t="s">
        <v>67</v>
      </c>
      <c r="P1114" s="19" t="s">
        <v>5187</v>
      </c>
      <c r="Q1114" s="205" t="s">
        <v>5907</v>
      </c>
    </row>
    <row r="1115" spans="1:17" ht="41" customHeight="1">
      <c r="A1115" s="214">
        <v>305</v>
      </c>
      <c r="B1115" s="40" t="s">
        <v>7339</v>
      </c>
      <c r="C1115" s="19" t="s">
        <v>7340</v>
      </c>
      <c r="D1115" s="205" t="s">
        <v>2633</v>
      </c>
      <c r="E1115" s="205" t="s">
        <v>4847</v>
      </c>
      <c r="F1115" s="19" t="s">
        <v>2276</v>
      </c>
      <c r="G1115" s="205" t="s">
        <v>7341</v>
      </c>
      <c r="H1115" s="19" t="s">
        <v>6116</v>
      </c>
      <c r="I1115" s="21">
        <v>48.089397499999997</v>
      </c>
      <c r="J1115" s="21">
        <v>-3.0784566</v>
      </c>
      <c r="K1115" s="21">
        <v>27208</v>
      </c>
      <c r="L1115" s="205">
        <v>2001</v>
      </c>
      <c r="M1115" s="205">
        <v>2015</v>
      </c>
      <c r="N1115" s="82" t="s">
        <v>2276</v>
      </c>
      <c r="O1115" s="19" t="s">
        <v>67</v>
      </c>
      <c r="P1115" s="19" t="s">
        <v>5187</v>
      </c>
      <c r="Q1115" s="205"/>
    </row>
    <row r="1116" spans="1:17" ht="41" customHeight="1">
      <c r="A1116" s="214">
        <v>305</v>
      </c>
      <c r="B1116" s="40" t="s">
        <v>7339</v>
      </c>
      <c r="C1116" s="19" t="s">
        <v>7353</v>
      </c>
      <c r="D1116" s="205" t="s">
        <v>2633</v>
      </c>
      <c r="E1116" s="205" t="s">
        <v>4847</v>
      </c>
      <c r="F1116" s="19" t="s">
        <v>2276</v>
      </c>
      <c r="G1116" s="11" t="s">
        <v>7342</v>
      </c>
      <c r="H1116" s="19" t="s">
        <v>6116</v>
      </c>
      <c r="I1116" s="21">
        <v>49.1259905</v>
      </c>
      <c r="J1116" s="21">
        <v>-7.5941999999999996E-2</v>
      </c>
      <c r="K1116" s="21">
        <v>29906</v>
      </c>
      <c r="L1116" s="205">
        <v>2001</v>
      </c>
      <c r="M1116" s="205">
        <v>2015</v>
      </c>
      <c r="N1116" s="82" t="s">
        <v>2276</v>
      </c>
      <c r="O1116" s="19" t="s">
        <v>67</v>
      </c>
      <c r="P1116" s="19" t="s">
        <v>5187</v>
      </c>
      <c r="Q1116" s="205"/>
    </row>
    <row r="1117" spans="1:17" ht="41" customHeight="1">
      <c r="A1117" s="214">
        <v>305</v>
      </c>
      <c r="B1117" s="40" t="s">
        <v>7339</v>
      </c>
      <c r="C1117" s="19" t="s">
        <v>7354</v>
      </c>
      <c r="D1117" s="205" t="s">
        <v>2633</v>
      </c>
      <c r="E1117" s="205" t="s">
        <v>4847</v>
      </c>
      <c r="F1117" s="19" t="s">
        <v>2276</v>
      </c>
      <c r="G1117" s="11" t="s">
        <v>7343</v>
      </c>
      <c r="H1117" s="19" t="s">
        <v>6116</v>
      </c>
      <c r="I1117" s="21">
        <v>50.529025500000003</v>
      </c>
      <c r="J1117" s="21">
        <v>2.8936380000000002</v>
      </c>
      <c r="K1117" s="21">
        <v>31813</v>
      </c>
      <c r="L1117" s="205">
        <v>2001</v>
      </c>
      <c r="M1117" s="205">
        <v>2015</v>
      </c>
      <c r="N1117" s="82" t="s">
        <v>2276</v>
      </c>
      <c r="O1117" s="19" t="s">
        <v>67</v>
      </c>
      <c r="P1117" s="19" t="s">
        <v>5187</v>
      </c>
      <c r="Q1117" s="205"/>
    </row>
    <row r="1118" spans="1:17" ht="41" customHeight="1">
      <c r="A1118" s="214">
        <v>305</v>
      </c>
      <c r="B1118" s="40" t="s">
        <v>7339</v>
      </c>
      <c r="C1118" s="19" t="s">
        <v>7355</v>
      </c>
      <c r="D1118" s="205" t="s">
        <v>2633</v>
      </c>
      <c r="E1118" s="205" t="s">
        <v>4847</v>
      </c>
      <c r="F1118" s="19" t="s">
        <v>2276</v>
      </c>
      <c r="G1118" s="11" t="s">
        <v>7344</v>
      </c>
      <c r="H1118" s="19" t="s">
        <v>6116</v>
      </c>
      <c r="I1118" s="21">
        <v>48.680792599999997</v>
      </c>
      <c r="J1118" s="21">
        <v>2.5025884999999999</v>
      </c>
      <c r="K1118" s="21">
        <v>12012</v>
      </c>
      <c r="L1118" s="205">
        <v>2001</v>
      </c>
      <c r="M1118" s="205">
        <v>2015</v>
      </c>
      <c r="N1118" s="82" t="s">
        <v>2276</v>
      </c>
      <c r="O1118" s="19" t="s">
        <v>67</v>
      </c>
      <c r="P1118" s="19" t="s">
        <v>5187</v>
      </c>
      <c r="Q1118" s="205"/>
    </row>
    <row r="1119" spans="1:17" ht="41" customHeight="1">
      <c r="A1119" s="214">
        <v>305</v>
      </c>
      <c r="B1119" s="40" t="s">
        <v>7339</v>
      </c>
      <c r="C1119" s="19" t="s">
        <v>7356</v>
      </c>
      <c r="D1119" s="205" t="s">
        <v>2633</v>
      </c>
      <c r="E1119" s="205" t="s">
        <v>4847</v>
      </c>
      <c r="F1119" s="19" t="s">
        <v>2276</v>
      </c>
      <c r="G1119" s="19" t="s">
        <v>7345</v>
      </c>
      <c r="H1119" s="19" t="s">
        <v>6116</v>
      </c>
      <c r="I1119" s="21">
        <v>48.872864</v>
      </c>
      <c r="J1119" s="21">
        <v>4.6373455000000003</v>
      </c>
      <c r="K1119" s="21">
        <v>57433</v>
      </c>
      <c r="L1119" s="205">
        <v>2001</v>
      </c>
      <c r="M1119" s="205">
        <v>2015</v>
      </c>
      <c r="N1119" s="82" t="s">
        <v>2276</v>
      </c>
      <c r="O1119" s="19" t="s">
        <v>67</v>
      </c>
      <c r="P1119" s="19" t="s">
        <v>5187</v>
      </c>
      <c r="Q1119" s="205"/>
    </row>
    <row r="1120" spans="1:17" ht="41" customHeight="1">
      <c r="A1120" s="214">
        <v>305</v>
      </c>
      <c r="B1120" s="40" t="s">
        <v>7339</v>
      </c>
      <c r="C1120" s="19" t="s">
        <v>7357</v>
      </c>
      <c r="D1120" s="205" t="s">
        <v>2633</v>
      </c>
      <c r="E1120" s="205" t="s">
        <v>4847</v>
      </c>
      <c r="F1120" s="19" t="s">
        <v>2276</v>
      </c>
      <c r="G1120" s="19" t="s">
        <v>7346</v>
      </c>
      <c r="H1120" s="19" t="s">
        <v>6116</v>
      </c>
      <c r="I1120" s="21">
        <v>47.417262000000001</v>
      </c>
      <c r="J1120" s="21">
        <v>-0.82148509999999997</v>
      </c>
      <c r="K1120" s="21">
        <v>32082</v>
      </c>
      <c r="L1120" s="205">
        <v>2001</v>
      </c>
      <c r="M1120" s="205">
        <v>2015</v>
      </c>
      <c r="N1120" s="82" t="s">
        <v>2276</v>
      </c>
      <c r="O1120" s="19" t="s">
        <v>67</v>
      </c>
      <c r="P1120" s="19" t="s">
        <v>5187</v>
      </c>
      <c r="Q1120" s="205"/>
    </row>
    <row r="1121" spans="1:17" ht="41" customHeight="1">
      <c r="A1121" s="214">
        <v>305</v>
      </c>
      <c r="B1121" s="40" t="s">
        <v>7339</v>
      </c>
      <c r="C1121" s="19" t="s">
        <v>7358</v>
      </c>
      <c r="D1121" s="205" t="s">
        <v>2633</v>
      </c>
      <c r="E1121" s="205" t="s">
        <v>4847</v>
      </c>
      <c r="F1121" s="19" t="s">
        <v>2276</v>
      </c>
      <c r="G1121" s="19" t="s">
        <v>7347</v>
      </c>
      <c r="H1121" s="19" t="s">
        <v>6116</v>
      </c>
      <c r="I1121" s="21">
        <v>47.643967500000002</v>
      </c>
      <c r="J1121" s="21">
        <v>1.5905734</v>
      </c>
      <c r="K1121" s="21">
        <v>39151</v>
      </c>
      <c r="L1121" s="205">
        <v>2001</v>
      </c>
      <c r="M1121" s="205">
        <v>2015</v>
      </c>
      <c r="N1121" s="82" t="s">
        <v>2276</v>
      </c>
      <c r="O1121" s="19" t="s">
        <v>67</v>
      </c>
      <c r="P1121" s="19" t="s">
        <v>5187</v>
      </c>
      <c r="Q1121" s="205"/>
    </row>
    <row r="1122" spans="1:17" ht="41" customHeight="1">
      <c r="A1122" s="214">
        <v>305</v>
      </c>
      <c r="B1122" s="40" t="s">
        <v>7339</v>
      </c>
      <c r="C1122" s="19" t="s">
        <v>7359</v>
      </c>
      <c r="D1122" s="205" t="s">
        <v>2633</v>
      </c>
      <c r="E1122" s="205" t="s">
        <v>4847</v>
      </c>
      <c r="F1122" s="19" t="s">
        <v>2276</v>
      </c>
      <c r="G1122" s="19" t="s">
        <v>7348</v>
      </c>
      <c r="H1122" s="19" t="s">
        <v>6116</v>
      </c>
      <c r="I1122" s="21">
        <v>47.278065499999997</v>
      </c>
      <c r="J1122" s="21">
        <v>4.9941358999999999</v>
      </c>
      <c r="K1122" s="21">
        <v>47784</v>
      </c>
      <c r="L1122" s="205">
        <v>2001</v>
      </c>
      <c r="M1122" s="205">
        <v>2015</v>
      </c>
      <c r="N1122" s="82" t="s">
        <v>2276</v>
      </c>
      <c r="O1122" s="19" t="s">
        <v>67</v>
      </c>
      <c r="P1122" s="19" t="s">
        <v>5187</v>
      </c>
      <c r="Q1122" s="205"/>
    </row>
    <row r="1123" spans="1:17" ht="41" customHeight="1">
      <c r="A1123" s="214">
        <v>305</v>
      </c>
      <c r="B1123" s="40" t="s">
        <v>7339</v>
      </c>
      <c r="C1123" s="19" t="s">
        <v>7360</v>
      </c>
      <c r="D1123" s="205" t="s">
        <v>2633</v>
      </c>
      <c r="E1123" s="205" t="s">
        <v>4847</v>
      </c>
      <c r="F1123" s="19" t="s">
        <v>2276</v>
      </c>
      <c r="G1123" s="19" t="s">
        <v>7349</v>
      </c>
      <c r="H1123" s="19" t="s">
        <v>6116</v>
      </c>
      <c r="I1123" s="21">
        <v>44.976760499999997</v>
      </c>
      <c r="J1123" s="21">
        <v>0.40948400000000001</v>
      </c>
      <c r="K1123" s="21">
        <v>84061</v>
      </c>
      <c r="L1123" s="205">
        <v>2001</v>
      </c>
      <c r="M1123" s="205">
        <v>2015</v>
      </c>
      <c r="N1123" s="82" t="s">
        <v>2276</v>
      </c>
      <c r="O1123" s="19" t="s">
        <v>67</v>
      </c>
      <c r="P1123" s="19" t="s">
        <v>5187</v>
      </c>
      <c r="Q1123" s="205"/>
    </row>
    <row r="1124" spans="1:17" ht="41" customHeight="1">
      <c r="A1124" s="214">
        <v>305</v>
      </c>
      <c r="B1124" s="40" t="s">
        <v>7339</v>
      </c>
      <c r="C1124" s="19" t="s">
        <v>7361</v>
      </c>
      <c r="D1124" s="205" t="s">
        <v>2633</v>
      </c>
      <c r="E1124" s="205" t="s">
        <v>4847</v>
      </c>
      <c r="F1124" s="19" t="s">
        <v>2276</v>
      </c>
      <c r="G1124" s="11" t="s">
        <v>7350</v>
      </c>
      <c r="H1124" s="19" t="s">
        <v>6116</v>
      </c>
      <c r="I1124" s="21">
        <v>45.459893000000001</v>
      </c>
      <c r="J1124" s="21">
        <v>4.6242241000000002</v>
      </c>
      <c r="K1124" s="21">
        <v>69711</v>
      </c>
      <c r="L1124" s="205">
        <v>2001</v>
      </c>
      <c r="M1124" s="205">
        <v>2015</v>
      </c>
      <c r="N1124" s="82" t="s">
        <v>2276</v>
      </c>
      <c r="O1124" s="19" t="s">
        <v>67</v>
      </c>
      <c r="P1124" s="19" t="s">
        <v>5187</v>
      </c>
      <c r="Q1124" s="205"/>
    </row>
    <row r="1125" spans="1:17" ht="41" customHeight="1">
      <c r="A1125" s="214">
        <v>305</v>
      </c>
      <c r="B1125" s="40" t="s">
        <v>7339</v>
      </c>
      <c r="C1125" s="19" t="s">
        <v>7362</v>
      </c>
      <c r="D1125" s="205" t="s">
        <v>2633</v>
      </c>
      <c r="E1125" s="205" t="s">
        <v>4847</v>
      </c>
      <c r="F1125" s="19" t="s">
        <v>2276</v>
      </c>
      <c r="G1125" s="19" t="s">
        <v>7351</v>
      </c>
      <c r="H1125" s="19" t="s">
        <v>6116</v>
      </c>
      <c r="I1125" s="21">
        <v>43.689849000000002</v>
      </c>
      <c r="J1125" s="21">
        <v>2.2592024999999998</v>
      </c>
      <c r="K1125" s="21">
        <v>72724</v>
      </c>
      <c r="L1125" s="205">
        <v>2001</v>
      </c>
      <c r="M1125" s="205">
        <v>2015</v>
      </c>
      <c r="N1125" s="82" t="s">
        <v>2276</v>
      </c>
      <c r="O1125" s="19" t="s">
        <v>67</v>
      </c>
      <c r="P1125" s="19" t="s">
        <v>5187</v>
      </c>
      <c r="Q1125" s="205"/>
    </row>
    <row r="1126" spans="1:17" ht="41" customHeight="1">
      <c r="A1126" s="214">
        <v>305</v>
      </c>
      <c r="B1126" s="40" t="s">
        <v>7339</v>
      </c>
      <c r="C1126" s="19" t="s">
        <v>7363</v>
      </c>
      <c r="D1126" s="205" t="s">
        <v>2633</v>
      </c>
      <c r="E1126" s="205" t="s">
        <v>4847</v>
      </c>
      <c r="F1126" s="19" t="s">
        <v>2276</v>
      </c>
      <c r="G1126" s="11" t="s">
        <v>7352</v>
      </c>
      <c r="H1126" s="19" t="s">
        <v>6116</v>
      </c>
      <c r="I1126" s="21">
        <v>44.054424599999997</v>
      </c>
      <c r="J1126" s="21">
        <v>5.9745999999999997</v>
      </c>
      <c r="K1126" s="21">
        <v>31400</v>
      </c>
      <c r="L1126" s="205">
        <v>2001</v>
      </c>
      <c r="M1126" s="205">
        <v>2015</v>
      </c>
      <c r="N1126" s="82" t="s">
        <v>2276</v>
      </c>
      <c r="O1126" s="19" t="s">
        <v>67</v>
      </c>
      <c r="P1126" s="19" t="s">
        <v>5187</v>
      </c>
      <c r="Q1126" s="205"/>
    </row>
    <row r="1127" spans="1:17" ht="41" customHeight="1">
      <c r="A1127" s="214">
        <v>305</v>
      </c>
      <c r="B1127" s="40" t="s">
        <v>7339</v>
      </c>
      <c r="C1127" s="19" t="s">
        <v>7364</v>
      </c>
      <c r="D1127" s="205" t="s">
        <v>2633</v>
      </c>
      <c r="E1127" s="205" t="s">
        <v>4847</v>
      </c>
      <c r="F1127" s="19" t="s">
        <v>2276</v>
      </c>
      <c r="G1127" s="11" t="s">
        <v>6131</v>
      </c>
      <c r="H1127" s="19" t="s">
        <v>6116</v>
      </c>
      <c r="I1127" s="21">
        <v>42.180610600000001</v>
      </c>
      <c r="J1127" s="21">
        <v>9.0473865</v>
      </c>
      <c r="K1127" s="21">
        <v>8722</v>
      </c>
      <c r="L1127" s="205">
        <v>2001</v>
      </c>
      <c r="M1127" s="205">
        <v>2015</v>
      </c>
      <c r="N1127" s="82" t="s">
        <v>2276</v>
      </c>
      <c r="O1127" s="19" t="s">
        <v>67</v>
      </c>
      <c r="P1127" s="19" t="s">
        <v>5187</v>
      </c>
      <c r="Q1127" s="205"/>
    </row>
    <row r="1128" spans="1:17" ht="41" customHeight="1">
      <c r="A1128" s="214">
        <v>305</v>
      </c>
      <c r="B1128" s="40" t="s">
        <v>7339</v>
      </c>
      <c r="C1128" s="19" t="s">
        <v>7365</v>
      </c>
      <c r="D1128" s="205" t="s">
        <v>2633</v>
      </c>
      <c r="E1128" s="205" t="s">
        <v>4847</v>
      </c>
      <c r="F1128" s="19" t="s">
        <v>2276</v>
      </c>
      <c r="G1128" s="11" t="s">
        <v>7468</v>
      </c>
      <c r="H1128" s="19" t="s">
        <v>6112</v>
      </c>
      <c r="I1128" s="21">
        <v>38.904713999999998</v>
      </c>
      <c r="J1128" s="21">
        <v>-9.2215173999999998</v>
      </c>
      <c r="K1128" s="21">
        <v>2800</v>
      </c>
      <c r="L1128" s="205">
        <v>2006</v>
      </c>
      <c r="M1128" s="205">
        <v>2015</v>
      </c>
      <c r="N1128" s="82" t="s">
        <v>2276</v>
      </c>
      <c r="O1128" s="19" t="s">
        <v>67</v>
      </c>
      <c r="P1128" s="19" t="s">
        <v>5187</v>
      </c>
      <c r="Q1128" s="205"/>
    </row>
    <row r="1129" spans="1:17" ht="24.5" customHeight="1">
      <c r="A1129" s="214">
        <v>305</v>
      </c>
      <c r="B1129" s="40" t="s">
        <v>7339</v>
      </c>
      <c r="C1129" s="19" t="s">
        <v>7451</v>
      </c>
      <c r="D1129" s="205" t="s">
        <v>2633</v>
      </c>
      <c r="E1129" s="205" t="s">
        <v>4847</v>
      </c>
      <c r="F1129" s="19" t="s">
        <v>2276</v>
      </c>
      <c r="G1129" s="11" t="s">
        <v>7469</v>
      </c>
      <c r="H1129" s="19" t="s">
        <v>6112</v>
      </c>
      <c r="I1129" s="21">
        <v>39.5852772</v>
      </c>
      <c r="J1129" s="21">
        <v>-8.8504941000000006</v>
      </c>
      <c r="K1129" s="21">
        <v>3515</v>
      </c>
      <c r="L1129" s="205">
        <v>2006</v>
      </c>
      <c r="M1129" s="205">
        <v>2015</v>
      </c>
      <c r="N1129" s="82" t="s">
        <v>2276</v>
      </c>
      <c r="O1129" s="19" t="s">
        <v>67</v>
      </c>
      <c r="P1129" s="19" t="s">
        <v>5187</v>
      </c>
      <c r="Q1129" s="205"/>
    </row>
    <row r="1130" spans="1:17" ht="24.5" customHeight="1">
      <c r="A1130" s="214">
        <v>305</v>
      </c>
      <c r="B1130" s="40" t="s">
        <v>7339</v>
      </c>
      <c r="C1130" s="19" t="s">
        <v>7452</v>
      </c>
      <c r="D1130" s="205" t="s">
        <v>2633</v>
      </c>
      <c r="E1130" s="205" t="s">
        <v>4847</v>
      </c>
      <c r="F1130" s="19" t="s">
        <v>2276</v>
      </c>
      <c r="G1130" s="11" t="s">
        <v>6064</v>
      </c>
      <c r="H1130" s="19" t="s">
        <v>6112</v>
      </c>
      <c r="I1130" s="21">
        <v>39.225619500000001</v>
      </c>
      <c r="J1130" s="21">
        <v>-8.7137516999999995</v>
      </c>
      <c r="K1130" s="21">
        <v>6747</v>
      </c>
      <c r="L1130" s="205">
        <v>2006</v>
      </c>
      <c r="M1130" s="205">
        <v>2015</v>
      </c>
      <c r="N1130" s="82" t="s">
        <v>2276</v>
      </c>
      <c r="O1130" s="19" t="s">
        <v>67</v>
      </c>
      <c r="P1130" s="19" t="s">
        <v>5187</v>
      </c>
      <c r="Q1130" s="205"/>
    </row>
    <row r="1131" spans="1:17" ht="24.5" customHeight="1">
      <c r="A1131" s="214">
        <v>305</v>
      </c>
      <c r="B1131" s="40" t="s">
        <v>7339</v>
      </c>
      <c r="C1131" s="19" t="s">
        <v>7453</v>
      </c>
      <c r="D1131" s="205" t="s">
        <v>2633</v>
      </c>
      <c r="E1131" s="205" t="s">
        <v>4847</v>
      </c>
      <c r="F1131" s="19" t="s">
        <v>2276</v>
      </c>
      <c r="G1131" s="11" t="s">
        <v>7470</v>
      </c>
      <c r="H1131" s="19" t="s">
        <v>6112</v>
      </c>
      <c r="I1131" s="21">
        <v>38.483753100000001</v>
      </c>
      <c r="J1131" s="21">
        <v>-8.9134197999999998</v>
      </c>
      <c r="K1131" s="21">
        <v>5064</v>
      </c>
      <c r="L1131" s="205">
        <v>2006</v>
      </c>
      <c r="M1131" s="205">
        <v>2015</v>
      </c>
      <c r="N1131" s="82" t="s">
        <v>2276</v>
      </c>
      <c r="O1131" s="19" t="s">
        <v>67</v>
      </c>
      <c r="P1131" s="19" t="s">
        <v>5187</v>
      </c>
      <c r="Q1131" s="205"/>
    </row>
    <row r="1132" spans="1:17" ht="24.5" customHeight="1">
      <c r="A1132" s="214">
        <v>305</v>
      </c>
      <c r="B1132" s="40" t="s">
        <v>7339</v>
      </c>
      <c r="C1132" s="19" t="s">
        <v>7454</v>
      </c>
      <c r="D1132" s="205" t="s">
        <v>2633</v>
      </c>
      <c r="E1132" s="205" t="s">
        <v>4847</v>
      </c>
      <c r="F1132" s="19" t="s">
        <v>2276</v>
      </c>
      <c r="G1132" s="11" t="s">
        <v>7471</v>
      </c>
      <c r="H1132" s="19" t="s">
        <v>6112</v>
      </c>
      <c r="I1132" s="21">
        <v>37.987447299999999</v>
      </c>
      <c r="J1132" s="21">
        <v>-7.9819201</v>
      </c>
      <c r="K1132" s="21">
        <v>10225</v>
      </c>
      <c r="L1132" s="205">
        <v>2006</v>
      </c>
      <c r="M1132" s="205">
        <v>2015</v>
      </c>
      <c r="N1132" s="82" t="s">
        <v>2276</v>
      </c>
      <c r="O1132" s="19" t="s">
        <v>67</v>
      </c>
      <c r="P1132" s="19" t="s">
        <v>5187</v>
      </c>
      <c r="Q1132" s="205"/>
    </row>
    <row r="1133" spans="1:17" ht="24.5" customHeight="1">
      <c r="A1133" s="214">
        <v>305</v>
      </c>
      <c r="B1133" s="40" t="s">
        <v>7339</v>
      </c>
      <c r="C1133" s="19" t="s">
        <v>7455</v>
      </c>
      <c r="D1133" s="205" t="s">
        <v>2633</v>
      </c>
      <c r="E1133" s="205" t="s">
        <v>4847</v>
      </c>
      <c r="F1133" s="19" t="s">
        <v>2276</v>
      </c>
      <c r="G1133" s="11" t="s">
        <v>7472</v>
      </c>
      <c r="H1133" s="19" t="s">
        <v>6112</v>
      </c>
      <c r="I1133" s="21">
        <v>37.192814900000002</v>
      </c>
      <c r="J1133" s="21">
        <v>-7.9900900000000004</v>
      </c>
      <c r="K1133" s="21">
        <v>4997</v>
      </c>
      <c r="L1133" s="205">
        <v>2006</v>
      </c>
      <c r="M1133" s="205">
        <v>2015</v>
      </c>
      <c r="N1133" s="82" t="s">
        <v>2276</v>
      </c>
      <c r="O1133" s="19" t="s">
        <v>67</v>
      </c>
      <c r="P1133" s="19" t="s">
        <v>5187</v>
      </c>
      <c r="Q1133" s="205"/>
    </row>
    <row r="1134" spans="1:17" ht="24.5" customHeight="1">
      <c r="A1134" s="214">
        <v>305</v>
      </c>
      <c r="B1134" s="40" t="s">
        <v>7339</v>
      </c>
      <c r="C1134" s="19" t="s">
        <v>7456</v>
      </c>
      <c r="D1134" s="205" t="s">
        <v>2633</v>
      </c>
      <c r="E1134" s="205" t="s">
        <v>4847</v>
      </c>
      <c r="F1134" s="19" t="s">
        <v>2276</v>
      </c>
      <c r="G1134" s="11" t="s">
        <v>7473</v>
      </c>
      <c r="H1134" s="19" t="s">
        <v>6112</v>
      </c>
      <c r="I1134" s="21">
        <v>38.4956976</v>
      </c>
      <c r="J1134" s="21">
        <v>-7.9816108999999997</v>
      </c>
      <c r="K1134" s="21">
        <v>7393</v>
      </c>
      <c r="L1134" s="205">
        <v>2006</v>
      </c>
      <c r="M1134" s="205">
        <v>2015</v>
      </c>
      <c r="N1134" s="82" t="s">
        <v>2276</v>
      </c>
      <c r="O1134" s="19" t="s">
        <v>67</v>
      </c>
      <c r="P1134" s="19" t="s">
        <v>5187</v>
      </c>
      <c r="Q1134" s="205"/>
    </row>
    <row r="1135" spans="1:17" ht="24.5" customHeight="1">
      <c r="A1135" s="214">
        <v>305</v>
      </c>
      <c r="B1135" s="40" t="s">
        <v>7339</v>
      </c>
      <c r="C1135" s="19" t="s">
        <v>7457</v>
      </c>
      <c r="D1135" s="205" t="s">
        <v>2633</v>
      </c>
      <c r="E1135" s="205" t="s">
        <v>4847</v>
      </c>
      <c r="F1135" s="19" t="s">
        <v>2276</v>
      </c>
      <c r="G1135" s="11" t="s">
        <v>7474</v>
      </c>
      <c r="H1135" s="19" t="s">
        <v>6112</v>
      </c>
      <c r="I1135" s="21">
        <v>39.248371200000001</v>
      </c>
      <c r="J1135" s="21">
        <v>-7.4527700000000001</v>
      </c>
      <c r="K1135" s="21">
        <v>6065</v>
      </c>
      <c r="L1135" s="205">
        <v>2006</v>
      </c>
      <c r="M1135" s="205">
        <v>2015</v>
      </c>
      <c r="N1135" s="82" t="s">
        <v>2276</v>
      </c>
      <c r="O1135" s="19" t="s">
        <v>67</v>
      </c>
      <c r="P1135" s="19" t="s">
        <v>5187</v>
      </c>
      <c r="Q1135" s="205"/>
    </row>
    <row r="1136" spans="1:17" ht="24.5" customHeight="1">
      <c r="A1136" s="214">
        <v>305</v>
      </c>
      <c r="B1136" s="40" t="s">
        <v>7339</v>
      </c>
      <c r="C1136" s="19" t="s">
        <v>7458</v>
      </c>
      <c r="D1136" s="205" t="s">
        <v>2633</v>
      </c>
      <c r="E1136" s="205" t="s">
        <v>4847</v>
      </c>
      <c r="F1136" s="19" t="s">
        <v>2276</v>
      </c>
      <c r="G1136" s="11" t="s">
        <v>7475</v>
      </c>
      <c r="H1136" s="19" t="s">
        <v>6112</v>
      </c>
      <c r="I1136" s="21">
        <v>39.775269299999998</v>
      </c>
      <c r="J1136" s="21">
        <v>-7.5083846999999997</v>
      </c>
      <c r="K1136" s="21">
        <v>6675</v>
      </c>
      <c r="L1136" s="205">
        <v>2006</v>
      </c>
      <c r="M1136" s="205">
        <v>2015</v>
      </c>
      <c r="N1136" s="82" t="s">
        <v>2276</v>
      </c>
      <c r="O1136" s="19" t="s">
        <v>67</v>
      </c>
      <c r="P1136" s="19" t="s">
        <v>5187</v>
      </c>
      <c r="Q1136" s="205"/>
    </row>
    <row r="1137" spans="1:19" ht="24.5" customHeight="1">
      <c r="A1137" s="214">
        <v>305</v>
      </c>
      <c r="B1137" s="40" t="s">
        <v>7339</v>
      </c>
      <c r="C1137" s="19" t="s">
        <v>7459</v>
      </c>
      <c r="D1137" s="205" t="s">
        <v>2633</v>
      </c>
      <c r="E1137" s="205" t="s">
        <v>4847</v>
      </c>
      <c r="F1137" s="19" t="s">
        <v>2276</v>
      </c>
      <c r="G1137" s="11" t="s">
        <v>7476</v>
      </c>
      <c r="H1137" s="19" t="s">
        <v>6112</v>
      </c>
      <c r="I1137" s="21">
        <v>40.504301400000003</v>
      </c>
      <c r="J1137" s="21">
        <v>-7.2940021000000002</v>
      </c>
      <c r="K1137" s="21">
        <v>5518</v>
      </c>
      <c r="L1137" s="205">
        <v>2006</v>
      </c>
      <c r="M1137" s="205">
        <v>2015</v>
      </c>
      <c r="N1137" s="82" t="s">
        <v>2276</v>
      </c>
      <c r="O1137" s="19" t="s">
        <v>67</v>
      </c>
      <c r="P1137" s="19" t="s">
        <v>5187</v>
      </c>
      <c r="Q1137" s="205"/>
    </row>
    <row r="1138" spans="1:19" ht="24.5" customHeight="1">
      <c r="A1138" s="214">
        <v>305</v>
      </c>
      <c r="B1138" s="40" t="s">
        <v>7339</v>
      </c>
      <c r="C1138" s="19" t="s">
        <v>7460</v>
      </c>
      <c r="D1138" s="205" t="s">
        <v>2633</v>
      </c>
      <c r="E1138" s="205" t="s">
        <v>4847</v>
      </c>
      <c r="F1138" s="19" t="s">
        <v>2276</v>
      </c>
      <c r="G1138" s="11" t="s">
        <v>7477</v>
      </c>
      <c r="H1138" s="19" t="s">
        <v>6112</v>
      </c>
      <c r="I1138" s="21">
        <v>40.205450800000001</v>
      </c>
      <c r="J1138" s="21">
        <v>-8.3994599999999995</v>
      </c>
      <c r="K1138" s="21">
        <v>3947</v>
      </c>
      <c r="L1138" s="205">
        <v>2006</v>
      </c>
      <c r="M1138" s="205">
        <v>2015</v>
      </c>
      <c r="N1138" s="82" t="s">
        <v>2276</v>
      </c>
      <c r="O1138" s="19" t="s">
        <v>67</v>
      </c>
      <c r="P1138" s="19" t="s">
        <v>5187</v>
      </c>
      <c r="Q1138" s="205"/>
    </row>
    <row r="1139" spans="1:19" ht="24.5" customHeight="1">
      <c r="A1139" s="214">
        <v>305</v>
      </c>
      <c r="B1139" s="40" t="s">
        <v>7339</v>
      </c>
      <c r="C1139" s="19" t="s">
        <v>7461</v>
      </c>
      <c r="D1139" s="205" t="s">
        <v>2633</v>
      </c>
      <c r="E1139" s="205" t="s">
        <v>4847</v>
      </c>
      <c r="F1139" s="19" t="s">
        <v>2276</v>
      </c>
      <c r="G1139" s="11" t="s">
        <v>7478</v>
      </c>
      <c r="H1139" s="19" t="s">
        <v>6112</v>
      </c>
      <c r="I1139" s="21">
        <v>40.604104200000002</v>
      </c>
      <c r="J1139" s="21">
        <v>-8.6561692000000008</v>
      </c>
      <c r="K1139" s="21">
        <v>2808</v>
      </c>
      <c r="L1139" s="205">
        <v>2006</v>
      </c>
      <c r="M1139" s="205">
        <v>2015</v>
      </c>
      <c r="N1139" s="82" t="s">
        <v>2276</v>
      </c>
      <c r="O1139" s="19" t="s">
        <v>67</v>
      </c>
      <c r="P1139" s="19" t="s">
        <v>5187</v>
      </c>
      <c r="Q1139" s="205"/>
    </row>
    <row r="1140" spans="1:19" ht="24.5" customHeight="1">
      <c r="A1140" s="214">
        <v>305</v>
      </c>
      <c r="B1140" s="40" t="s">
        <v>7339</v>
      </c>
      <c r="C1140" s="19" t="s">
        <v>7462</v>
      </c>
      <c r="D1140" s="205" t="s">
        <v>2633</v>
      </c>
      <c r="E1140" s="205" t="s">
        <v>4847</v>
      </c>
      <c r="F1140" s="19" t="s">
        <v>2276</v>
      </c>
      <c r="G1140" s="11" t="s">
        <v>7479</v>
      </c>
      <c r="H1140" s="19" t="s">
        <v>6112</v>
      </c>
      <c r="I1140" s="21">
        <v>40.722348599999997</v>
      </c>
      <c r="J1140" s="21">
        <v>-7.9160269000000003</v>
      </c>
      <c r="K1140" s="21">
        <v>5007</v>
      </c>
      <c r="L1140" s="205">
        <v>2006</v>
      </c>
      <c r="M1140" s="205">
        <v>2015</v>
      </c>
      <c r="N1140" s="82" t="s">
        <v>2276</v>
      </c>
      <c r="O1140" s="19" t="s">
        <v>67</v>
      </c>
      <c r="P1140" s="19" t="s">
        <v>5187</v>
      </c>
      <c r="Q1140" s="205"/>
    </row>
    <row r="1141" spans="1:19" ht="24.5" customHeight="1">
      <c r="A1141" s="214">
        <v>305</v>
      </c>
      <c r="B1141" s="40" t="s">
        <v>7339</v>
      </c>
      <c r="C1141" s="19" t="s">
        <v>7463</v>
      </c>
      <c r="D1141" s="205" t="s">
        <v>2633</v>
      </c>
      <c r="E1141" s="205" t="s">
        <v>4847</v>
      </c>
      <c r="F1141" s="19" t="s">
        <v>2276</v>
      </c>
      <c r="G1141" s="11" t="s">
        <v>7480</v>
      </c>
      <c r="H1141" s="19" t="s">
        <v>6112</v>
      </c>
      <c r="I1141" s="21">
        <v>41.803516199999997</v>
      </c>
      <c r="J1141" s="21">
        <v>-6.7776588000000002</v>
      </c>
      <c r="K1141" s="21">
        <v>1174</v>
      </c>
      <c r="L1141" s="205">
        <v>2006</v>
      </c>
      <c r="M1141" s="205">
        <v>2015</v>
      </c>
      <c r="N1141" s="82" t="s">
        <v>2276</v>
      </c>
      <c r="O1141" s="19" t="s">
        <v>67</v>
      </c>
      <c r="P1141" s="19" t="s">
        <v>5187</v>
      </c>
      <c r="Q1141" s="205"/>
    </row>
    <row r="1142" spans="1:19" ht="24.5" customHeight="1">
      <c r="A1142" s="214">
        <v>305</v>
      </c>
      <c r="B1142" s="40" t="s">
        <v>7339</v>
      </c>
      <c r="C1142" s="19" t="s">
        <v>7464</v>
      </c>
      <c r="D1142" s="205" t="s">
        <v>2633</v>
      </c>
      <c r="E1142" s="205" t="s">
        <v>4847</v>
      </c>
      <c r="F1142" s="19" t="s">
        <v>2276</v>
      </c>
      <c r="G1142" s="11" t="s">
        <v>7481</v>
      </c>
      <c r="H1142" s="19" t="s">
        <v>6112</v>
      </c>
      <c r="I1142" s="21">
        <v>41.285986999999999</v>
      </c>
      <c r="J1142" s="21">
        <v>-7.7582407</v>
      </c>
      <c r="K1142" s="21">
        <v>4328</v>
      </c>
      <c r="L1142" s="205">
        <v>2006</v>
      </c>
      <c r="M1142" s="205">
        <v>2015</v>
      </c>
      <c r="N1142" s="82" t="s">
        <v>2276</v>
      </c>
      <c r="O1142" s="19" t="s">
        <v>67</v>
      </c>
      <c r="P1142" s="19" t="s">
        <v>5187</v>
      </c>
      <c r="Q1142" s="205"/>
    </row>
    <row r="1143" spans="1:19" ht="24.5" customHeight="1">
      <c r="A1143" s="214">
        <v>305</v>
      </c>
      <c r="B1143" s="40" t="s">
        <v>7339</v>
      </c>
      <c r="C1143" s="19" t="s">
        <v>7465</v>
      </c>
      <c r="D1143" s="205" t="s">
        <v>2633</v>
      </c>
      <c r="E1143" s="205" t="s">
        <v>4847</v>
      </c>
      <c r="F1143" s="19" t="s">
        <v>2276</v>
      </c>
      <c r="G1143" s="11" t="s">
        <v>7482</v>
      </c>
      <c r="H1143" s="19" t="s">
        <v>6112</v>
      </c>
      <c r="I1143" s="21">
        <v>41.119094799999999</v>
      </c>
      <c r="J1143" s="21">
        <v>-8.6013084000000006</v>
      </c>
      <c r="K1143" s="21">
        <v>2395</v>
      </c>
      <c r="L1143" s="205">
        <v>2006</v>
      </c>
      <c r="M1143" s="205">
        <v>2015</v>
      </c>
      <c r="N1143" s="82" t="s">
        <v>2276</v>
      </c>
      <c r="O1143" s="19" t="s">
        <v>67</v>
      </c>
      <c r="P1143" s="19" t="s">
        <v>5187</v>
      </c>
      <c r="Q1143" s="205"/>
      <c r="R1143" s="122"/>
      <c r="S1143" s="122"/>
    </row>
    <row r="1144" spans="1:19" ht="24.5" customHeight="1">
      <c r="A1144" s="214">
        <v>305</v>
      </c>
      <c r="B1144" s="40" t="s">
        <v>7339</v>
      </c>
      <c r="C1144" s="19" t="s">
        <v>7466</v>
      </c>
      <c r="D1144" s="205" t="s">
        <v>2633</v>
      </c>
      <c r="E1144" s="205" t="s">
        <v>4847</v>
      </c>
      <c r="F1144" s="19" t="s">
        <v>2276</v>
      </c>
      <c r="G1144" s="11" t="s">
        <v>7484</v>
      </c>
      <c r="H1144" s="19" t="s">
        <v>6112</v>
      </c>
      <c r="I1144" s="21">
        <v>41.482525099999997</v>
      </c>
      <c r="J1144" s="21">
        <v>-8.4239523999999992</v>
      </c>
      <c r="K1144" s="21">
        <v>2673</v>
      </c>
      <c r="L1144" s="205">
        <v>2006</v>
      </c>
      <c r="M1144" s="205">
        <v>2015</v>
      </c>
      <c r="N1144" s="82" t="s">
        <v>2276</v>
      </c>
      <c r="O1144" s="19" t="s">
        <v>67</v>
      </c>
      <c r="P1144" s="19" t="s">
        <v>5187</v>
      </c>
      <c r="Q1144" s="205"/>
      <c r="R1144" s="122"/>
      <c r="S1144" s="122"/>
    </row>
    <row r="1145" spans="1:19" ht="29" customHeight="1">
      <c r="A1145" s="214">
        <v>305</v>
      </c>
      <c r="B1145" s="40" t="s">
        <v>7339</v>
      </c>
      <c r="C1145" s="19" t="s">
        <v>7467</v>
      </c>
      <c r="D1145" s="205" t="s">
        <v>2633</v>
      </c>
      <c r="E1145" s="205" t="s">
        <v>4847</v>
      </c>
      <c r="F1145" s="19" t="s">
        <v>2276</v>
      </c>
      <c r="G1145" s="11" t="s">
        <v>7483</v>
      </c>
      <c r="H1145" s="19" t="s">
        <v>6112</v>
      </c>
      <c r="I1145" s="21">
        <v>41.6912345</v>
      </c>
      <c r="J1145" s="21">
        <v>-8.8434313000000007</v>
      </c>
      <c r="K1145" s="21">
        <v>2255</v>
      </c>
      <c r="L1145" s="205">
        <v>2006</v>
      </c>
      <c r="M1145" s="205">
        <v>2015</v>
      </c>
      <c r="N1145" s="82" t="s">
        <v>2276</v>
      </c>
      <c r="O1145" s="19" t="s">
        <v>67</v>
      </c>
      <c r="P1145" s="19" t="s">
        <v>5187</v>
      </c>
      <c r="Q1145" s="205"/>
      <c r="R1145" s="122"/>
      <c r="S1145" s="122"/>
    </row>
    <row r="1146" spans="1:19" ht="30" customHeight="1">
      <c r="A1146" s="214">
        <v>305</v>
      </c>
      <c r="B1146" s="40" t="s">
        <v>7339</v>
      </c>
      <c r="C1146" s="19" t="s">
        <v>7666</v>
      </c>
      <c r="D1146" s="205" t="s">
        <v>2633</v>
      </c>
      <c r="E1146" s="205" t="s">
        <v>4847</v>
      </c>
      <c r="F1146" s="19" t="s">
        <v>2276</v>
      </c>
      <c r="G1146" s="11" t="s">
        <v>6132</v>
      </c>
      <c r="H1146" s="19" t="s">
        <v>4314</v>
      </c>
      <c r="I1146" s="21">
        <v>41.107962100000002</v>
      </c>
      <c r="J1146" s="21">
        <v>3.3815396</v>
      </c>
      <c r="K1146" s="21">
        <v>23108</v>
      </c>
      <c r="L1146" s="11">
        <v>1998</v>
      </c>
      <c r="M1146" s="11">
        <v>2015</v>
      </c>
      <c r="N1146" s="82" t="s">
        <v>2276</v>
      </c>
      <c r="O1146" s="19" t="s">
        <v>67</v>
      </c>
      <c r="P1146" s="19" t="s">
        <v>5187</v>
      </c>
      <c r="Q1146" s="205"/>
      <c r="R1146" s="122"/>
      <c r="S1146" s="122"/>
    </row>
    <row r="1147" spans="1:19" ht="32.5" customHeight="1">
      <c r="A1147" s="214">
        <v>305</v>
      </c>
      <c r="B1147" s="40" t="s">
        <v>7339</v>
      </c>
      <c r="C1147" s="19" t="s">
        <v>7688</v>
      </c>
      <c r="D1147" s="205" t="s">
        <v>2633</v>
      </c>
      <c r="E1147" s="205" t="s">
        <v>2414</v>
      </c>
      <c r="F1147" s="19" t="s">
        <v>2276</v>
      </c>
      <c r="G1147" s="19" t="s">
        <v>2276</v>
      </c>
      <c r="H1147" s="19" t="s">
        <v>4942</v>
      </c>
      <c r="I1147" s="21">
        <v>41.853488200000001</v>
      </c>
      <c r="J1147" s="82">
        <v>12.556582799999999</v>
      </c>
      <c r="K1147" s="21">
        <v>301338</v>
      </c>
      <c r="L1147" s="11">
        <v>2015</v>
      </c>
      <c r="M1147" s="11">
        <v>2015</v>
      </c>
      <c r="N1147" s="82" t="s">
        <v>2276</v>
      </c>
      <c r="O1147" s="19" t="s">
        <v>67</v>
      </c>
      <c r="P1147" s="19" t="s">
        <v>5187</v>
      </c>
      <c r="Q1147" s="205" t="s">
        <v>7685</v>
      </c>
      <c r="R1147" s="122"/>
      <c r="S1147" s="122"/>
    </row>
    <row r="1148" spans="1:19" ht="27" customHeight="1">
      <c r="A1148" s="214">
        <v>305</v>
      </c>
      <c r="B1148" s="40" t="s">
        <v>7339</v>
      </c>
      <c r="C1148" s="19" t="s">
        <v>7691</v>
      </c>
      <c r="D1148" s="205" t="s">
        <v>2633</v>
      </c>
      <c r="E1148" s="205" t="s">
        <v>4847</v>
      </c>
      <c r="F1148" s="19" t="s">
        <v>2276</v>
      </c>
      <c r="G1148" s="19" t="s">
        <v>2276</v>
      </c>
      <c r="H1148" s="19" t="s">
        <v>6112</v>
      </c>
      <c r="I1148" s="21">
        <v>39.394639099999999</v>
      </c>
      <c r="J1148" s="82">
        <v>-8.0152952000000006</v>
      </c>
      <c r="K1148" s="21">
        <v>92212</v>
      </c>
      <c r="L1148" s="11">
        <v>2015</v>
      </c>
      <c r="M1148" s="11">
        <v>2015</v>
      </c>
      <c r="N1148" s="82" t="s">
        <v>2276</v>
      </c>
      <c r="O1148" s="19" t="s">
        <v>67</v>
      </c>
      <c r="P1148" s="19" t="s">
        <v>5187</v>
      </c>
      <c r="Q1148" s="205"/>
      <c r="R1148" s="122"/>
      <c r="S1148" s="122"/>
    </row>
    <row r="1149" spans="1:19" ht="34.5" customHeight="1">
      <c r="A1149" s="214">
        <v>305</v>
      </c>
      <c r="B1149" s="40" t="s">
        <v>7339</v>
      </c>
      <c r="C1149" s="19" t="s">
        <v>7692</v>
      </c>
      <c r="D1149" s="205" t="s">
        <v>2633</v>
      </c>
      <c r="E1149" s="205" t="s">
        <v>4847</v>
      </c>
      <c r="F1149" s="19" t="s">
        <v>2276</v>
      </c>
      <c r="G1149" s="19" t="s">
        <v>2276</v>
      </c>
      <c r="H1149" s="19" t="s">
        <v>6116</v>
      </c>
      <c r="I1149" s="21">
        <v>42.188513700000001</v>
      </c>
      <c r="J1149" s="82">
        <v>1.7829904999999999</v>
      </c>
      <c r="K1149" s="21">
        <v>643801</v>
      </c>
      <c r="L1149" s="11">
        <v>2015</v>
      </c>
      <c r="M1149" s="11">
        <v>2015</v>
      </c>
      <c r="N1149" s="82" t="s">
        <v>2276</v>
      </c>
      <c r="O1149" s="19" t="s">
        <v>67</v>
      </c>
      <c r="P1149" s="19" t="s">
        <v>5187</v>
      </c>
      <c r="Q1149" s="4" t="s">
        <v>7696</v>
      </c>
      <c r="R1149" s="122"/>
      <c r="S1149" s="122"/>
    </row>
    <row r="1150" spans="1:19" ht="43.5" customHeight="1">
      <c r="A1150" s="220">
        <v>306</v>
      </c>
      <c r="B1150" s="54" t="s">
        <v>7714</v>
      </c>
      <c r="C1150" s="55" t="s">
        <v>7715</v>
      </c>
      <c r="D1150" s="38" t="s">
        <v>2398</v>
      </c>
      <c r="E1150" s="38" t="s">
        <v>4847</v>
      </c>
      <c r="F1150" s="55" t="s">
        <v>2276</v>
      </c>
      <c r="G1150" s="55" t="s">
        <v>7849</v>
      </c>
      <c r="H1150" s="151" t="s">
        <v>4112</v>
      </c>
      <c r="I1150" s="21">
        <f>AVERAGE(I1151:I1217)</f>
        <v>39.367126656542631</v>
      </c>
      <c r="J1150" s="21">
        <f>AVERAGE(J1151:J1217)</f>
        <v>-99.183510622322359</v>
      </c>
      <c r="K1150" s="21">
        <v>76639417</v>
      </c>
      <c r="L1150" s="205">
        <v>1999</v>
      </c>
      <c r="M1150" s="205">
        <v>2012</v>
      </c>
      <c r="N1150" s="221" t="s">
        <v>2276</v>
      </c>
      <c r="O1150" s="55" t="s">
        <v>67</v>
      </c>
      <c r="P1150" s="55" t="s">
        <v>5187</v>
      </c>
      <c r="Q1150" s="168" t="s">
        <v>7847</v>
      </c>
      <c r="R1150" s="122"/>
      <c r="S1150" s="122"/>
    </row>
    <row r="1151" spans="1:19" ht="33.5" customHeight="1">
      <c r="A1151" s="214">
        <v>306</v>
      </c>
      <c r="B1151" s="40" t="s">
        <v>7714</v>
      </c>
      <c r="C1151" s="19" t="s">
        <v>7716</v>
      </c>
      <c r="D1151" s="205" t="s">
        <v>2398</v>
      </c>
      <c r="E1151" s="205" t="s">
        <v>4847</v>
      </c>
      <c r="F1151" s="55" t="s">
        <v>2276</v>
      </c>
      <c r="G1151" s="4" t="s">
        <v>7765</v>
      </c>
      <c r="H1151" s="49" t="s">
        <v>4112</v>
      </c>
      <c r="I1151" s="21">
        <v>47.7869335358087</v>
      </c>
      <c r="J1151" s="21">
        <v>-122.285198413692</v>
      </c>
      <c r="K1151" s="177">
        <f>38582*2.59</f>
        <v>99927.37999999999</v>
      </c>
      <c r="L1151" s="205">
        <v>1999</v>
      </c>
      <c r="M1151" s="205">
        <v>2012</v>
      </c>
      <c r="N1151" s="82" t="s">
        <v>2276</v>
      </c>
      <c r="O1151" s="19" t="s">
        <v>67</v>
      </c>
      <c r="P1151" s="19" t="s">
        <v>5187</v>
      </c>
      <c r="Q1151" s="205"/>
      <c r="R1151" s="122"/>
      <c r="S1151" s="122"/>
    </row>
    <row r="1152" spans="1:19" ht="33.5" customHeight="1">
      <c r="A1152" s="214">
        <v>306</v>
      </c>
      <c r="B1152" s="40" t="s">
        <v>7714</v>
      </c>
      <c r="C1152" s="19" t="s">
        <v>7717</v>
      </c>
      <c r="D1152" s="205" t="s">
        <v>2398</v>
      </c>
      <c r="E1152" s="205" t="s">
        <v>4847</v>
      </c>
      <c r="F1152" s="55" t="s">
        <v>2276</v>
      </c>
      <c r="G1152" s="4" t="s">
        <v>7766</v>
      </c>
      <c r="H1152" s="49" t="s">
        <v>4112</v>
      </c>
      <c r="I1152" s="21">
        <v>44.397995621549498</v>
      </c>
      <c r="J1152" s="21">
        <v>-123.641350034013</v>
      </c>
      <c r="K1152" s="177">
        <f>19272*2.59</f>
        <v>49914.479999999996</v>
      </c>
      <c r="L1152" s="205">
        <v>1999</v>
      </c>
      <c r="M1152" s="205">
        <v>2012</v>
      </c>
      <c r="N1152" s="82" t="s">
        <v>2276</v>
      </c>
      <c r="O1152" s="19" t="s">
        <v>67</v>
      </c>
      <c r="P1152" s="19" t="s">
        <v>5187</v>
      </c>
      <c r="Q1152" s="205"/>
    </row>
    <row r="1153" spans="1:17" ht="33.5" customHeight="1">
      <c r="A1153" s="214">
        <v>306</v>
      </c>
      <c r="B1153" s="40" t="s">
        <v>7714</v>
      </c>
      <c r="C1153" s="19" t="s">
        <v>7718</v>
      </c>
      <c r="D1153" s="205" t="s">
        <v>2398</v>
      </c>
      <c r="E1153" s="205" t="s">
        <v>4847</v>
      </c>
      <c r="F1153" s="55" t="s">
        <v>2276</v>
      </c>
      <c r="G1153" s="4" t="s">
        <v>7767</v>
      </c>
      <c r="H1153" s="49" t="s">
        <v>4112</v>
      </c>
      <c r="I1153" s="21">
        <v>40.502439589961597</v>
      </c>
      <c r="J1153" s="21">
        <v>-123.605461937556</v>
      </c>
      <c r="K1153" s="177">
        <f>22017*2.59</f>
        <v>57024.03</v>
      </c>
      <c r="L1153" s="205">
        <v>1999</v>
      </c>
      <c r="M1153" s="205">
        <v>2012</v>
      </c>
      <c r="N1153" s="82" t="s">
        <v>2276</v>
      </c>
      <c r="O1153" s="19" t="s">
        <v>67</v>
      </c>
      <c r="P1153" s="19" t="s">
        <v>5187</v>
      </c>
      <c r="Q1153" s="205"/>
    </row>
    <row r="1154" spans="1:17" ht="33.5" customHeight="1">
      <c r="A1154" s="214">
        <v>306</v>
      </c>
      <c r="B1154" s="40" t="s">
        <v>7714</v>
      </c>
      <c r="C1154" s="19" t="s">
        <v>7719</v>
      </c>
      <c r="D1154" s="205" t="s">
        <v>2398</v>
      </c>
      <c r="E1154" s="205" t="s">
        <v>4847</v>
      </c>
      <c r="F1154" s="55" t="s">
        <v>2276</v>
      </c>
      <c r="G1154" s="4" t="s">
        <v>7768</v>
      </c>
      <c r="H1154" s="49" t="s">
        <v>4112</v>
      </c>
      <c r="I1154" s="21">
        <v>35.639111938700403</v>
      </c>
      <c r="J1154" s="21">
        <v>-120.645239735288</v>
      </c>
      <c r="K1154" s="177">
        <f>37534*2.59</f>
        <v>97213.06</v>
      </c>
      <c r="L1154" s="205">
        <v>1999</v>
      </c>
      <c r="M1154" s="205">
        <v>2012</v>
      </c>
      <c r="N1154" s="82" t="s">
        <v>2276</v>
      </c>
      <c r="O1154" s="19" t="s">
        <v>67</v>
      </c>
      <c r="P1154" s="19" t="s">
        <v>5187</v>
      </c>
      <c r="Q1154" s="205"/>
    </row>
    <row r="1155" spans="1:17" ht="33.5" customHeight="1">
      <c r="A1155" s="214">
        <v>306</v>
      </c>
      <c r="B1155" s="40" t="s">
        <v>7714</v>
      </c>
      <c r="C1155" s="19" t="s">
        <v>7720</v>
      </c>
      <c r="D1155" s="205" t="s">
        <v>2398</v>
      </c>
      <c r="E1155" s="205" t="s">
        <v>4847</v>
      </c>
      <c r="F1155" s="55" t="s">
        <v>2276</v>
      </c>
      <c r="G1155" s="4" t="s">
        <v>7769</v>
      </c>
      <c r="H1155" s="49" t="s">
        <v>4112</v>
      </c>
      <c r="I1155" s="21">
        <v>38.065074395604398</v>
      </c>
      <c r="J1155" s="21">
        <v>-121.371517705549</v>
      </c>
      <c r="K1155" s="177">
        <f>21578*2.59</f>
        <v>55887.02</v>
      </c>
      <c r="L1155" s="205">
        <v>1999</v>
      </c>
      <c r="M1155" s="205">
        <v>2012</v>
      </c>
      <c r="N1155" s="82" t="s">
        <v>2276</v>
      </c>
      <c r="O1155" s="19" t="s">
        <v>67</v>
      </c>
      <c r="P1155" s="19" t="s">
        <v>5187</v>
      </c>
      <c r="Q1155" s="205"/>
    </row>
    <row r="1156" spans="1:17" ht="33.5" customHeight="1">
      <c r="A1156" s="214">
        <v>306</v>
      </c>
      <c r="B1156" s="40" t="s">
        <v>7714</v>
      </c>
      <c r="C1156" s="19" t="s">
        <v>7721</v>
      </c>
      <c r="D1156" s="205" t="s">
        <v>2398</v>
      </c>
      <c r="E1156" s="205" t="s">
        <v>4847</v>
      </c>
      <c r="F1156" s="55" t="s">
        <v>2276</v>
      </c>
      <c r="G1156" s="4" t="s">
        <v>7770</v>
      </c>
      <c r="H1156" s="49" t="s">
        <v>4112</v>
      </c>
      <c r="I1156" s="21">
        <v>38.108652343767197</v>
      </c>
      <c r="J1156" s="21">
        <v>-119.651464632684</v>
      </c>
      <c r="K1156" s="177">
        <f>31844*2.59</f>
        <v>82475.959999999992</v>
      </c>
      <c r="L1156" s="205">
        <v>1999</v>
      </c>
      <c r="M1156" s="205">
        <v>2012</v>
      </c>
      <c r="N1156" s="82" t="s">
        <v>2276</v>
      </c>
      <c r="O1156" s="19" t="s">
        <v>67</v>
      </c>
      <c r="P1156" s="19" t="s">
        <v>5187</v>
      </c>
      <c r="Q1156" s="205"/>
    </row>
    <row r="1157" spans="1:17" ht="33.5" customHeight="1">
      <c r="A1157" s="214">
        <v>306</v>
      </c>
      <c r="B1157" s="40" t="s">
        <v>7714</v>
      </c>
      <c r="C1157" s="19" t="s">
        <v>7722</v>
      </c>
      <c r="D1157" s="205" t="s">
        <v>2398</v>
      </c>
      <c r="E1157" s="205" t="s">
        <v>4847</v>
      </c>
      <c r="F1157" s="55" t="s">
        <v>2276</v>
      </c>
      <c r="G1157" s="4" t="s">
        <v>7771</v>
      </c>
      <c r="H1157" s="49" t="s">
        <v>4112</v>
      </c>
      <c r="I1157" s="21">
        <v>42.580196486606901</v>
      </c>
      <c r="J1157" s="21">
        <v>-121.091545963549</v>
      </c>
      <c r="K1157" s="177">
        <f>36273*2.59</f>
        <v>93947.069999999992</v>
      </c>
      <c r="L1157" s="205">
        <v>1999</v>
      </c>
      <c r="M1157" s="205">
        <v>2012</v>
      </c>
      <c r="N1157" s="82" t="s">
        <v>2276</v>
      </c>
      <c r="O1157" s="19" t="s">
        <v>67</v>
      </c>
      <c r="P1157" s="19" t="s">
        <v>5187</v>
      </c>
      <c r="Q1157" s="205"/>
    </row>
    <row r="1158" spans="1:17" ht="33.5" customHeight="1">
      <c r="A1158" s="214">
        <v>306</v>
      </c>
      <c r="B1158" s="40" t="s">
        <v>7714</v>
      </c>
      <c r="C1158" s="19" t="s">
        <v>7723</v>
      </c>
      <c r="D1158" s="205" t="s">
        <v>2398</v>
      </c>
      <c r="E1158" s="205" t="s">
        <v>4847</v>
      </c>
      <c r="F1158" s="55" t="s">
        <v>2276</v>
      </c>
      <c r="G1158" s="4" t="s">
        <v>7772</v>
      </c>
      <c r="H1158" s="49" t="s">
        <v>4112</v>
      </c>
      <c r="I1158" s="21">
        <v>47.137212913483502</v>
      </c>
      <c r="J1158" s="21">
        <v>-119.12339678678801</v>
      </c>
      <c r="K1158" s="177">
        <f>29672*2.59</f>
        <v>76850.48</v>
      </c>
      <c r="L1158" s="205">
        <v>1999</v>
      </c>
      <c r="M1158" s="205">
        <v>2012</v>
      </c>
      <c r="N1158" s="82" t="s">
        <v>2276</v>
      </c>
      <c r="O1158" s="19" t="s">
        <v>67</v>
      </c>
      <c r="P1158" s="19" t="s">
        <v>5187</v>
      </c>
      <c r="Q1158" s="205"/>
    </row>
    <row r="1159" spans="1:17" ht="33.5" customHeight="1">
      <c r="A1159" s="214">
        <v>306</v>
      </c>
      <c r="B1159" s="40" t="s">
        <v>7714</v>
      </c>
      <c r="C1159" s="19" t="s">
        <v>7724</v>
      </c>
      <c r="D1159" s="205" t="s">
        <v>2398</v>
      </c>
      <c r="E1159" s="205" t="s">
        <v>4847</v>
      </c>
      <c r="F1159" s="55" t="s">
        <v>2276</v>
      </c>
      <c r="G1159" s="4" t="s">
        <v>7773</v>
      </c>
      <c r="H1159" s="49" t="s">
        <v>4112</v>
      </c>
      <c r="I1159" s="21">
        <v>43.131390572728598</v>
      </c>
      <c r="J1159" s="21">
        <v>-119.101839947522</v>
      </c>
      <c r="K1159" s="177">
        <f>56521*2.59</f>
        <v>146389.38999999998</v>
      </c>
      <c r="L1159" s="205">
        <v>1999</v>
      </c>
      <c r="M1159" s="205">
        <v>2012</v>
      </c>
      <c r="N1159" s="82" t="s">
        <v>2276</v>
      </c>
      <c r="O1159" s="19" t="s">
        <v>67</v>
      </c>
      <c r="P1159" s="19" t="s">
        <v>5187</v>
      </c>
      <c r="Q1159" s="205"/>
    </row>
    <row r="1160" spans="1:17" ht="33.5" customHeight="1">
      <c r="A1160" s="214">
        <v>306</v>
      </c>
      <c r="B1160" s="40" t="s">
        <v>7714</v>
      </c>
      <c r="C1160" s="19" t="s">
        <v>7725</v>
      </c>
      <c r="D1160" s="205" t="s">
        <v>2398</v>
      </c>
      <c r="E1160" s="205" t="s">
        <v>4847</v>
      </c>
      <c r="F1160" s="55" t="s">
        <v>2276</v>
      </c>
      <c r="G1160" s="4" t="s">
        <v>7774</v>
      </c>
      <c r="H1160" s="49" t="s">
        <v>4112</v>
      </c>
      <c r="I1160" s="21">
        <v>46.1089151046585</v>
      </c>
      <c r="J1160" s="21">
        <v>-114.849915390029</v>
      </c>
      <c r="K1160" s="177">
        <f>55755*2.59</f>
        <v>144405.44999999998</v>
      </c>
      <c r="L1160" s="205">
        <v>1999</v>
      </c>
      <c r="M1160" s="205">
        <v>2012</v>
      </c>
      <c r="N1160" s="82" t="s">
        <v>2276</v>
      </c>
      <c r="O1160" s="19" t="s">
        <v>67</v>
      </c>
      <c r="P1160" s="19" t="s">
        <v>5187</v>
      </c>
      <c r="Q1160" s="205"/>
    </row>
    <row r="1161" spans="1:17" ht="33.5" customHeight="1">
      <c r="A1161" s="214">
        <v>306</v>
      </c>
      <c r="B1161" s="40" t="s">
        <v>7714</v>
      </c>
      <c r="C1161" s="19" t="s">
        <v>7726</v>
      </c>
      <c r="D1161" s="205" t="s">
        <v>2398</v>
      </c>
      <c r="E1161" s="205" t="s">
        <v>4847</v>
      </c>
      <c r="F1161" s="55" t="s">
        <v>2276</v>
      </c>
      <c r="G1161" s="4" t="s">
        <v>7775</v>
      </c>
      <c r="H1161" s="49" t="s">
        <v>4112</v>
      </c>
      <c r="I1161" s="21">
        <v>39.598703150473803</v>
      </c>
      <c r="J1161" s="21">
        <v>-118.707682193636</v>
      </c>
      <c r="K1161" s="177">
        <f>72390*2.59</f>
        <v>187490.09999999998</v>
      </c>
      <c r="L1161" s="205">
        <v>1999</v>
      </c>
      <c r="M1161" s="205">
        <v>2012</v>
      </c>
      <c r="N1161" s="82" t="s">
        <v>2276</v>
      </c>
      <c r="O1161" s="19" t="s">
        <v>67</v>
      </c>
      <c r="P1161" s="19" t="s">
        <v>5187</v>
      </c>
      <c r="Q1161" s="205"/>
    </row>
    <row r="1162" spans="1:17" ht="33.5" customHeight="1">
      <c r="A1162" s="214">
        <v>306</v>
      </c>
      <c r="B1162" s="40" t="s">
        <v>7714</v>
      </c>
      <c r="C1162" s="19" t="s">
        <v>7727</v>
      </c>
      <c r="D1162" s="205" t="s">
        <v>2398</v>
      </c>
      <c r="E1162" s="205" t="s">
        <v>4847</v>
      </c>
      <c r="F1162" s="55" t="s">
        <v>2276</v>
      </c>
      <c r="G1162" s="4" t="s">
        <v>7776</v>
      </c>
      <c r="H1162" s="49" t="s">
        <v>4112</v>
      </c>
      <c r="I1162" s="21">
        <v>34.778412371848503</v>
      </c>
      <c r="J1162" s="21">
        <v>-116.631018494207</v>
      </c>
      <c r="K1162" s="177">
        <f>54803*2.59</f>
        <v>141939.76999999999</v>
      </c>
      <c r="L1162" s="205">
        <v>1999</v>
      </c>
      <c r="M1162" s="205">
        <v>2012</v>
      </c>
      <c r="N1162" s="82" t="s">
        <v>2276</v>
      </c>
      <c r="O1162" s="19" t="s">
        <v>67</v>
      </c>
      <c r="P1162" s="19" t="s">
        <v>5187</v>
      </c>
      <c r="Q1162" s="205"/>
    </row>
    <row r="1163" spans="1:17" ht="33.5" customHeight="1">
      <c r="A1163" s="214">
        <v>306</v>
      </c>
      <c r="B1163" s="40" t="s">
        <v>7714</v>
      </c>
      <c r="C1163" s="19" t="s">
        <v>7728</v>
      </c>
      <c r="D1163" s="205" t="s">
        <v>2398</v>
      </c>
      <c r="E1163" s="205" t="s">
        <v>4847</v>
      </c>
      <c r="F1163" s="55" t="s">
        <v>2276</v>
      </c>
      <c r="G1163" s="4" t="s">
        <v>7777</v>
      </c>
      <c r="H1163" s="49" t="s">
        <v>4112</v>
      </c>
      <c r="I1163" s="21">
        <v>32.655688180959601</v>
      </c>
      <c r="J1163" s="21">
        <v>-112.56350898674</v>
      </c>
      <c r="K1163" s="177">
        <f>36272.59</f>
        <v>36272.589999999997</v>
      </c>
      <c r="L1163" s="205">
        <v>1999</v>
      </c>
      <c r="M1163" s="205">
        <v>2012</v>
      </c>
      <c r="N1163" s="82" t="s">
        <v>2276</v>
      </c>
      <c r="O1163" s="19" t="s">
        <v>67</v>
      </c>
      <c r="P1163" s="19" t="s">
        <v>5187</v>
      </c>
      <c r="Q1163" s="205"/>
    </row>
    <row r="1164" spans="1:17" ht="33.5" customHeight="1">
      <c r="A1164" s="214">
        <v>306</v>
      </c>
      <c r="B1164" s="40" t="s">
        <v>7714</v>
      </c>
      <c r="C1164" s="19" t="s">
        <v>7729</v>
      </c>
      <c r="D1164" s="205" t="s">
        <v>2398</v>
      </c>
      <c r="E1164" s="205" t="s">
        <v>4847</v>
      </c>
      <c r="F1164" s="55" t="s">
        <v>2276</v>
      </c>
      <c r="G1164" s="4" t="s">
        <v>7778</v>
      </c>
      <c r="H1164" s="49" t="s">
        <v>4112</v>
      </c>
      <c r="I1164" s="21">
        <v>34.304956570755401</v>
      </c>
      <c r="J1164" s="21">
        <v>-110.871419047996</v>
      </c>
      <c r="K1164" s="177">
        <f>41772*2.59</f>
        <v>108189.48</v>
      </c>
      <c r="L1164" s="205">
        <v>1999</v>
      </c>
      <c r="M1164" s="205">
        <v>2012</v>
      </c>
      <c r="N1164" s="82" t="s">
        <v>2276</v>
      </c>
      <c r="O1164" s="19" t="s">
        <v>67</v>
      </c>
      <c r="P1164" s="19" t="s">
        <v>5187</v>
      </c>
      <c r="Q1164" s="205"/>
    </row>
    <row r="1165" spans="1:17" ht="33.5" customHeight="1">
      <c r="A1165" s="214">
        <v>306</v>
      </c>
      <c r="B1165" s="40" t="s">
        <v>7714</v>
      </c>
      <c r="C1165" s="19" t="s">
        <v>7730</v>
      </c>
      <c r="D1165" s="205" t="s">
        <v>2398</v>
      </c>
      <c r="E1165" s="205" t="s">
        <v>4847</v>
      </c>
      <c r="F1165" s="55" t="s">
        <v>2276</v>
      </c>
      <c r="G1165" s="4" t="s">
        <v>7779</v>
      </c>
      <c r="H1165" s="49" t="s">
        <v>4112</v>
      </c>
      <c r="I1165" s="21">
        <v>38.116662745959303</v>
      </c>
      <c r="J1165" s="21">
        <v>-112.022872420586</v>
      </c>
      <c r="K1165" s="177">
        <f>24057*2.59</f>
        <v>62307.63</v>
      </c>
      <c r="L1165" s="205">
        <v>1999</v>
      </c>
      <c r="M1165" s="205">
        <v>2012</v>
      </c>
      <c r="N1165" s="82" t="s">
        <v>2276</v>
      </c>
      <c r="O1165" s="19" t="s">
        <v>67</v>
      </c>
      <c r="P1165" s="19" t="s">
        <v>5187</v>
      </c>
      <c r="Q1165" s="205"/>
    </row>
    <row r="1166" spans="1:17" ht="33.5" customHeight="1">
      <c r="A1166" s="214">
        <v>306</v>
      </c>
      <c r="B1166" s="40" t="s">
        <v>7714</v>
      </c>
      <c r="C1166" s="19" t="s">
        <v>7731</v>
      </c>
      <c r="D1166" s="205" t="s">
        <v>2398</v>
      </c>
      <c r="E1166" s="205" t="s">
        <v>4847</v>
      </c>
      <c r="F1166" s="55" t="s">
        <v>2276</v>
      </c>
      <c r="G1166" s="4" t="s">
        <v>7780</v>
      </c>
      <c r="H1166" s="49" t="s">
        <v>4112</v>
      </c>
      <c r="I1166" s="21">
        <v>38.642097255574001</v>
      </c>
      <c r="J1166" s="21">
        <v>-113.81286692193</v>
      </c>
      <c r="K1166" s="177">
        <f>46910*2.59</f>
        <v>121496.9</v>
      </c>
      <c r="L1166" s="205">
        <v>1999</v>
      </c>
      <c r="M1166" s="205">
        <v>2012</v>
      </c>
      <c r="N1166" s="82" t="s">
        <v>2276</v>
      </c>
      <c r="O1166" s="19" t="s">
        <v>67</v>
      </c>
      <c r="P1166" s="19" t="s">
        <v>5187</v>
      </c>
      <c r="Q1166" s="205"/>
    </row>
    <row r="1167" spans="1:17" ht="33.5" customHeight="1">
      <c r="A1167" s="214">
        <v>306</v>
      </c>
      <c r="B1167" s="40" t="s">
        <v>7714</v>
      </c>
      <c r="C1167" s="19" t="s">
        <v>7732</v>
      </c>
      <c r="D1167" s="205" t="s">
        <v>2398</v>
      </c>
      <c r="E1167" s="205" t="s">
        <v>4847</v>
      </c>
      <c r="F1167" s="55" t="s">
        <v>2276</v>
      </c>
      <c r="G1167" s="4" t="s">
        <v>7781</v>
      </c>
      <c r="H1167" s="49" t="s">
        <v>4112</v>
      </c>
      <c r="I1167" s="21">
        <v>42.851093097746599</v>
      </c>
      <c r="J1167" s="21">
        <v>-113.39894400295999</v>
      </c>
      <c r="K1167" s="177">
        <f>36340*2.59</f>
        <v>94120.599999999991</v>
      </c>
      <c r="L1167" s="205">
        <v>1999</v>
      </c>
      <c r="M1167" s="205">
        <v>2012</v>
      </c>
      <c r="N1167" s="82" t="s">
        <v>2276</v>
      </c>
      <c r="O1167" s="19" t="s">
        <v>67</v>
      </c>
      <c r="P1167" s="19" t="s">
        <v>5187</v>
      </c>
      <c r="Q1167" s="205"/>
    </row>
    <row r="1168" spans="1:17" ht="33.5" customHeight="1">
      <c r="A1168" s="214">
        <v>306</v>
      </c>
      <c r="B1168" s="40" t="s">
        <v>7714</v>
      </c>
      <c r="C1168" s="19" t="s">
        <v>7733</v>
      </c>
      <c r="D1168" s="205" t="s">
        <v>2398</v>
      </c>
      <c r="E1168" s="205" t="s">
        <v>4847</v>
      </c>
      <c r="F1168" s="55" t="s">
        <v>2276</v>
      </c>
      <c r="G1168" s="4" t="s">
        <v>7782</v>
      </c>
      <c r="H1168" s="49" t="s">
        <v>4112</v>
      </c>
      <c r="I1168" s="21">
        <v>47.609854099917698</v>
      </c>
      <c r="J1168" s="21">
        <v>-113.35386703704199</v>
      </c>
      <c r="K1168" s="177">
        <f>41826*2.59</f>
        <v>108329.34</v>
      </c>
      <c r="L1168" s="205">
        <v>1999</v>
      </c>
      <c r="M1168" s="205">
        <v>2012</v>
      </c>
      <c r="N1168" s="82" t="s">
        <v>2276</v>
      </c>
      <c r="O1168" s="19" t="s">
        <v>67</v>
      </c>
      <c r="P1168" s="19" t="s">
        <v>5187</v>
      </c>
      <c r="Q1168" s="205"/>
    </row>
    <row r="1169" spans="1:17" ht="33.5" customHeight="1">
      <c r="A1169" s="214">
        <v>306</v>
      </c>
      <c r="B1169" s="40" t="s">
        <v>7714</v>
      </c>
      <c r="C1169" s="19" t="s">
        <v>7734</v>
      </c>
      <c r="D1169" s="205" t="s">
        <v>2398</v>
      </c>
      <c r="E1169" s="205" t="s">
        <v>4847</v>
      </c>
      <c r="F1169" s="55" t="s">
        <v>2276</v>
      </c>
      <c r="G1169" s="4" t="s">
        <v>7783</v>
      </c>
      <c r="H1169" s="49" t="s">
        <v>4112</v>
      </c>
      <c r="I1169" s="21">
        <v>47.868535860708398</v>
      </c>
      <c r="J1169" s="21">
        <v>-110.44733622938099</v>
      </c>
      <c r="K1169" s="177">
        <f>51769*2.59</f>
        <v>134081.71</v>
      </c>
      <c r="L1169" s="205">
        <v>1999</v>
      </c>
      <c r="M1169" s="205">
        <v>2012</v>
      </c>
      <c r="N1169" s="82" t="s">
        <v>2276</v>
      </c>
      <c r="O1169" s="19" t="s">
        <v>67</v>
      </c>
      <c r="P1169" s="19" t="s">
        <v>5187</v>
      </c>
      <c r="Q1169" s="205"/>
    </row>
    <row r="1170" spans="1:17" ht="33.5" customHeight="1">
      <c r="A1170" s="214">
        <v>306</v>
      </c>
      <c r="B1170" s="40" t="s">
        <v>7714</v>
      </c>
      <c r="C1170" s="19" t="s">
        <v>7735</v>
      </c>
      <c r="D1170" s="205" t="s">
        <v>2398</v>
      </c>
      <c r="E1170" s="205" t="s">
        <v>4847</v>
      </c>
      <c r="F1170" s="55" t="s">
        <v>2276</v>
      </c>
      <c r="G1170" s="4" t="s">
        <v>7784</v>
      </c>
      <c r="H1170" s="49" t="s">
        <v>4112</v>
      </c>
      <c r="I1170" s="21">
        <v>45.852431391876401</v>
      </c>
      <c r="J1170" s="21">
        <v>-112.035966654558</v>
      </c>
      <c r="K1170" s="177">
        <f>28983*2.59</f>
        <v>75065.97</v>
      </c>
      <c r="L1170" s="205">
        <v>1999</v>
      </c>
      <c r="M1170" s="205">
        <v>2012</v>
      </c>
      <c r="N1170" s="82" t="s">
        <v>2276</v>
      </c>
      <c r="O1170" s="19" t="s">
        <v>67</v>
      </c>
      <c r="P1170" s="19" t="s">
        <v>5187</v>
      </c>
      <c r="Q1170" s="205"/>
    </row>
    <row r="1171" spans="1:17" ht="33.5" customHeight="1">
      <c r="A1171" s="214">
        <v>306</v>
      </c>
      <c r="B1171" s="40" t="s">
        <v>7714</v>
      </c>
      <c r="C1171" s="19" t="s">
        <v>7736</v>
      </c>
      <c r="D1171" s="205" t="s">
        <v>2398</v>
      </c>
      <c r="E1171" s="205" t="s">
        <v>4847</v>
      </c>
      <c r="F1171" s="55" t="s">
        <v>2276</v>
      </c>
      <c r="G1171" s="4" t="s">
        <v>7785</v>
      </c>
      <c r="H1171" s="49" t="s">
        <v>4112</v>
      </c>
      <c r="I1171" s="21">
        <v>43.206435650051901</v>
      </c>
      <c r="J1171" s="21">
        <v>-108.169905326551</v>
      </c>
      <c r="K1171" s="177">
        <f>63661*2.59</f>
        <v>164881.99</v>
      </c>
      <c r="L1171" s="205">
        <v>1999</v>
      </c>
      <c r="M1171" s="205">
        <v>2012</v>
      </c>
      <c r="N1171" s="82" t="s">
        <v>2276</v>
      </c>
      <c r="O1171" s="19" t="s">
        <v>67</v>
      </c>
      <c r="P1171" s="19" t="s">
        <v>5187</v>
      </c>
      <c r="Q1171" s="205"/>
    </row>
    <row r="1172" spans="1:17" ht="33.5" customHeight="1">
      <c r="A1172" s="214">
        <v>306</v>
      </c>
      <c r="B1172" s="40" t="s">
        <v>7714</v>
      </c>
      <c r="C1172" s="19" t="s">
        <v>7737</v>
      </c>
      <c r="D1172" s="205" t="s">
        <v>2398</v>
      </c>
      <c r="E1172" s="205" t="s">
        <v>4847</v>
      </c>
      <c r="F1172" s="55" t="s">
        <v>2276</v>
      </c>
      <c r="G1172" s="4" t="s">
        <v>7786</v>
      </c>
      <c r="H1172" s="49" t="s">
        <v>4112</v>
      </c>
      <c r="I1172" s="21">
        <v>37.713571538518302</v>
      </c>
      <c r="J1172" s="21">
        <v>-110.01507313037899</v>
      </c>
      <c r="K1172" s="177">
        <f>47563*2.59</f>
        <v>123188.17</v>
      </c>
      <c r="L1172" s="205">
        <v>1999</v>
      </c>
      <c r="M1172" s="205">
        <v>2012</v>
      </c>
      <c r="N1172" s="82" t="s">
        <v>2276</v>
      </c>
      <c r="O1172" s="19" t="s">
        <v>67</v>
      </c>
      <c r="P1172" s="19" t="s">
        <v>5187</v>
      </c>
      <c r="Q1172" s="205"/>
    </row>
    <row r="1173" spans="1:17" ht="33.5" customHeight="1">
      <c r="A1173" s="214">
        <v>306</v>
      </c>
      <c r="B1173" s="40" t="s">
        <v>7714</v>
      </c>
      <c r="C1173" s="19" t="s">
        <v>7738</v>
      </c>
      <c r="D1173" s="205" t="s">
        <v>2398</v>
      </c>
      <c r="E1173" s="205" t="s">
        <v>4847</v>
      </c>
      <c r="F1173" s="55" t="s">
        <v>2276</v>
      </c>
      <c r="G1173" s="4" t="s">
        <v>7787</v>
      </c>
      <c r="H1173" s="49" t="s">
        <v>4112</v>
      </c>
      <c r="I1173" s="21">
        <v>35.818702662931202</v>
      </c>
      <c r="J1173" s="21">
        <v>-108.083646782667</v>
      </c>
      <c r="K1173" s="177">
        <f>51678*2.59</f>
        <v>133846.01999999999</v>
      </c>
      <c r="L1173" s="205">
        <v>1999</v>
      </c>
      <c r="M1173" s="205">
        <v>2012</v>
      </c>
      <c r="N1173" s="82" t="s">
        <v>2276</v>
      </c>
      <c r="O1173" s="19" t="s">
        <v>67</v>
      </c>
      <c r="P1173" s="19" t="s">
        <v>5187</v>
      </c>
      <c r="Q1173" s="205"/>
    </row>
    <row r="1174" spans="1:17" ht="33.5" customHeight="1">
      <c r="A1174" s="214">
        <v>306</v>
      </c>
      <c r="B1174" s="40" t="s">
        <v>7714</v>
      </c>
      <c r="C1174" s="19" t="s">
        <v>7739</v>
      </c>
      <c r="D1174" s="205" t="s">
        <v>2398</v>
      </c>
      <c r="E1174" s="205" t="s">
        <v>4847</v>
      </c>
      <c r="F1174" s="55" t="s">
        <v>2276</v>
      </c>
      <c r="G1174" s="4" t="s">
        <v>7788</v>
      </c>
      <c r="H1174" s="49" t="s">
        <v>4112</v>
      </c>
      <c r="I1174" s="21">
        <v>33.107345082338703</v>
      </c>
      <c r="J1174" s="21">
        <v>-106.83959031604</v>
      </c>
      <c r="K1174" s="177">
        <f>42492*2.59</f>
        <v>110054.28</v>
      </c>
      <c r="L1174" s="205">
        <v>1999</v>
      </c>
      <c r="M1174" s="205">
        <v>2012</v>
      </c>
      <c r="N1174" s="82" t="s">
        <v>2276</v>
      </c>
      <c r="O1174" s="19" t="s">
        <v>67</v>
      </c>
      <c r="P1174" s="19" t="s">
        <v>5187</v>
      </c>
      <c r="Q1174" s="205"/>
    </row>
    <row r="1175" spans="1:17" ht="33.5" customHeight="1">
      <c r="A1175" s="214">
        <v>306</v>
      </c>
      <c r="B1175" s="40" t="s">
        <v>7714</v>
      </c>
      <c r="C1175" s="19" t="s">
        <v>7740</v>
      </c>
      <c r="D1175" s="205" t="s">
        <v>2398</v>
      </c>
      <c r="E1175" s="205" t="s">
        <v>4847</v>
      </c>
      <c r="F1175" s="55" t="s">
        <v>2276</v>
      </c>
      <c r="G1175" s="4" t="s">
        <v>7789</v>
      </c>
      <c r="H1175" s="49" t="s">
        <v>4112</v>
      </c>
      <c r="I1175" s="21">
        <v>30.989107591917101</v>
      </c>
      <c r="J1175" s="21">
        <v>-103.635016640502</v>
      </c>
      <c r="K1175" s="177">
        <f>58697*2.59</f>
        <v>152025.22999999998</v>
      </c>
      <c r="L1175" s="205">
        <v>1999</v>
      </c>
      <c r="M1175" s="205">
        <v>2012</v>
      </c>
      <c r="N1175" s="82" t="s">
        <v>2276</v>
      </c>
      <c r="O1175" s="19" t="s">
        <v>67</v>
      </c>
      <c r="P1175" s="19" t="s">
        <v>5187</v>
      </c>
      <c r="Q1175" s="205"/>
    </row>
    <row r="1176" spans="1:17" ht="33.5" customHeight="1">
      <c r="A1176" s="214">
        <v>306</v>
      </c>
      <c r="B1176" s="40" t="s">
        <v>7714</v>
      </c>
      <c r="C1176" s="19" t="s">
        <v>7741</v>
      </c>
      <c r="D1176" s="205" t="s">
        <v>2398</v>
      </c>
      <c r="E1176" s="205" t="s">
        <v>4847</v>
      </c>
      <c r="F1176" s="55" t="s">
        <v>2276</v>
      </c>
      <c r="G1176" s="4" t="s">
        <v>7790</v>
      </c>
      <c r="H1176" s="49" t="s">
        <v>4112</v>
      </c>
      <c r="I1176" s="21">
        <v>35.247173149011502</v>
      </c>
      <c r="J1176" s="21">
        <v>-104.18999713305401</v>
      </c>
      <c r="K1176" s="177">
        <f>52755*2.59</f>
        <v>136635.44999999998</v>
      </c>
      <c r="L1176" s="205">
        <v>1999</v>
      </c>
      <c r="M1176" s="205">
        <v>2012</v>
      </c>
      <c r="N1176" s="82" t="s">
        <v>2276</v>
      </c>
      <c r="O1176" s="19" t="s">
        <v>67</v>
      </c>
      <c r="P1176" s="19" t="s">
        <v>5187</v>
      </c>
      <c r="Q1176" s="205"/>
    </row>
    <row r="1177" spans="1:17" ht="33.5" customHeight="1">
      <c r="A1177" s="214">
        <v>306</v>
      </c>
      <c r="B1177" s="40" t="s">
        <v>7714</v>
      </c>
      <c r="C1177" s="19" t="s">
        <v>7742</v>
      </c>
      <c r="D1177" s="205" t="s">
        <v>2398</v>
      </c>
      <c r="E1177" s="205" t="s">
        <v>4847</v>
      </c>
      <c r="F1177" s="55" t="s">
        <v>2276</v>
      </c>
      <c r="G1177" s="4" t="s">
        <v>7791</v>
      </c>
      <c r="H1177" s="49" t="s">
        <v>4112</v>
      </c>
      <c r="I1177" s="21">
        <v>38.9332271398968</v>
      </c>
      <c r="J1177" s="21">
        <v>-106.837067504185</v>
      </c>
      <c r="K1177" s="177">
        <f>53311*2.59</f>
        <v>138075.49</v>
      </c>
      <c r="L1177" s="205">
        <v>1999</v>
      </c>
      <c r="M1177" s="205">
        <v>2012</v>
      </c>
      <c r="N1177" s="82" t="s">
        <v>2276</v>
      </c>
      <c r="O1177" s="19" t="s">
        <v>67</v>
      </c>
      <c r="P1177" s="19" t="s">
        <v>5187</v>
      </c>
      <c r="Q1177" s="205"/>
    </row>
    <row r="1178" spans="1:17" ht="33.5" customHeight="1">
      <c r="A1178" s="214">
        <v>306</v>
      </c>
      <c r="B1178" s="40" t="s">
        <v>7714</v>
      </c>
      <c r="C1178" s="19" t="s">
        <v>7743</v>
      </c>
      <c r="D1178" s="205" t="s">
        <v>2398</v>
      </c>
      <c r="E1178" s="205" t="s">
        <v>4847</v>
      </c>
      <c r="F1178" s="55" t="s">
        <v>2276</v>
      </c>
      <c r="G1178" s="4" t="s">
        <v>7792</v>
      </c>
      <c r="H1178" s="49" t="s">
        <v>4112</v>
      </c>
      <c r="I1178" s="21">
        <v>44.540726286926599</v>
      </c>
      <c r="J1178" s="21">
        <v>-104.44072834635099</v>
      </c>
      <c r="K1178" s="177">
        <f>63661*2.59</f>
        <v>164881.99</v>
      </c>
      <c r="L1178" s="205">
        <v>1999</v>
      </c>
      <c r="M1178" s="205">
        <v>2012</v>
      </c>
      <c r="N1178" s="82" t="s">
        <v>2276</v>
      </c>
      <c r="O1178" s="19" t="s">
        <v>67</v>
      </c>
      <c r="P1178" s="19" t="s">
        <v>5187</v>
      </c>
      <c r="Q1178" s="205"/>
    </row>
    <row r="1179" spans="1:17" ht="33.5" customHeight="1">
      <c r="A1179" s="214">
        <v>306</v>
      </c>
      <c r="B1179" s="40" t="s">
        <v>7714</v>
      </c>
      <c r="C1179" s="19" t="s">
        <v>7744</v>
      </c>
      <c r="D1179" s="205" t="s">
        <v>2398</v>
      </c>
      <c r="E1179" s="205" t="s">
        <v>4847</v>
      </c>
      <c r="F1179" s="55" t="s">
        <v>2276</v>
      </c>
      <c r="G1179" s="4" t="s">
        <v>7793</v>
      </c>
      <c r="H1179" s="49" t="s">
        <v>4112</v>
      </c>
      <c r="I1179" s="21">
        <v>46.671839833881499</v>
      </c>
      <c r="J1179" s="21">
        <v>-102.684632776583</v>
      </c>
      <c r="K1179" s="177">
        <f>54498*2.59</f>
        <v>141149.81999999998</v>
      </c>
      <c r="L1179" s="205">
        <v>1999</v>
      </c>
      <c r="M1179" s="205">
        <v>2012</v>
      </c>
      <c r="N1179" s="82" t="s">
        <v>2276</v>
      </c>
      <c r="O1179" s="19" t="s">
        <v>67</v>
      </c>
      <c r="P1179" s="19" t="s">
        <v>5187</v>
      </c>
      <c r="Q1179" s="205"/>
    </row>
    <row r="1180" spans="1:17" ht="33.5" customHeight="1">
      <c r="A1180" s="214">
        <v>306</v>
      </c>
      <c r="B1180" s="40" t="s">
        <v>7714</v>
      </c>
      <c r="C1180" s="19" t="s">
        <v>7745</v>
      </c>
      <c r="D1180" s="205" t="s">
        <v>2398</v>
      </c>
      <c r="E1180" s="205" t="s">
        <v>4847</v>
      </c>
      <c r="F1180" s="55" t="s">
        <v>2276</v>
      </c>
      <c r="G1180" s="4" t="s">
        <v>7794</v>
      </c>
      <c r="H1180" s="49" t="s">
        <v>4112</v>
      </c>
      <c r="I1180" s="21">
        <v>43.625167760556103</v>
      </c>
      <c r="J1180" s="21">
        <v>-101.60632953459</v>
      </c>
      <c r="K1180" s="177">
        <f>59130*2.59</f>
        <v>153146.69999999998</v>
      </c>
      <c r="L1180" s="205">
        <v>1999</v>
      </c>
      <c r="M1180" s="205">
        <v>2012</v>
      </c>
      <c r="N1180" s="82" t="s">
        <v>2276</v>
      </c>
      <c r="O1180" s="19" t="s">
        <v>67</v>
      </c>
      <c r="P1180" s="19" t="s">
        <v>5187</v>
      </c>
      <c r="Q1180" s="205"/>
    </row>
    <row r="1181" spans="1:17" ht="33.5" customHeight="1">
      <c r="A1181" s="214">
        <v>306</v>
      </c>
      <c r="B1181" s="40" t="s">
        <v>7714</v>
      </c>
      <c r="C1181" s="19" t="s">
        <v>7665</v>
      </c>
      <c r="D1181" s="205" t="s">
        <v>2398</v>
      </c>
      <c r="E1181" s="205" t="s">
        <v>4847</v>
      </c>
      <c r="F1181" s="55" t="s">
        <v>2276</v>
      </c>
      <c r="G1181" s="4" t="s">
        <v>7795</v>
      </c>
      <c r="H1181" s="49" t="s">
        <v>4112</v>
      </c>
      <c r="I1181" s="21">
        <v>39.9925754</v>
      </c>
      <c r="J1181" s="21">
        <v>-99.766092</v>
      </c>
      <c r="K1181" s="177">
        <f>61107*2.59</f>
        <v>158267.13</v>
      </c>
      <c r="L1181" s="205">
        <v>1999</v>
      </c>
      <c r="M1181" s="205">
        <v>2012</v>
      </c>
      <c r="N1181" s="82" t="s">
        <v>2276</v>
      </c>
      <c r="O1181" s="19" t="s">
        <v>67</v>
      </c>
      <c r="P1181" s="19" t="s">
        <v>5187</v>
      </c>
      <c r="Q1181" s="205"/>
    </row>
    <row r="1182" spans="1:17" ht="33.5" customHeight="1">
      <c r="A1182" s="214">
        <v>306</v>
      </c>
      <c r="B1182" s="40" t="s">
        <v>7714</v>
      </c>
      <c r="C1182" s="19" t="s">
        <v>7686</v>
      </c>
      <c r="D1182" s="205" t="s">
        <v>2398</v>
      </c>
      <c r="E1182" s="205" t="s">
        <v>4847</v>
      </c>
      <c r="F1182" s="55" t="s">
        <v>2276</v>
      </c>
      <c r="G1182" s="4" t="s">
        <v>7796</v>
      </c>
      <c r="H1182" s="49" t="s">
        <v>4112</v>
      </c>
      <c r="I1182" s="21">
        <v>42.205696818515001</v>
      </c>
      <c r="J1182" s="21">
        <v>-103.325854285636</v>
      </c>
      <c r="K1182" s="177">
        <f>59537*2.59</f>
        <v>154200.82999999999</v>
      </c>
      <c r="L1182" s="205">
        <v>1999</v>
      </c>
      <c r="M1182" s="205">
        <v>2012</v>
      </c>
      <c r="N1182" s="82" t="s">
        <v>2276</v>
      </c>
      <c r="O1182" s="19" t="s">
        <v>67</v>
      </c>
      <c r="P1182" s="19" t="s">
        <v>5187</v>
      </c>
      <c r="Q1182" s="205"/>
    </row>
    <row r="1183" spans="1:17" ht="33.5" customHeight="1">
      <c r="A1183" s="214">
        <v>306</v>
      </c>
      <c r="B1183" s="40" t="s">
        <v>7714</v>
      </c>
      <c r="C1183" s="19" t="s">
        <v>7746</v>
      </c>
      <c r="D1183" s="205" t="s">
        <v>2398</v>
      </c>
      <c r="E1183" s="205" t="s">
        <v>4847</v>
      </c>
      <c r="F1183" s="55" t="s">
        <v>2276</v>
      </c>
      <c r="G1183" s="4" t="s">
        <v>7797</v>
      </c>
      <c r="H1183" s="49" t="s">
        <v>4112</v>
      </c>
      <c r="I1183" s="21">
        <v>37.284089343177598</v>
      </c>
      <c r="J1183" s="21">
        <v>-102.08163027409699</v>
      </c>
      <c r="K1183" s="177">
        <f>68161*2.59</f>
        <v>176536.99</v>
      </c>
      <c r="L1183" s="205">
        <v>1999</v>
      </c>
      <c r="M1183" s="205">
        <v>2012</v>
      </c>
      <c r="N1183" s="82" t="s">
        <v>2276</v>
      </c>
      <c r="O1183" s="19" t="s">
        <v>67</v>
      </c>
      <c r="P1183" s="19" t="s">
        <v>5187</v>
      </c>
      <c r="Q1183" s="205"/>
    </row>
    <row r="1184" spans="1:17" ht="33.5" customHeight="1">
      <c r="A1184" s="214">
        <v>306</v>
      </c>
      <c r="B1184" s="40" t="s">
        <v>7714</v>
      </c>
      <c r="C1184" s="19" t="s">
        <v>7747</v>
      </c>
      <c r="D1184" s="205" t="s">
        <v>2398</v>
      </c>
      <c r="E1184" s="205" t="s">
        <v>4847</v>
      </c>
      <c r="F1184" s="55" t="s">
        <v>2276</v>
      </c>
      <c r="G1184" s="4" t="s">
        <v>7798</v>
      </c>
      <c r="H1184" s="49" t="s">
        <v>4112</v>
      </c>
      <c r="I1184" s="21">
        <v>32.855131508091098</v>
      </c>
      <c r="J1184" s="21">
        <v>-99.620925031185294</v>
      </c>
      <c r="K1184" s="177">
        <f>61986*2.59</f>
        <v>160543.74</v>
      </c>
      <c r="L1184" s="205">
        <v>1999</v>
      </c>
      <c r="M1184" s="205">
        <v>2012</v>
      </c>
      <c r="N1184" s="82" t="s">
        <v>2276</v>
      </c>
      <c r="O1184" s="19" t="s">
        <v>67</v>
      </c>
      <c r="P1184" s="19" t="s">
        <v>5187</v>
      </c>
      <c r="Q1184" s="205"/>
    </row>
    <row r="1185" spans="1:17" ht="33.5" customHeight="1">
      <c r="A1185" s="214">
        <v>306</v>
      </c>
      <c r="B1185" s="40" t="s">
        <v>7714</v>
      </c>
      <c r="C1185" s="19" t="s">
        <v>7748</v>
      </c>
      <c r="D1185" s="205" t="s">
        <v>2398</v>
      </c>
      <c r="E1185" s="205" t="s">
        <v>4847</v>
      </c>
      <c r="F1185" s="55" t="s">
        <v>2276</v>
      </c>
      <c r="G1185" s="4" t="s">
        <v>7799</v>
      </c>
      <c r="H1185" s="19" t="s">
        <v>4112</v>
      </c>
      <c r="I1185" s="21">
        <v>28.824622636610201</v>
      </c>
      <c r="J1185" s="21">
        <v>-98.428523414803294</v>
      </c>
      <c r="K1185" s="177">
        <f>55188*2.59</f>
        <v>142936.91999999998</v>
      </c>
      <c r="L1185" s="205">
        <v>1999</v>
      </c>
      <c r="M1185" s="205">
        <v>2012</v>
      </c>
      <c r="N1185" s="82" t="s">
        <v>2276</v>
      </c>
      <c r="O1185" s="19" t="s">
        <v>67</v>
      </c>
      <c r="P1185" s="19" t="s">
        <v>5187</v>
      </c>
      <c r="Q1185" s="205"/>
    </row>
    <row r="1186" spans="1:17" ht="33.5" customHeight="1">
      <c r="A1186" s="214">
        <v>306</v>
      </c>
      <c r="B1186" s="40" t="s">
        <v>7714</v>
      </c>
      <c r="C1186" s="19" t="s">
        <v>7749</v>
      </c>
      <c r="D1186" s="205" t="s">
        <v>2398</v>
      </c>
      <c r="E1186" s="205" t="s">
        <v>4847</v>
      </c>
      <c r="F1186" s="55" t="s">
        <v>2276</v>
      </c>
      <c r="G1186" s="4" t="s">
        <v>7800</v>
      </c>
      <c r="H1186" s="19" t="s">
        <v>4112</v>
      </c>
      <c r="I1186" s="21">
        <v>31.163752012795001</v>
      </c>
      <c r="J1186" s="21">
        <v>-93.276679100962198</v>
      </c>
      <c r="K1186" s="177">
        <f>66683*2.59</f>
        <v>172708.97</v>
      </c>
      <c r="L1186" s="205">
        <v>1999</v>
      </c>
      <c r="M1186" s="205">
        <v>2012</v>
      </c>
      <c r="N1186" s="82" t="s">
        <v>2276</v>
      </c>
      <c r="O1186" s="19" t="s">
        <v>67</v>
      </c>
      <c r="P1186" s="19" t="s">
        <v>5187</v>
      </c>
      <c r="Q1186" s="205"/>
    </row>
    <row r="1187" spans="1:17" ht="33.5" customHeight="1">
      <c r="A1187" s="214">
        <v>306</v>
      </c>
      <c r="B1187" s="40" t="s">
        <v>7714</v>
      </c>
      <c r="C1187" s="19" t="s">
        <v>7750</v>
      </c>
      <c r="D1187" s="205" t="s">
        <v>2398</v>
      </c>
      <c r="E1187" s="205" t="s">
        <v>4847</v>
      </c>
      <c r="F1187" s="55" t="s">
        <v>2276</v>
      </c>
      <c r="G1187" s="4" t="s">
        <v>7801</v>
      </c>
      <c r="H1187" s="19" t="s">
        <v>4112</v>
      </c>
      <c r="I1187" s="21">
        <v>42.187305416271798</v>
      </c>
      <c r="J1187" s="21">
        <v>-99.304241951448404</v>
      </c>
      <c r="K1187" s="177">
        <f>73609*2.59</f>
        <v>190647.31</v>
      </c>
      <c r="L1187" s="205">
        <v>1999</v>
      </c>
      <c r="M1187" s="205">
        <v>2012</v>
      </c>
      <c r="N1187" s="82" t="s">
        <v>2276</v>
      </c>
      <c r="O1187" s="19" t="s">
        <v>67</v>
      </c>
      <c r="P1187" s="19" t="s">
        <v>5187</v>
      </c>
      <c r="Q1187" s="205"/>
    </row>
    <row r="1188" spans="1:17" ht="33.5" customHeight="1">
      <c r="A1188" s="214">
        <v>306</v>
      </c>
      <c r="B1188" s="40" t="s">
        <v>7714</v>
      </c>
      <c r="C1188" s="19" t="s">
        <v>7751</v>
      </c>
      <c r="D1188" s="205" t="s">
        <v>2398</v>
      </c>
      <c r="E1188" s="205" t="s">
        <v>4847</v>
      </c>
      <c r="F1188" s="55" t="s">
        <v>2276</v>
      </c>
      <c r="G1188" s="4" t="s">
        <v>7802</v>
      </c>
      <c r="H1188" s="19" t="s">
        <v>4112</v>
      </c>
      <c r="I1188" s="21">
        <v>44.533791593375298</v>
      </c>
      <c r="J1188" s="21">
        <v>-98.314577308112504</v>
      </c>
      <c r="K1188" s="177">
        <f>61354*2.59</f>
        <v>158906.85999999999</v>
      </c>
      <c r="L1188" s="205">
        <v>1999</v>
      </c>
      <c r="M1188" s="205">
        <v>2012</v>
      </c>
      <c r="N1188" s="82" t="s">
        <v>2276</v>
      </c>
      <c r="O1188" s="19" t="s">
        <v>67</v>
      </c>
      <c r="P1188" s="19" t="s">
        <v>5187</v>
      </c>
      <c r="Q1188" s="205"/>
    </row>
    <row r="1189" spans="1:17" ht="33.5" customHeight="1">
      <c r="A1189" s="214">
        <v>306</v>
      </c>
      <c r="B1189" s="40" t="s">
        <v>7714</v>
      </c>
      <c r="C1189" s="19" t="s">
        <v>7752</v>
      </c>
      <c r="D1189" s="205" t="s">
        <v>2398</v>
      </c>
      <c r="E1189" s="205" t="s">
        <v>4847</v>
      </c>
      <c r="F1189" s="55" t="s">
        <v>2276</v>
      </c>
      <c r="G1189" s="4" t="s">
        <v>7803</v>
      </c>
      <c r="H1189" s="19" t="s">
        <v>4112</v>
      </c>
      <c r="I1189" s="21">
        <v>46.671839833881499</v>
      </c>
      <c r="J1189" s="21">
        <v>-102.684632776583</v>
      </c>
      <c r="K1189" s="177">
        <f>49627*2.59</f>
        <v>128533.93</v>
      </c>
      <c r="L1189" s="205">
        <v>1999</v>
      </c>
      <c r="M1189" s="205">
        <v>2012</v>
      </c>
      <c r="N1189" s="82" t="s">
        <v>2276</v>
      </c>
      <c r="O1189" s="19" t="s">
        <v>67</v>
      </c>
      <c r="P1189" s="19" t="s">
        <v>5187</v>
      </c>
      <c r="Q1189" s="205"/>
    </row>
    <row r="1190" spans="1:17" ht="33.5" customHeight="1">
      <c r="A1190" s="214">
        <v>306</v>
      </c>
      <c r="B1190" s="40" t="s">
        <v>7714</v>
      </c>
      <c r="C1190" s="19" t="s">
        <v>7753</v>
      </c>
      <c r="D1190" s="205" t="s">
        <v>2398</v>
      </c>
      <c r="E1190" s="205" t="s">
        <v>4847</v>
      </c>
      <c r="F1190" s="55" t="s">
        <v>2276</v>
      </c>
      <c r="G1190" s="4" t="s">
        <v>7804</v>
      </c>
      <c r="H1190" s="19" t="s">
        <v>4112</v>
      </c>
      <c r="I1190" s="21">
        <v>47.220488584149997</v>
      </c>
      <c r="J1190" s="21">
        <v>-93.839292376980396</v>
      </c>
      <c r="K1190" s="177">
        <f>67110*2.59</f>
        <v>173814.9</v>
      </c>
      <c r="L1190" s="205">
        <v>1999</v>
      </c>
      <c r="M1190" s="205">
        <v>2012</v>
      </c>
      <c r="N1190" s="82" t="s">
        <v>2276</v>
      </c>
      <c r="O1190" s="19" t="s">
        <v>67</v>
      </c>
      <c r="P1190" s="19" t="s">
        <v>5187</v>
      </c>
      <c r="Q1190" s="205"/>
    </row>
    <row r="1191" spans="1:17" ht="33.5" customHeight="1">
      <c r="A1191" s="214">
        <v>306</v>
      </c>
      <c r="B1191" s="40" t="s">
        <v>7714</v>
      </c>
      <c r="C1191" s="19" t="s">
        <v>7754</v>
      </c>
      <c r="D1191" s="205" t="s">
        <v>2398</v>
      </c>
      <c r="E1191" s="205" t="s">
        <v>4847</v>
      </c>
      <c r="F1191" s="55" t="s">
        <v>2276</v>
      </c>
      <c r="G1191" s="4" t="s">
        <v>7805</v>
      </c>
      <c r="H1191" s="19" t="s">
        <v>4112</v>
      </c>
      <c r="I1191" s="21">
        <v>44.360199600110299</v>
      </c>
      <c r="J1191" s="21">
        <v>-94.420444631741702</v>
      </c>
      <c r="K1191" s="177">
        <f>50668*2.59</f>
        <v>131230.12</v>
      </c>
      <c r="L1191" s="205">
        <v>1999</v>
      </c>
      <c r="M1191" s="205">
        <v>2012</v>
      </c>
      <c r="N1191" s="82" t="s">
        <v>2276</v>
      </c>
      <c r="O1191" s="19" t="s">
        <v>67</v>
      </c>
      <c r="P1191" s="19" t="s">
        <v>5187</v>
      </c>
      <c r="Q1191" s="205"/>
    </row>
    <row r="1192" spans="1:17" ht="33.5" customHeight="1">
      <c r="A1192" s="214">
        <v>306</v>
      </c>
      <c r="B1192" s="40" t="s">
        <v>7714</v>
      </c>
      <c r="C1192" s="19" t="s">
        <v>7755</v>
      </c>
      <c r="D1192" s="205" t="s">
        <v>2398</v>
      </c>
      <c r="E1192" s="205" t="s">
        <v>4847</v>
      </c>
      <c r="F1192" s="55" t="s">
        <v>2276</v>
      </c>
      <c r="G1192" s="4" t="s">
        <v>7806</v>
      </c>
      <c r="H1192" s="19" t="s">
        <v>4112</v>
      </c>
      <c r="I1192" s="21">
        <v>42.284887811369003</v>
      </c>
      <c r="J1192" s="21">
        <v>-95.161682605095294</v>
      </c>
      <c r="K1192" s="177">
        <f>54629*2.59</f>
        <v>141489.10999999999</v>
      </c>
      <c r="L1192" s="205">
        <v>1999</v>
      </c>
      <c r="M1192" s="205">
        <v>2012</v>
      </c>
      <c r="N1192" s="82" t="s">
        <v>2276</v>
      </c>
      <c r="O1192" s="19" t="s">
        <v>67</v>
      </c>
      <c r="P1192" s="19" t="s">
        <v>5187</v>
      </c>
      <c r="Q1192" s="205"/>
    </row>
    <row r="1193" spans="1:17" ht="33.5" customHeight="1">
      <c r="A1193" s="214">
        <v>306</v>
      </c>
      <c r="B1193" s="40" t="s">
        <v>7714</v>
      </c>
      <c r="C1193" s="19" t="s">
        <v>7756</v>
      </c>
      <c r="D1193" s="205" t="s">
        <v>2398</v>
      </c>
      <c r="E1193" s="205" t="s">
        <v>4847</v>
      </c>
      <c r="F1193" s="55" t="s">
        <v>2276</v>
      </c>
      <c r="G1193" s="4" t="s">
        <v>7807</v>
      </c>
      <c r="H1193" s="19" t="s">
        <v>4112</v>
      </c>
      <c r="I1193" s="21">
        <v>38.003177753884998</v>
      </c>
      <c r="J1193" s="21">
        <v>-93.010125455351798</v>
      </c>
      <c r="K1193" s="177">
        <f>78784*2.59</f>
        <v>204050.56</v>
      </c>
      <c r="L1193" s="205">
        <v>1999</v>
      </c>
      <c r="M1193" s="205">
        <v>2012</v>
      </c>
      <c r="N1193" s="82" t="s">
        <v>2276</v>
      </c>
      <c r="O1193" s="19" t="s">
        <v>67</v>
      </c>
      <c r="P1193" s="19" t="s">
        <v>5187</v>
      </c>
      <c r="Q1193" s="205"/>
    </row>
    <row r="1194" spans="1:17" ht="33.5" customHeight="1">
      <c r="A1194" s="214">
        <v>306</v>
      </c>
      <c r="B1194" s="40" t="s">
        <v>7714</v>
      </c>
      <c r="C1194" s="19" t="s">
        <v>7757</v>
      </c>
      <c r="D1194" s="205" t="s">
        <v>2398</v>
      </c>
      <c r="E1194" s="205" t="s">
        <v>4847</v>
      </c>
      <c r="F1194" s="55" t="s">
        <v>2276</v>
      </c>
      <c r="G1194" s="4" t="s">
        <v>7808</v>
      </c>
      <c r="H1194" s="19" t="s">
        <v>4112</v>
      </c>
      <c r="I1194" s="21">
        <v>36.049821159957503</v>
      </c>
      <c r="J1194" s="21">
        <v>-90.223916009599193</v>
      </c>
      <c r="K1194" s="177">
        <f>31986*2.59</f>
        <v>82843.739999999991</v>
      </c>
      <c r="L1194" s="205">
        <v>1999</v>
      </c>
      <c r="M1194" s="205">
        <v>2012</v>
      </c>
      <c r="N1194" s="82" t="s">
        <v>2276</v>
      </c>
      <c r="O1194" s="19" t="s">
        <v>67</v>
      </c>
      <c r="P1194" s="19" t="s">
        <v>5187</v>
      </c>
      <c r="Q1194" s="205"/>
    </row>
    <row r="1195" spans="1:17" ht="33.5" customHeight="1">
      <c r="A1195" s="214">
        <v>306</v>
      </c>
      <c r="B1195" s="40" t="s">
        <v>7714</v>
      </c>
      <c r="C1195" s="19" t="s">
        <v>7758</v>
      </c>
      <c r="D1195" s="205" t="s">
        <v>2398</v>
      </c>
      <c r="E1195" s="205" t="s">
        <v>4847</v>
      </c>
      <c r="F1195" s="55" t="s">
        <v>2276</v>
      </c>
      <c r="G1195" s="4" t="s">
        <v>7809</v>
      </c>
      <c r="H1195" s="19" t="s">
        <v>4112</v>
      </c>
      <c r="I1195" s="21">
        <v>35.057128011129301</v>
      </c>
      <c r="J1195" s="21">
        <v>-86.979701945874993</v>
      </c>
      <c r="K1195" s="177">
        <f>49731*2.59</f>
        <v>128803.29</v>
      </c>
      <c r="L1195" s="205">
        <v>1999</v>
      </c>
      <c r="M1195" s="205">
        <v>2012</v>
      </c>
      <c r="N1195" s="82" t="s">
        <v>2276</v>
      </c>
      <c r="O1195" s="19" t="s">
        <v>67</v>
      </c>
      <c r="P1195" s="19" t="s">
        <v>5187</v>
      </c>
      <c r="Q1195" s="205"/>
    </row>
    <row r="1196" spans="1:17" ht="33.5" customHeight="1">
      <c r="A1196" s="214">
        <v>306</v>
      </c>
      <c r="B1196" s="40" t="s">
        <v>7714</v>
      </c>
      <c r="C1196" s="19" t="s">
        <v>7759</v>
      </c>
      <c r="D1196" s="205" t="s">
        <v>2398</v>
      </c>
      <c r="E1196" s="205" t="s">
        <v>4847</v>
      </c>
      <c r="F1196" s="55" t="s">
        <v>2276</v>
      </c>
      <c r="G1196" s="4" t="s">
        <v>7810</v>
      </c>
      <c r="H1196" s="19" t="s">
        <v>4112</v>
      </c>
      <c r="I1196" s="21">
        <v>37.666463615541602</v>
      </c>
      <c r="J1196" s="21">
        <v>-86.373834783277402</v>
      </c>
      <c r="K1196" s="177">
        <f>56603*2.59</f>
        <v>146601.76999999999</v>
      </c>
      <c r="L1196" s="205">
        <v>1999</v>
      </c>
      <c r="M1196" s="205">
        <v>2012</v>
      </c>
      <c r="N1196" s="82" t="s">
        <v>2276</v>
      </c>
      <c r="O1196" s="19" t="s">
        <v>67</v>
      </c>
      <c r="P1196" s="19" t="s">
        <v>5187</v>
      </c>
      <c r="Q1196" s="205"/>
    </row>
    <row r="1197" spans="1:17" ht="33.5" customHeight="1">
      <c r="A1197" s="214">
        <v>306</v>
      </c>
      <c r="B1197" s="40" t="s">
        <v>7714</v>
      </c>
      <c r="C1197" s="19" t="s">
        <v>7760</v>
      </c>
      <c r="D1197" s="205" t="s">
        <v>2398</v>
      </c>
      <c r="E1197" s="205" t="s">
        <v>4847</v>
      </c>
      <c r="F1197" s="55" t="s">
        <v>2276</v>
      </c>
      <c r="G1197" s="4" t="s">
        <v>7811</v>
      </c>
      <c r="H1197" s="19" t="s">
        <v>4112</v>
      </c>
      <c r="I1197" s="21">
        <v>36.044827473319401</v>
      </c>
      <c r="J1197" s="21">
        <v>-84.545718817056795</v>
      </c>
      <c r="K1197" s="177">
        <f>30630*2.59</f>
        <v>79331.7</v>
      </c>
      <c r="L1197" s="205">
        <v>1999</v>
      </c>
      <c r="M1197" s="205">
        <v>2012</v>
      </c>
      <c r="N1197" s="82" t="s">
        <v>2276</v>
      </c>
      <c r="O1197" s="19" t="s">
        <v>67</v>
      </c>
      <c r="P1197" s="19" t="s">
        <v>5187</v>
      </c>
      <c r="Q1197" s="205"/>
    </row>
    <row r="1198" spans="1:17" ht="33.5" customHeight="1">
      <c r="A1198" s="214">
        <v>306</v>
      </c>
      <c r="B1198" s="40" t="s">
        <v>7714</v>
      </c>
      <c r="C1198" s="19" t="s">
        <v>7761</v>
      </c>
      <c r="D1198" s="205" t="s">
        <v>2398</v>
      </c>
      <c r="E1198" s="205" t="s">
        <v>4847</v>
      </c>
      <c r="F1198" s="55" t="s">
        <v>2276</v>
      </c>
      <c r="G1198" s="4" t="s">
        <v>7812</v>
      </c>
      <c r="H1198" s="19" t="s">
        <v>4112</v>
      </c>
      <c r="I1198" s="21">
        <v>39.459519709421897</v>
      </c>
      <c r="J1198" s="21">
        <v>-88.857692444792804</v>
      </c>
      <c r="K1198" s="177">
        <f>63717*2.59</f>
        <v>165027.03</v>
      </c>
      <c r="L1198" s="205">
        <v>1999</v>
      </c>
      <c r="M1198" s="205">
        <v>2012</v>
      </c>
      <c r="N1198" s="82" t="s">
        <v>2276</v>
      </c>
      <c r="O1198" s="19" t="s">
        <v>67</v>
      </c>
      <c r="P1198" s="19" t="s">
        <v>5187</v>
      </c>
      <c r="Q1198" s="205"/>
    </row>
    <row r="1199" spans="1:17" ht="33.5" customHeight="1">
      <c r="A1199" s="214">
        <v>306</v>
      </c>
      <c r="B1199" s="40" t="s">
        <v>7714</v>
      </c>
      <c r="C1199" s="19" t="s">
        <v>7762</v>
      </c>
      <c r="D1199" s="205" t="s">
        <v>2398</v>
      </c>
      <c r="E1199" s="205" t="s">
        <v>4847</v>
      </c>
      <c r="F1199" s="55" t="s">
        <v>2276</v>
      </c>
      <c r="G1199" s="4" t="s">
        <v>7813</v>
      </c>
      <c r="H1199" s="19" t="s">
        <v>4112</v>
      </c>
      <c r="I1199" s="21">
        <v>43.311559075366397</v>
      </c>
      <c r="J1199" s="21">
        <v>-88.998633579664499</v>
      </c>
      <c r="K1199" s="177">
        <f>54569*2.59</f>
        <v>141333.71</v>
      </c>
      <c r="L1199" s="205">
        <v>1999</v>
      </c>
      <c r="M1199" s="205">
        <v>2012</v>
      </c>
      <c r="N1199" s="82" t="s">
        <v>2276</v>
      </c>
      <c r="O1199" s="19" t="s">
        <v>67</v>
      </c>
      <c r="P1199" s="19" t="s">
        <v>5187</v>
      </c>
      <c r="Q1199" s="205"/>
    </row>
    <row r="1200" spans="1:17" ht="33.5" customHeight="1">
      <c r="A1200" s="214">
        <v>306</v>
      </c>
      <c r="B1200" s="40" t="s">
        <v>7714</v>
      </c>
      <c r="C1200" s="19" t="s">
        <v>7763</v>
      </c>
      <c r="D1200" s="205" t="s">
        <v>2398</v>
      </c>
      <c r="E1200" s="205" t="s">
        <v>4847</v>
      </c>
      <c r="F1200" s="55" t="s">
        <v>2276</v>
      </c>
      <c r="G1200" s="4" t="s">
        <v>7814</v>
      </c>
      <c r="H1200" s="19" t="s">
        <v>4112</v>
      </c>
      <c r="I1200" s="21">
        <v>43.450687997823501</v>
      </c>
      <c r="J1200" s="21">
        <v>-84.906601542547705</v>
      </c>
      <c r="K1200" s="177">
        <f>94488*2.59</f>
        <v>244723.91999999998</v>
      </c>
      <c r="L1200" s="205">
        <v>1999</v>
      </c>
      <c r="M1200" s="205">
        <v>2012</v>
      </c>
      <c r="N1200" s="82" t="s">
        <v>2276</v>
      </c>
      <c r="O1200" s="19" t="s">
        <v>67</v>
      </c>
      <c r="P1200" s="19" t="s">
        <v>5187</v>
      </c>
      <c r="Q1200" s="205"/>
    </row>
    <row r="1201" spans="1:17" ht="33.5" customHeight="1">
      <c r="A1201" s="214">
        <v>306</v>
      </c>
      <c r="B1201" s="40" t="s">
        <v>7714</v>
      </c>
      <c r="C1201" s="19" t="s">
        <v>7764</v>
      </c>
      <c r="D1201" s="205" t="s">
        <v>2398</v>
      </c>
      <c r="E1201" s="205" t="s">
        <v>4847</v>
      </c>
      <c r="F1201" s="55" t="s">
        <v>2276</v>
      </c>
      <c r="G1201" s="4" t="s">
        <v>7815</v>
      </c>
      <c r="H1201" s="19" t="s">
        <v>4112</v>
      </c>
      <c r="I1201" s="21">
        <v>41.147854922698897</v>
      </c>
      <c r="J1201" s="21">
        <v>-85.320788018156804</v>
      </c>
      <c r="K1201" s="177">
        <f>33581*2.59</f>
        <v>86974.79</v>
      </c>
      <c r="L1201" s="205">
        <v>1999</v>
      </c>
      <c r="M1201" s="205">
        <v>2012</v>
      </c>
      <c r="N1201" s="82" t="s">
        <v>2276</v>
      </c>
      <c r="O1201" s="19" t="s">
        <v>67</v>
      </c>
      <c r="P1201" s="19" t="s">
        <v>5187</v>
      </c>
      <c r="Q1201" s="205"/>
    </row>
    <row r="1202" spans="1:17" ht="33.5" customHeight="1">
      <c r="A1202" s="214">
        <v>306</v>
      </c>
      <c r="B1202" s="40" t="s">
        <v>7714</v>
      </c>
      <c r="C1202" s="19" t="s">
        <v>7832</v>
      </c>
      <c r="D1202" s="205" t="s">
        <v>2398</v>
      </c>
      <c r="E1202" s="205" t="s">
        <v>4847</v>
      </c>
      <c r="F1202" s="55" t="s">
        <v>2276</v>
      </c>
      <c r="G1202" s="19" t="s">
        <v>7816</v>
      </c>
      <c r="H1202" s="19" t="s">
        <v>4112</v>
      </c>
      <c r="I1202" s="21">
        <v>38.445142935993097</v>
      </c>
      <c r="J1202" s="21">
        <v>-82.620243787525496</v>
      </c>
      <c r="K1202" s="177">
        <f>30636*2.59</f>
        <v>79347.239999999991</v>
      </c>
      <c r="L1202" s="205">
        <v>1999</v>
      </c>
      <c r="M1202" s="205">
        <v>2012</v>
      </c>
      <c r="N1202" s="82" t="s">
        <v>2276</v>
      </c>
      <c r="O1202" s="19" t="s">
        <v>67</v>
      </c>
      <c r="P1202" s="19" t="s">
        <v>5187</v>
      </c>
      <c r="Q1202" s="205"/>
    </row>
    <row r="1203" spans="1:17" ht="33.5" customHeight="1">
      <c r="A1203" s="214">
        <v>306</v>
      </c>
      <c r="B1203" s="40" t="s">
        <v>7714</v>
      </c>
      <c r="C1203" s="19" t="s">
        <v>7833</v>
      </c>
      <c r="D1203" s="205" t="s">
        <v>2398</v>
      </c>
      <c r="E1203" s="205" t="s">
        <v>4847</v>
      </c>
      <c r="F1203" s="55" t="s">
        <v>2276</v>
      </c>
      <c r="G1203" s="19" t="s">
        <v>7817</v>
      </c>
      <c r="H1203" s="19" t="s">
        <v>4112</v>
      </c>
      <c r="I1203" s="21">
        <v>31.7116845524944</v>
      </c>
      <c r="J1203" s="21">
        <v>-83.058017697435801</v>
      </c>
      <c r="K1203" s="177">
        <f>31561*2.59</f>
        <v>81742.989999999991</v>
      </c>
      <c r="L1203" s="205">
        <v>1999</v>
      </c>
      <c r="M1203" s="205">
        <v>2012</v>
      </c>
      <c r="N1203" s="82" t="s">
        <v>2276</v>
      </c>
      <c r="O1203" s="19" t="s">
        <v>67</v>
      </c>
      <c r="P1203" s="19" t="s">
        <v>5187</v>
      </c>
      <c r="Q1203" s="205"/>
    </row>
    <row r="1204" spans="1:17" ht="33.5" customHeight="1">
      <c r="A1204" s="214">
        <v>306</v>
      </c>
      <c r="B1204" s="40" t="s">
        <v>7714</v>
      </c>
      <c r="C1204" s="19" t="s">
        <v>7834</v>
      </c>
      <c r="D1204" s="205" t="s">
        <v>2398</v>
      </c>
      <c r="E1204" s="205" t="s">
        <v>4847</v>
      </c>
      <c r="F1204" s="55" t="s">
        <v>2276</v>
      </c>
      <c r="G1204" s="19" t="s">
        <v>7818</v>
      </c>
      <c r="H1204" s="19" t="s">
        <v>4112</v>
      </c>
      <c r="I1204" s="21">
        <v>27.750560631019699</v>
      </c>
      <c r="J1204" s="21">
        <v>-81.600274725274701</v>
      </c>
      <c r="K1204" s="177">
        <f>58267*2.59</f>
        <v>150911.53</v>
      </c>
      <c r="L1204" s="205">
        <v>1999</v>
      </c>
      <c r="M1204" s="205">
        <v>2012</v>
      </c>
      <c r="N1204" s="82" t="s">
        <v>2276</v>
      </c>
      <c r="O1204" s="19" t="s">
        <v>67</v>
      </c>
      <c r="P1204" s="19" t="s">
        <v>5187</v>
      </c>
      <c r="Q1204" s="205"/>
    </row>
    <row r="1205" spans="1:17" ht="33.5" customHeight="1">
      <c r="A1205" s="214">
        <v>306</v>
      </c>
      <c r="B1205" s="40" t="s">
        <v>7714</v>
      </c>
      <c r="C1205" s="19" t="s">
        <v>7835</v>
      </c>
      <c r="D1205" s="205" t="s">
        <v>2398</v>
      </c>
      <c r="E1205" s="205" t="s">
        <v>4847</v>
      </c>
      <c r="F1205" s="55" t="s">
        <v>2276</v>
      </c>
      <c r="G1205" s="19" t="s">
        <v>7819</v>
      </c>
      <c r="H1205" s="19" t="s">
        <v>4112</v>
      </c>
      <c r="I1205" s="21">
        <v>34.614429858070899</v>
      </c>
      <c r="J1205" s="21">
        <v>-83.772809150547104</v>
      </c>
      <c r="K1205" s="177">
        <f>35738*2.59</f>
        <v>92561.42</v>
      </c>
      <c r="L1205" s="205">
        <v>1999</v>
      </c>
      <c r="M1205" s="205">
        <v>2012</v>
      </c>
      <c r="N1205" s="82" t="s">
        <v>2276</v>
      </c>
      <c r="O1205" s="19" t="s">
        <v>67</v>
      </c>
      <c r="P1205" s="19" t="s">
        <v>5187</v>
      </c>
      <c r="Q1205" s="205"/>
    </row>
    <row r="1206" spans="1:17" ht="33.5" customHeight="1">
      <c r="A1206" s="214">
        <v>306</v>
      </c>
      <c r="B1206" s="40" t="s">
        <v>7714</v>
      </c>
      <c r="C1206" s="19" t="s">
        <v>7836</v>
      </c>
      <c r="D1206" s="205" t="s">
        <v>2398</v>
      </c>
      <c r="E1206" s="205" t="s">
        <v>4847</v>
      </c>
      <c r="F1206" s="55" t="s">
        <v>2276</v>
      </c>
      <c r="G1206" s="19" t="s">
        <v>7820</v>
      </c>
      <c r="H1206" s="19" t="s">
        <v>4112</v>
      </c>
      <c r="I1206" s="21">
        <v>36.948149094892102</v>
      </c>
      <c r="J1206" s="21">
        <v>-81.914653280610096</v>
      </c>
      <c r="K1206" s="177">
        <f>21787*2.59</f>
        <v>56428.329999999994</v>
      </c>
      <c r="L1206" s="205">
        <v>1999</v>
      </c>
      <c r="M1206" s="205">
        <v>2012</v>
      </c>
      <c r="N1206" s="82" t="s">
        <v>2276</v>
      </c>
      <c r="O1206" s="19" t="s">
        <v>67</v>
      </c>
      <c r="P1206" s="19" t="s">
        <v>5187</v>
      </c>
      <c r="Q1206" s="205"/>
    </row>
    <row r="1207" spans="1:17" ht="33.5" customHeight="1">
      <c r="A1207" s="214">
        <v>306</v>
      </c>
      <c r="B1207" s="40" t="s">
        <v>7714</v>
      </c>
      <c r="C1207" s="19" t="s">
        <v>7837</v>
      </c>
      <c r="D1207" s="205" t="s">
        <v>2398</v>
      </c>
      <c r="E1207" s="205" t="s">
        <v>4847</v>
      </c>
      <c r="F1207" s="55" t="s">
        <v>2276</v>
      </c>
      <c r="G1207" s="19" t="s">
        <v>7821</v>
      </c>
      <c r="H1207" s="19" t="s">
        <v>4112</v>
      </c>
      <c r="I1207" s="21">
        <v>34.483602729501897</v>
      </c>
      <c r="J1207" s="21">
        <v>-78.661113330768003</v>
      </c>
      <c r="K1207" s="177">
        <f>43890*2.59</f>
        <v>113675.09999999999</v>
      </c>
      <c r="L1207" s="205">
        <v>1999</v>
      </c>
      <c r="M1207" s="205">
        <v>2012</v>
      </c>
      <c r="N1207" s="82" t="s">
        <v>2276</v>
      </c>
      <c r="O1207" s="19" t="s">
        <v>67</v>
      </c>
      <c r="P1207" s="19" t="s">
        <v>5187</v>
      </c>
      <c r="Q1207" s="205"/>
    </row>
    <row r="1208" spans="1:17" ht="33.5" customHeight="1">
      <c r="A1208" s="214">
        <v>306</v>
      </c>
      <c r="B1208" s="40" t="s">
        <v>7714</v>
      </c>
      <c r="C1208" s="19" t="s">
        <v>7838</v>
      </c>
      <c r="D1208" s="205" t="s">
        <v>2398</v>
      </c>
      <c r="E1208" s="205" t="s">
        <v>4847</v>
      </c>
      <c r="F1208" s="55" t="s">
        <v>2276</v>
      </c>
      <c r="G1208" s="19" t="s">
        <v>7822</v>
      </c>
      <c r="H1208" s="19" t="s">
        <v>4112</v>
      </c>
      <c r="I1208" s="21">
        <v>35.905457239366797</v>
      </c>
      <c r="J1208" s="21">
        <v>-79.856345378835996</v>
      </c>
      <c r="K1208" s="177">
        <f>29647*2.59</f>
        <v>76785.73</v>
      </c>
      <c r="L1208" s="205">
        <v>1999</v>
      </c>
      <c r="M1208" s="205">
        <v>2012</v>
      </c>
      <c r="N1208" s="82" t="s">
        <v>2276</v>
      </c>
      <c r="O1208" s="19" t="s">
        <v>67</v>
      </c>
      <c r="P1208" s="19" t="s">
        <v>5187</v>
      </c>
      <c r="Q1208" s="205"/>
    </row>
    <row r="1209" spans="1:17" ht="33.5" customHeight="1">
      <c r="A1209" s="214">
        <v>306</v>
      </c>
      <c r="B1209" s="40" t="s">
        <v>7714</v>
      </c>
      <c r="C1209" s="19" t="s">
        <v>7742</v>
      </c>
      <c r="D1209" s="205" t="s">
        <v>2398</v>
      </c>
      <c r="E1209" s="205" t="s">
        <v>4847</v>
      </c>
      <c r="F1209" s="55" t="s">
        <v>2276</v>
      </c>
      <c r="G1209" s="19" t="s">
        <v>7823</v>
      </c>
      <c r="H1209" s="19" t="s">
        <v>4112</v>
      </c>
      <c r="I1209" s="21">
        <v>36.309703949427401</v>
      </c>
      <c r="J1209" s="21">
        <v>-77.1232874334695</v>
      </c>
      <c r="K1209" s="177">
        <f>42995*2.59</f>
        <v>111357.04999999999</v>
      </c>
      <c r="L1209" s="205">
        <v>1999</v>
      </c>
      <c r="M1209" s="205">
        <v>2012</v>
      </c>
      <c r="N1209" s="82" t="s">
        <v>2276</v>
      </c>
      <c r="O1209" s="19" t="s">
        <v>67</v>
      </c>
      <c r="P1209" s="19" t="s">
        <v>5187</v>
      </c>
      <c r="Q1209" s="205"/>
    </row>
    <row r="1210" spans="1:17" ht="33.5" customHeight="1">
      <c r="A1210" s="214">
        <v>306</v>
      </c>
      <c r="B1210" s="40" t="s">
        <v>7714</v>
      </c>
      <c r="C1210" s="19" t="s">
        <v>7839</v>
      </c>
      <c r="D1210" s="205" t="s">
        <v>2398</v>
      </c>
      <c r="E1210" s="205" t="s">
        <v>4847</v>
      </c>
      <c r="F1210" s="55" t="s">
        <v>2276</v>
      </c>
      <c r="G1210" s="19" t="s">
        <v>7824</v>
      </c>
      <c r="H1210" s="19" t="s">
        <v>4112</v>
      </c>
      <c r="I1210" s="21">
        <v>38.575051857117401</v>
      </c>
      <c r="J1210" s="21">
        <v>-78.980699691661499</v>
      </c>
      <c r="K1210" s="177">
        <f>42950*2.59</f>
        <v>111240.5</v>
      </c>
      <c r="L1210" s="205">
        <v>1999</v>
      </c>
      <c r="M1210" s="205">
        <v>2012</v>
      </c>
      <c r="N1210" s="82" t="s">
        <v>2276</v>
      </c>
      <c r="O1210" s="19" t="s">
        <v>67</v>
      </c>
      <c r="P1210" s="19" t="s">
        <v>5187</v>
      </c>
      <c r="Q1210" s="205"/>
    </row>
    <row r="1211" spans="1:17" ht="33.5" customHeight="1">
      <c r="A1211" s="214">
        <v>306</v>
      </c>
      <c r="B1211" s="40" t="s">
        <v>7714</v>
      </c>
      <c r="C1211" s="19" t="s">
        <v>7840</v>
      </c>
      <c r="D1211" s="205" t="s">
        <v>2398</v>
      </c>
      <c r="E1211" s="205" t="s">
        <v>4847</v>
      </c>
      <c r="F1211" s="55" t="s">
        <v>2276</v>
      </c>
      <c r="G1211" s="19" t="s">
        <v>7825</v>
      </c>
      <c r="H1211" s="19" t="s">
        <v>4112</v>
      </c>
      <c r="I1211" s="21">
        <v>41.0545528779572</v>
      </c>
      <c r="J1211" s="21">
        <v>-80.493087619978894</v>
      </c>
      <c r="K1211" s="177">
        <f t="shared" ref="K1211" si="16">36039*2.59</f>
        <v>93341.01</v>
      </c>
      <c r="L1211" s="205">
        <v>1999</v>
      </c>
      <c r="M1211" s="205">
        <v>2012</v>
      </c>
      <c r="N1211" s="82" t="s">
        <v>2276</v>
      </c>
      <c r="O1211" s="19" t="s">
        <v>67</v>
      </c>
      <c r="P1211" s="19" t="s">
        <v>5187</v>
      </c>
      <c r="Q1211" s="205"/>
    </row>
    <row r="1212" spans="1:17" ht="33.5" customHeight="1">
      <c r="A1212" s="214">
        <v>306</v>
      </c>
      <c r="B1212" s="40" t="s">
        <v>7714</v>
      </c>
      <c r="C1212" s="19" t="s">
        <v>7841</v>
      </c>
      <c r="D1212" s="205" t="s">
        <v>2398</v>
      </c>
      <c r="E1212" s="205" t="s">
        <v>4847</v>
      </c>
      <c r="F1212" s="55" t="s">
        <v>2276</v>
      </c>
      <c r="G1212" s="19" t="s">
        <v>7826</v>
      </c>
      <c r="H1212" s="19" t="s">
        <v>4112</v>
      </c>
      <c r="I1212" s="21">
        <v>42.829542305141601</v>
      </c>
      <c r="J1212" s="21">
        <v>-77.173195377135798</v>
      </c>
      <c r="K1212" s="177">
        <f>34501*2.59</f>
        <v>89357.59</v>
      </c>
      <c r="L1212" s="205">
        <v>1999</v>
      </c>
      <c r="M1212" s="205">
        <v>2012</v>
      </c>
      <c r="N1212" s="82" t="s">
        <v>2276</v>
      </c>
      <c r="O1212" s="19" t="s">
        <v>67</v>
      </c>
      <c r="P1212" s="19" t="s">
        <v>5187</v>
      </c>
      <c r="Q1212" s="205"/>
    </row>
    <row r="1213" spans="1:17" ht="33.5" customHeight="1">
      <c r="A1213" s="214">
        <v>306</v>
      </c>
      <c r="B1213" s="40" t="s">
        <v>7714</v>
      </c>
      <c r="C1213" s="19" t="s">
        <v>7842</v>
      </c>
      <c r="D1213" s="205" t="s">
        <v>2398</v>
      </c>
      <c r="E1213" s="205" t="s">
        <v>4847</v>
      </c>
      <c r="F1213" s="55" t="s">
        <v>2276</v>
      </c>
      <c r="G1213" s="19" t="s">
        <v>7827</v>
      </c>
      <c r="H1213" s="19" t="s">
        <v>4112</v>
      </c>
      <c r="I1213" s="21">
        <v>44.193558318032501</v>
      </c>
      <c r="J1213" s="21">
        <v>-74.267952012763999</v>
      </c>
      <c r="K1213" s="177">
        <f>31128*2.59</f>
        <v>80621.51999999999</v>
      </c>
      <c r="L1213" s="205">
        <v>1999</v>
      </c>
      <c r="M1213" s="205">
        <v>2012</v>
      </c>
      <c r="N1213" s="82" t="s">
        <v>2276</v>
      </c>
      <c r="O1213" s="19" t="s">
        <v>67</v>
      </c>
      <c r="P1213" s="19" t="s">
        <v>5187</v>
      </c>
      <c r="Q1213" s="205"/>
    </row>
    <row r="1214" spans="1:17" ht="35.5" customHeight="1">
      <c r="A1214" s="214">
        <v>306</v>
      </c>
      <c r="B1214" s="40" t="s">
        <v>7714</v>
      </c>
      <c r="C1214" s="19" t="s">
        <v>7843</v>
      </c>
      <c r="D1214" s="205" t="s">
        <v>2398</v>
      </c>
      <c r="E1214" s="205" t="s">
        <v>4847</v>
      </c>
      <c r="F1214" s="55" t="s">
        <v>2276</v>
      </c>
      <c r="G1214" s="19" t="s">
        <v>7828</v>
      </c>
      <c r="H1214" s="19" t="s">
        <v>4112</v>
      </c>
      <c r="I1214" s="21">
        <v>42.800472916888303</v>
      </c>
      <c r="J1214" s="21">
        <v>-72.131080067870798</v>
      </c>
      <c r="K1214" s="177">
        <f>32173*2.59</f>
        <v>83328.069999999992</v>
      </c>
      <c r="L1214" s="205">
        <v>1999</v>
      </c>
      <c r="M1214" s="205">
        <v>2012</v>
      </c>
      <c r="N1214" s="82" t="s">
        <v>2276</v>
      </c>
      <c r="O1214" s="19" t="s">
        <v>67</v>
      </c>
      <c r="P1214" s="19" t="s">
        <v>5187</v>
      </c>
      <c r="Q1214" s="205"/>
    </row>
    <row r="1215" spans="1:17" ht="33.5" customHeight="1">
      <c r="A1215" s="214">
        <v>306</v>
      </c>
      <c r="B1215" s="40" t="s">
        <v>7714</v>
      </c>
      <c r="C1215" s="19" t="s">
        <v>7844</v>
      </c>
      <c r="D1215" s="205" t="s">
        <v>2398</v>
      </c>
      <c r="E1215" s="205" t="s">
        <v>4847</v>
      </c>
      <c r="F1215" s="55" t="s">
        <v>2276</v>
      </c>
      <c r="G1215" s="19" t="s">
        <v>7829</v>
      </c>
      <c r="H1215" s="19" t="s">
        <v>4112</v>
      </c>
      <c r="I1215" s="21">
        <v>45.238111256543803</v>
      </c>
      <c r="J1215" s="21">
        <v>-69.332592584839105</v>
      </c>
      <c r="K1215" s="177">
        <f>46834*2.59</f>
        <v>121300.06</v>
      </c>
      <c r="L1215" s="205">
        <v>1999</v>
      </c>
      <c r="M1215" s="205">
        <v>2012</v>
      </c>
      <c r="N1215" s="82" t="s">
        <v>2276</v>
      </c>
      <c r="O1215" s="19" t="s">
        <v>67</v>
      </c>
      <c r="P1215" s="19" t="s">
        <v>5187</v>
      </c>
      <c r="Q1215" s="205"/>
    </row>
    <row r="1216" spans="1:17" ht="33.5" customHeight="1">
      <c r="A1216" s="214">
        <v>306</v>
      </c>
      <c r="B1216" s="40" t="s">
        <v>7714</v>
      </c>
      <c r="C1216" s="19" t="s">
        <v>7845</v>
      </c>
      <c r="D1216" s="205" t="s">
        <v>2398</v>
      </c>
      <c r="E1216" s="205" t="s">
        <v>4847</v>
      </c>
      <c r="F1216" s="55" t="s">
        <v>2276</v>
      </c>
      <c r="G1216" s="19" t="s">
        <v>7830</v>
      </c>
      <c r="H1216" s="19" t="s">
        <v>4112</v>
      </c>
      <c r="I1216" s="21">
        <v>30.186731609114901</v>
      </c>
      <c r="J1216" s="21">
        <v>-91.862188789326197</v>
      </c>
      <c r="K1216" s="177">
        <f>20900*2.59</f>
        <v>54131</v>
      </c>
      <c r="L1216" s="205">
        <v>1999</v>
      </c>
      <c r="M1216" s="205">
        <v>2012</v>
      </c>
      <c r="N1216" s="82" t="s">
        <v>2276</v>
      </c>
      <c r="O1216" s="19" t="s">
        <v>67</v>
      </c>
      <c r="P1216" s="19" t="s">
        <v>5187</v>
      </c>
      <c r="Q1216" s="205"/>
    </row>
    <row r="1217" spans="1:17" ht="33.5" customHeight="1">
      <c r="A1217" s="214">
        <v>306</v>
      </c>
      <c r="B1217" s="40" t="s">
        <v>7714</v>
      </c>
      <c r="C1217" s="19" t="s">
        <v>7846</v>
      </c>
      <c r="D1217" s="205" t="s">
        <v>2398</v>
      </c>
      <c r="E1217" s="205" t="s">
        <v>4847</v>
      </c>
      <c r="F1217" s="19" t="s">
        <v>2276</v>
      </c>
      <c r="G1217" s="19" t="s">
        <v>7831</v>
      </c>
      <c r="H1217" s="19" t="s">
        <v>4112</v>
      </c>
      <c r="I1217" s="21">
        <v>31.185659654585798</v>
      </c>
      <c r="J1217" s="21">
        <v>-87.291682387980302</v>
      </c>
      <c r="K1217" s="177">
        <f>41209*2.59</f>
        <v>106731.31</v>
      </c>
      <c r="L1217" s="205">
        <v>1999</v>
      </c>
      <c r="M1217" s="205">
        <v>2012</v>
      </c>
      <c r="N1217" s="82" t="s">
        <v>2276</v>
      </c>
      <c r="O1217" s="19" t="s">
        <v>67</v>
      </c>
      <c r="P1217" s="19" t="s">
        <v>5187</v>
      </c>
      <c r="Q1217" s="205"/>
    </row>
    <row r="1218" spans="1:17" ht="40" customHeight="1">
      <c r="A1218" s="214">
        <v>307</v>
      </c>
      <c r="B1218" s="41" t="s">
        <v>7923</v>
      </c>
      <c r="C1218" s="19" t="s">
        <v>7924</v>
      </c>
      <c r="D1218" s="205" t="s">
        <v>2398</v>
      </c>
      <c r="E1218" s="205" t="s">
        <v>2636</v>
      </c>
      <c r="F1218" s="19" t="s">
        <v>2276</v>
      </c>
      <c r="G1218" s="205" t="s">
        <v>7925</v>
      </c>
      <c r="H1218" s="205" t="s">
        <v>6411</v>
      </c>
      <c r="I1218" s="21">
        <v>63.071013000000001</v>
      </c>
      <c r="J1218" s="21">
        <v>17.071424100000002</v>
      </c>
      <c r="K1218" s="21">
        <v>21683.8</v>
      </c>
      <c r="L1218" s="205">
        <v>1993</v>
      </c>
      <c r="M1218" s="205">
        <v>2006</v>
      </c>
      <c r="N1218" s="82" t="s">
        <v>2276</v>
      </c>
      <c r="O1218" s="19" t="s">
        <v>67</v>
      </c>
      <c r="P1218" s="19" t="s">
        <v>5187</v>
      </c>
      <c r="Q1218" s="205"/>
    </row>
    <row r="1219" spans="1:17" ht="36.5" customHeight="1">
      <c r="A1219" s="214">
        <v>307</v>
      </c>
      <c r="B1219" s="41" t="s">
        <v>7923</v>
      </c>
      <c r="C1219" s="19" t="s">
        <v>7927</v>
      </c>
      <c r="D1219" s="205" t="s">
        <v>2398</v>
      </c>
      <c r="E1219" s="205" t="s">
        <v>2399</v>
      </c>
      <c r="F1219" s="4" t="s">
        <v>7926</v>
      </c>
      <c r="G1219" s="205" t="s">
        <v>7925</v>
      </c>
      <c r="H1219" s="205" t="s">
        <v>6411</v>
      </c>
      <c r="I1219" s="21">
        <v>62.437196900000004</v>
      </c>
      <c r="J1219" s="21">
        <v>15.9621072</v>
      </c>
      <c r="K1219" s="21" t="s">
        <v>2276</v>
      </c>
      <c r="L1219" s="205">
        <v>2002</v>
      </c>
      <c r="M1219" s="205">
        <v>2006</v>
      </c>
      <c r="N1219" s="82" t="s">
        <v>2276</v>
      </c>
      <c r="O1219" s="19" t="s">
        <v>67</v>
      </c>
      <c r="P1219" s="19" t="s">
        <v>5187</v>
      </c>
      <c r="Q1219" s="205"/>
    </row>
  </sheetData>
  <autoFilter ref="A1:A1219" xr:uid="{F5111C01-59AE-4FFF-A3F5-858DED950471}"/>
  <phoneticPr fontId="6" type="noConversion"/>
  <dataValidations xWindow="824" yWindow="484" count="12">
    <dataValidation allowBlank="1" showInputMessage="1" showErrorMessage="1" prompt="Study ID + letter denoting case study: 1a, 1b, 1c etc." sqref="C1:C2 C4:C543 B625 C55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F1016:F1029 F1031:F1033 F1035:F1056 G988:G996 G932 F925:F934 G936:G942 G945:G950 F943:F999 F1058 F1063:F1064 F1066:F1068 F1070:F1109 G1218:G1219 F1220: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G1028:G1030 G1033:G1034 G1038:G1054 G1056 G920:G931 F935:F942 G933:G935 G943:G944 G967:H968 G951:G966 G1058:G1062 F1110:F1218 G1064:G1217 G1220:G1048576"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0 K1147 I1019:I1146 I1150:J1150 J1151:J1180 I1181:I1048576"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59 J1061:J1146 J1151: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57:G1057 K1029 K997:K1027 F1000 I1000:J1000 G1022:G1024 F1030 G1031:G1032 G1035:G1037 G1055 F1034 N925:N963 F1060:F1061 G1063 F1065 N988:N1048576 K1046:K1048"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xr:uid="{4DF351CC-3880-43BA-B715-71F2F423F0BC}"/>
    <dataValidation type="whole" allowBlank="1" showInputMessage="1" showErrorMessage="1" sqref="M641 L679:L690 M724:M726 L694:L717 L642:M675 M679:M717 L718:M723 L730:M730 L732:M772 L776 M773:M821 L778:L821 L1:M640 L822:M1048576" xr:uid="{D110D921-D533-4146-96C4-8574C50CFBF8}">
      <formula1>1900</formula1>
      <formula2>2020</formula2>
    </dataValidation>
    <dataValidation type="textLength" allowBlank="1" showInputMessage="1" showErrorMessage="1" sqref="P1:P926 Q1031:Q1057 R1147 P1058:P1048576" xr:uid="{ECAEF184-909D-4F5A-B29A-54FD169B1262}">
      <formula1>2</formula1>
      <formula2>5</formula2>
    </dataValidation>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display="Eloy 2019"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xr:uid="{523E1AD6-6A17-408D-A6C5-18BC760B4C96}"/>
    <hyperlink ref="B1020" r:id="rId674" xr:uid="{E928B54B-47EA-4172-93E6-D93147C024ED}"/>
    <hyperlink ref="B1022" r:id="rId675" xr:uid="{96EFE360-A400-4195-8949-55AE947737EF}"/>
    <hyperlink ref="B1016" r:id="rId676" xr:uid="{4BDADDAF-68A2-4386-810E-416EAB7DA492}"/>
    <hyperlink ref="B1018" r:id="rId677" xr:uid="{0E440199-7663-4A35-97FF-28D5EE130DBE}"/>
    <hyperlink ref="B1025" r:id="rId678" xr:uid="{99972C50-5B07-4F04-852D-C799622BDC9A}"/>
    <hyperlink ref="B1023" r:id="rId679" xr:uid="{FD5CF384-DFA3-4B5C-9E17-4B76CAA0F2F1}"/>
    <hyperlink ref="B1024" r:id="rId680" xr:uid="{F411DB31-F811-44F6-BAF8-ECEBA54D8F46}"/>
    <hyperlink ref="B1028" r:id="rId681" xr:uid="{3C1A259C-D007-41E4-9B60-D223E94D16E8}"/>
    <hyperlink ref="B1029" r:id="rId682" xr:uid="{62A9F433-22C0-4677-9E7E-C153134F4445}"/>
    <hyperlink ref="B1030" r:id="rId683" xr:uid="{64E3E683-00E3-4510-A87F-DF71A670C706}"/>
    <hyperlink ref="B1015" r:id="rId684" xr:uid="{32187420-5F38-46A4-A732-E8F4C5B96E38}"/>
    <hyperlink ref="B1017" r:id="rId685" xr:uid="{424F6BCB-2D9B-44D6-9498-3BFB7BDAAFC7}"/>
    <hyperlink ref="B1019" r:id="rId686" xr:uid="{DB4D4DD2-3E94-4C0B-A356-8FA84666BB36}"/>
    <hyperlink ref="B1021" r:id="rId687" xr:uid="{79BFCC69-13BB-4C63-8EAA-11E3ABD04E69}"/>
    <hyperlink ref="B1026" r:id="rId688" xr:uid="{521FD027-466D-4835-B9D7-6B48D948BDAF}"/>
    <hyperlink ref="B1027" r:id="rId689" xr:uid="{11FB6999-5844-4ABD-9D62-E93BE4AA078D}"/>
    <hyperlink ref="B1032" r:id="rId690" xr:uid="{00000000-0004-0000-0000-000000000000}"/>
    <hyperlink ref="B1033" r:id="rId691" xr:uid="{00000000-0004-0000-0000-000001000000}"/>
    <hyperlink ref="B1034" r:id="rId692" xr:uid="{00000000-0004-0000-0000-000002000000}"/>
    <hyperlink ref="B1031" r:id="rId693" xr:uid="{00000000-0004-0000-0000-000003000000}"/>
    <hyperlink ref="B1035" r:id="rId694" xr:uid="{00000000-0004-0000-0000-000004000000}"/>
    <hyperlink ref="B1039" r:id="rId695" xr:uid="{00000000-0004-0000-0000-000005000000}"/>
    <hyperlink ref="B1038" r:id="rId696" xr:uid="{00000000-0004-0000-0000-000006000000}"/>
    <hyperlink ref="B1041" r:id="rId697" xr:uid="{00000000-0004-0000-0000-000007000000}"/>
    <hyperlink ref="B1040" r:id="rId698" xr:uid="{00000000-0004-0000-0000-000008000000}"/>
    <hyperlink ref="B1036" r:id="rId699" xr:uid="{00000000-0004-0000-0000-000009000000}"/>
    <hyperlink ref="B1037" r:id="rId700" xr:uid="{00000000-0004-0000-0000-00000A000000}"/>
    <hyperlink ref="B1042" r:id="rId701" xr:uid="{00000000-0004-0000-0000-00000B000000}"/>
    <hyperlink ref="B1043" r:id="rId702" xr:uid="{00000000-0004-0000-0000-00000C000000}"/>
    <hyperlink ref="B1044" r:id="rId703" xr:uid="{00000000-0004-0000-0000-00000D000000}"/>
    <hyperlink ref="B1045" r:id="rId704" xr:uid="{00000000-0004-0000-0000-00000E000000}"/>
    <hyperlink ref="B1046" r:id="rId705" xr:uid="{00000000-0004-0000-0000-00000F000000}"/>
    <hyperlink ref="B1047" r:id="rId706" xr:uid="{00000000-0004-0000-0000-000010000000}"/>
    <hyperlink ref="B1048" r:id="rId707" xr:uid="{00000000-0004-0000-0000-000011000000}"/>
    <hyperlink ref="B1049" r:id="rId708" xr:uid="{00000000-0004-0000-0000-000012000000}"/>
    <hyperlink ref="B1050" r:id="rId709" xr:uid="{00000000-0004-0000-0000-000013000000}"/>
    <hyperlink ref="B1051" r:id="rId710" xr:uid="{00000000-0004-0000-0000-000014000000}"/>
    <hyperlink ref="B1052" r:id="rId711" xr:uid="{00000000-0004-0000-0000-000015000000}"/>
    <hyperlink ref="B1053" r:id="rId712" xr:uid="{00000000-0004-0000-0000-000016000000}"/>
    <hyperlink ref="B1054" r:id="rId713" xr:uid="{00000000-0004-0000-0000-000017000000}"/>
    <hyperlink ref="B1056" r:id="rId714" xr:uid="{00000000-0004-0000-0000-000018000000}"/>
    <hyperlink ref="B1057" r:id="rId715" xr:uid="{00000000-0004-0000-0000-000019000000}"/>
    <hyperlink ref="B929:B931" r:id="rId716" display="Keeley_2019" xr:uid="{81ED58AD-FD3E-4B52-A27B-85F88FE9553C}"/>
    <hyperlink ref="B949" r:id="rId717" xr:uid="{BA82E17F-089E-48B9-B96D-DF34EA779AE9}"/>
    <hyperlink ref="B950" r:id="rId718" xr:uid="{7C1533D9-7ADF-4653-917A-71F69CB7FC4D}"/>
    <hyperlink ref="B963" r:id="rId719" xr:uid="{FA5EF9B7-9B58-45C6-8C35-5CBC2535B2FD}"/>
    <hyperlink ref="B964" r:id="rId720" xr:uid="{7BF04FCC-FF46-47D6-A0F1-234B8C280515}"/>
    <hyperlink ref="B965" r:id="rId721" xr:uid="{20A87290-98AB-4C74-939F-0768EF0A4D41}"/>
    <hyperlink ref="B966" r:id="rId722" xr:uid="{EB8145EA-E546-43CF-AB78-FBFED8C9CBF4}"/>
    <hyperlink ref="B967" r:id="rId723" xr:uid="{ADDB4E1A-9732-48F9-B70C-378CD8E1D030}"/>
    <hyperlink ref="B968" r:id="rId724" xr:uid="{6FFD06A1-B275-4CAB-835C-5CCA1B40AF61}"/>
    <hyperlink ref="B969" r:id="rId725" xr:uid="{3CFFD5F7-7F0D-4746-BF81-937E3C97DC83}"/>
    <hyperlink ref="B970" r:id="rId726" xr:uid="{1712035B-AE61-4F8C-8A72-20EA9FE17729}"/>
    <hyperlink ref="B971" r:id="rId727" xr:uid="{4337F75C-D3D6-499B-81CA-8956F2298944}"/>
    <hyperlink ref="B972" r:id="rId728" xr:uid="{135F4444-C660-4F6B-A116-90DCDFDB30A6}"/>
    <hyperlink ref="B973" r:id="rId729" xr:uid="{9A9188ED-C325-43DF-AD74-CE340521A2CD}"/>
    <hyperlink ref="B974" r:id="rId730" xr:uid="{D4083F64-0CDE-46A1-8653-D8FBA5FC3F4B}"/>
    <hyperlink ref="B975" r:id="rId731" xr:uid="{09061A84-B898-4F33-BEC0-CF2754081C9F}"/>
    <hyperlink ref="B976" r:id="rId732" xr:uid="{DC501266-7CB6-4BDE-86A4-A24F30C77F0E}"/>
    <hyperlink ref="B977" r:id="rId733" xr:uid="{DF5CDCFF-6F04-4A17-A409-DDD58F780F45}"/>
    <hyperlink ref="B978" r:id="rId734" xr:uid="{7742C59A-EC39-41F6-94E8-72B1A7981ECF}"/>
    <hyperlink ref="B979" r:id="rId735" xr:uid="{6B49CFE1-8B5E-4CDE-A6FF-D7254318BD8A}"/>
    <hyperlink ref="B980" r:id="rId736" xr:uid="{C36618B7-BA45-4CD9-9EEE-20D7827E218F}"/>
    <hyperlink ref="B981" r:id="rId737" xr:uid="{C7D29AAF-18E5-4886-9CB4-CE30A9AEFAA3}"/>
    <hyperlink ref="B982" r:id="rId738" xr:uid="{552EAC18-CB87-4FF8-AC9E-63A170F151EE}"/>
    <hyperlink ref="B983" r:id="rId739" xr:uid="{142DA3FB-F774-42F7-AD68-1BF60384EE62}"/>
    <hyperlink ref="B984" r:id="rId740" xr:uid="{D5D2D6D8-5661-42E3-A0CE-E62442D69A5C}"/>
    <hyperlink ref="B985" r:id="rId741" xr:uid="{EC1B4FB6-7767-4ED6-994B-1CAB2E8D1569}"/>
    <hyperlink ref="B986" r:id="rId742" xr:uid="{40B0B93E-ADA5-4A1B-B7C2-C84267492AE7}"/>
    <hyperlink ref="B987" r:id="rId743" xr:uid="{E3A56EC0-81C5-44D0-B1E7-081949676084}"/>
    <hyperlink ref="B990" r:id="rId744" xr:uid="{915C7590-04EF-48E5-A8DA-51E603673036}"/>
    <hyperlink ref="B991" r:id="rId745" xr:uid="{EEDBEA5E-1927-4F9B-A902-643CE0FF93A9}"/>
    <hyperlink ref="B992" r:id="rId746" xr:uid="{C87502E8-F7A4-46BE-87DA-CB66A6138040}"/>
    <hyperlink ref="B993" r:id="rId747" xr:uid="{D88B0863-0F50-41B4-A304-E3EB4A02CE1A}"/>
    <hyperlink ref="B994" r:id="rId748" xr:uid="{F4087F16-F4DE-44B5-84FE-4BF4835764BA}"/>
    <hyperlink ref="B995" r:id="rId749" xr:uid="{716BEBAB-4D6A-4C5F-A972-556C3FBF5CB9}"/>
    <hyperlink ref="B996" r:id="rId750" xr:uid="{7DB8AB72-47B7-4D0E-B240-3BFCC00F31A3}"/>
    <hyperlink ref="B1058" r:id="rId751" xr:uid="{8BDF4851-3602-47F8-87C1-25CAF9F0D7A1}"/>
    <hyperlink ref="B1059" r:id="rId752" xr:uid="{54D29287-68CE-4EDD-8796-D4C995FD2EC3}"/>
    <hyperlink ref="B1060" r:id="rId753" xr:uid="{A005D498-FC36-44E2-A600-BCB25B8F9A7D}"/>
    <hyperlink ref="B1061" r:id="rId754" xr:uid="{73A534A6-82C5-4868-BEEC-67FF81E1EB22}"/>
    <hyperlink ref="B1062" r:id="rId755" xr:uid="{2D7388DF-B1A3-4429-A4EB-0B1AC5DE61F8}"/>
    <hyperlink ref="B1063" r:id="rId756" xr:uid="{B2E216B7-B094-4487-8B08-DE3AEA9356B7}"/>
    <hyperlink ref="B1064" r:id="rId757" xr:uid="{6D97F6A6-A6E1-415C-9832-27ACF14D5516}"/>
    <hyperlink ref="B1065" r:id="rId758" xr:uid="{C6B5C89A-5DD0-4EE6-AA0E-ACDA03EBA537}"/>
    <hyperlink ref="B1066" r:id="rId759" xr:uid="{A382DE3B-7C2C-44B8-B632-208B409F9728}"/>
    <hyperlink ref="B1067:B1068" r:id="rId760" display="Eloy 2016" xr:uid="{DEAE1BFA-3836-4594-A8BC-9E30108CA5D8}"/>
    <hyperlink ref="B1069" r:id="rId761" xr:uid="{2B2A5E1F-3AC6-463B-B7C0-A75C677B87F4}"/>
    <hyperlink ref="B1070" r:id="rId762" display="Caballero 2011" xr:uid="{67C81722-29A9-47BD-BDB2-E1C1DF573BA8}"/>
    <hyperlink ref="B1071" r:id="rId763" display="Caballero 2011" xr:uid="{65257CF8-ED26-4ABC-879E-91320851D14A}"/>
    <hyperlink ref="B1072" r:id="rId764" display="Caballero 2011" xr:uid="{5869C518-8975-4001-B295-9EC81DA818BA}"/>
    <hyperlink ref="B1073" r:id="rId765" display="Caballero 2011" xr:uid="{D6EB9ACA-D2A6-49C4-94F2-1FA2DD178805}"/>
    <hyperlink ref="B1074" r:id="rId766" display="Caballero 2011" xr:uid="{1719CCB1-23EB-42AF-95ED-56D47A517B9C}"/>
    <hyperlink ref="B1075" r:id="rId767" display="Caballero 2011" xr:uid="{23C53465-2C8E-4910-9FDF-FB3D1FB10CED}"/>
    <hyperlink ref="B1076" r:id="rId768" display="Caballero 2011" xr:uid="{A171E4B0-7D5C-47DF-B785-1E2FA042CD75}"/>
    <hyperlink ref="B1077" r:id="rId769" display="Caballero 2011" xr:uid="{B1D14D32-8C7C-4DB6-8C9F-FF45E4262E6B}"/>
    <hyperlink ref="B1078" r:id="rId770" display="Caballero 2011" xr:uid="{4BA0EDBE-EE87-4C25-A67C-FDCE20CE450D}"/>
    <hyperlink ref="B1079" r:id="rId771" display="Caballero 2011" xr:uid="{6A81E1DF-9D5B-4224-979D-C861FBC90703}"/>
    <hyperlink ref="B1080" r:id="rId772" display="Caballero 2011" xr:uid="{F42BD37D-81D0-4C09-B127-4A6E6B166EE6}"/>
    <hyperlink ref="B1081" r:id="rId773" display="Caballero 2011" xr:uid="{06B5A5FE-773B-48E6-B59F-4358708B6FEB}"/>
    <hyperlink ref="B1082" r:id="rId774" display="Caballero 2011" xr:uid="{ACF1F2D1-4EF6-419F-83C3-62A4316EE884}"/>
    <hyperlink ref="B1083" r:id="rId775" display="Caballero 2011" xr:uid="{7E9173B5-4827-4656-A5D4-0734AD21E383}"/>
    <hyperlink ref="B1084" r:id="rId776" display="Caballero 2011" xr:uid="{0EFD930F-7812-4E84-8A4B-1D9D10514871}"/>
    <hyperlink ref="B1085" r:id="rId777" display="Caballero 2011" xr:uid="{A3C9DFDF-6527-4C00-A0C3-9194CF3220CA}"/>
    <hyperlink ref="B1086" r:id="rId778" display="Caballero 2011" xr:uid="{F8361370-1E58-4DBC-8D39-8C5586164712}"/>
    <hyperlink ref="B1087" r:id="rId779" display="Caballero 2011" xr:uid="{B0CAA4C7-D62C-48D9-8543-7093AD21EAB6}"/>
    <hyperlink ref="B1088" r:id="rId780" display="Caballero 2011" xr:uid="{20322080-8CED-4075-B877-11805A118EE9}"/>
    <hyperlink ref="B1089" r:id="rId781" display="Caballero 2011" xr:uid="{B457985A-4194-4783-A12E-89763C4B18D1}"/>
    <hyperlink ref="B1090" r:id="rId782" display="Caballero 2011" xr:uid="{8F356603-D36C-4359-8F10-E2ED0D65DB8E}"/>
    <hyperlink ref="B1091" r:id="rId783" display="Caballero 2011" xr:uid="{009BB63F-44EB-4B71-BB59-DE8E0F0353FC}"/>
    <hyperlink ref="B1092" r:id="rId784" display="Caballero 2011" xr:uid="{6EC78847-34C2-4342-BFAB-AAC0F48DDD33}"/>
    <hyperlink ref="B1093" r:id="rId785" display="Caballero 2011" xr:uid="{8EE1622E-A1B4-4240-8C5B-C4E51FF0FB88}"/>
    <hyperlink ref="B1094" r:id="rId786" display="Caballero 2011" xr:uid="{AC23B910-B440-492A-AA92-0564466585C1}"/>
    <hyperlink ref="B1095" r:id="rId787" display="Caballero 2011" xr:uid="{44779127-4972-4930-B14B-89A6556D1D0E}"/>
    <hyperlink ref="B1096" r:id="rId788" display="Caballero 2011" xr:uid="{FBF1B8FC-1040-48CF-833E-C0FC82383948}"/>
    <hyperlink ref="B1097" r:id="rId789" display="Caballero 2011" xr:uid="{C83F2271-2781-492F-B11F-3294DD7B6BE9}"/>
    <hyperlink ref="B1098" r:id="rId790" display="Caballero 2011" xr:uid="{F078E13C-845B-42D6-A301-728E2E15C072}"/>
    <hyperlink ref="B1099" r:id="rId791" display="Caballero 2011" xr:uid="{DFF645CD-AA06-4297-8883-02EEBA677842}"/>
    <hyperlink ref="B1100" r:id="rId792" display="Caballero 2011" xr:uid="{41FAF507-7339-48A4-B7B0-9AAA65BD88B9}"/>
    <hyperlink ref="B1101" r:id="rId793" display="Caballero 2011" xr:uid="{08935987-1D2D-4AC3-A30C-FA07527C09E2}"/>
    <hyperlink ref="B1102" r:id="rId794" display="Caballero 2011" xr:uid="{A7629FBA-3768-4A10-BC3C-CB38220961AC}"/>
    <hyperlink ref="B1103" r:id="rId795" display="Caballero 2011" xr:uid="{B76A0B77-DD9E-496B-9E70-8595B3844953}"/>
    <hyperlink ref="B1104" r:id="rId796" display="Caballero 2011" xr:uid="{A47AA487-DFED-4457-B7E0-950363C7CB83}"/>
    <hyperlink ref="B1105" r:id="rId797" display="Caballero 2011" xr:uid="{C885F99B-E56D-47E1-B455-D2D348ED49C8}"/>
    <hyperlink ref="B1106" r:id="rId798" display="Caballero 2011" xr:uid="{52768419-8764-4695-BEE5-8DC06938FF22}"/>
    <hyperlink ref="B1107" r:id="rId799" display="Caballero 2011" xr:uid="{9ED83EC3-668E-4EE8-AB78-0B9BBD20E3C3}"/>
    <hyperlink ref="B1108" r:id="rId800" display="Caballero 2011" xr:uid="{B83BE2C8-063D-47C8-A4FE-FFB57A51707D}"/>
    <hyperlink ref="B1109" r:id="rId801" display="Caballero 2011" xr:uid="{D26A4995-7255-42EF-927B-89F71FC7D6B4}"/>
    <hyperlink ref="B1110:B1115" r:id="rId802" display="Fernandes 2013" xr:uid="{068F9213-E42B-4314-8BAC-9BE349903CB6}"/>
    <hyperlink ref="B1115" r:id="rId803" xr:uid="{A6561085-2B77-41A2-9BA3-5980211B3A06}"/>
    <hyperlink ref="B1116" r:id="rId804" xr:uid="{D68EB1E8-B318-450D-946C-20CF82FD7E88}"/>
    <hyperlink ref="B1117" r:id="rId805" xr:uid="{3C3854B1-66F2-4837-956D-CD5899651CC6}"/>
    <hyperlink ref="B1118" r:id="rId806" xr:uid="{4F830B22-950E-4FBE-911E-6CE91415C448}"/>
    <hyperlink ref="B1119" r:id="rId807" xr:uid="{935E60CB-07D0-4C6A-88A3-9FC4B0E60B78}"/>
    <hyperlink ref="B1120" r:id="rId808" xr:uid="{E66B9DF1-1B0A-408C-ACBD-1C8AB1645174}"/>
    <hyperlink ref="B1121" r:id="rId809" xr:uid="{65C6F086-8E01-40EF-AAD1-12C04615E942}"/>
    <hyperlink ref="B1122" r:id="rId810" xr:uid="{8F264958-AB4A-4DB4-B76D-46C69FE6D6D6}"/>
    <hyperlink ref="B1123" r:id="rId811" xr:uid="{D7388C74-D9EE-42A8-AFC4-A8864E1A213D}"/>
    <hyperlink ref="B1124" r:id="rId812" xr:uid="{F031C9E8-3C11-4C21-9F93-FE34EB1C6E17}"/>
    <hyperlink ref="B1125" r:id="rId813" xr:uid="{B3D85429-5D24-44B4-8C6C-709A37334265}"/>
    <hyperlink ref="B1126" r:id="rId814" xr:uid="{ABE6083D-8F59-4FA6-9FC4-AAB003E27CA0}"/>
    <hyperlink ref="B1127" r:id="rId815" xr:uid="{7449F71C-A4D3-4D23-A31E-759710EE2D1D}"/>
    <hyperlink ref="B1128" r:id="rId816" xr:uid="{8369C27B-A500-40FD-BDC7-5B6F7AC75051}"/>
    <hyperlink ref="B1129" r:id="rId817" xr:uid="{D7F6A2F6-7A22-4B43-A52C-5412959B9CBC}"/>
    <hyperlink ref="B1130" r:id="rId818" xr:uid="{1F5CA278-1568-4CF9-AC42-1B9F9BC7894F}"/>
    <hyperlink ref="B1131" r:id="rId819" xr:uid="{C6A09899-BF2D-4900-8DA3-020EE6C5F895}"/>
    <hyperlink ref="B1132" r:id="rId820" xr:uid="{52930C38-321B-47ED-B67B-540F4A436D1F}"/>
    <hyperlink ref="B1133" r:id="rId821" xr:uid="{1AA74B36-C424-4BB5-B4A9-7AC3C36ED513}"/>
    <hyperlink ref="B1134" r:id="rId822" xr:uid="{173EDFA1-FA09-4646-AF09-1A2BC45A6C92}"/>
    <hyperlink ref="B1135" r:id="rId823" xr:uid="{F6AFB9E0-2DBC-46C8-848C-27C98D66329C}"/>
    <hyperlink ref="B1136" r:id="rId824" xr:uid="{1A991198-6473-431B-9EEC-3DFA4FD2FEC7}"/>
    <hyperlink ref="B1137" r:id="rId825" xr:uid="{FC31AA0A-EF59-4EF0-801C-BBC1C8510BE5}"/>
    <hyperlink ref="B1138" r:id="rId826" xr:uid="{7E0A0202-D189-4C9F-8D45-D519AAECB085}"/>
    <hyperlink ref="B1139" r:id="rId827" xr:uid="{E40D6504-7CFD-48CC-845C-E8B0A47C658A}"/>
    <hyperlink ref="B1140" r:id="rId828" xr:uid="{C8680297-CDDD-460F-A57B-DBD08D55E000}"/>
    <hyperlink ref="B1141" r:id="rId829" xr:uid="{D9C4E4E6-D283-41BD-8FD5-04A5DE4319F1}"/>
    <hyperlink ref="B1142" r:id="rId830" xr:uid="{9B59A8AA-FFDC-49B5-8FC8-09ADF4645123}"/>
    <hyperlink ref="B1143" r:id="rId831" xr:uid="{D39AB126-C37C-4321-A69D-DA83C5D735F5}"/>
    <hyperlink ref="B1144" r:id="rId832" xr:uid="{2E19B4CB-FE35-4A03-BE94-455A4EE23E0B}"/>
    <hyperlink ref="B1145" r:id="rId833" xr:uid="{EB323D39-6E50-4ABE-A484-E4523C6E477E}"/>
    <hyperlink ref="B1146" r:id="rId834" xr:uid="{F36DACFD-305A-40C4-827C-8D07F190265E}"/>
    <hyperlink ref="B1147" r:id="rId835" xr:uid="{D636E45F-1E54-47E8-AD40-3709EA35EBCA}"/>
    <hyperlink ref="B1148" r:id="rId836" xr:uid="{28B4A57D-44D3-40BA-8821-5497CDCE17A0}"/>
    <hyperlink ref="B1149" r:id="rId837" xr:uid="{31625ED8-71CF-4244-8C6C-2B89AA1D883F}"/>
    <hyperlink ref="B1150" r:id="rId838" xr:uid="{D38E64E5-E741-40CB-BBD1-BDC81EC825A5}"/>
    <hyperlink ref="B1151" r:id="rId839" xr:uid="{143926AE-3073-4EB7-BB07-BEC503B6C860}"/>
    <hyperlink ref="B1152" r:id="rId840" xr:uid="{6E21F601-2ED1-44AC-9554-4212567C57DE}"/>
    <hyperlink ref="B1153" r:id="rId841" xr:uid="{1FD67231-5E2D-455E-A3CD-D8EF29778411}"/>
    <hyperlink ref="B1154" r:id="rId842" xr:uid="{09EE47BF-38F0-4CC0-8C97-15C038CFB3AB}"/>
    <hyperlink ref="B1155" r:id="rId843" xr:uid="{02F71FDC-EC30-41B9-B985-594754911FE3}"/>
    <hyperlink ref="B1156" r:id="rId844" xr:uid="{A9A2AB75-E629-4130-84F5-422246DBD85A}"/>
    <hyperlink ref="B1157" r:id="rId845" xr:uid="{AD567F1E-88CF-4370-847B-E6508B32DBFF}"/>
    <hyperlink ref="B1158" r:id="rId846" xr:uid="{8A8F4214-F552-4480-B9F8-65E80D263BB3}"/>
    <hyperlink ref="B1159" r:id="rId847" xr:uid="{4DE71112-8350-4232-8023-A604DB4DA960}"/>
    <hyperlink ref="B1160" r:id="rId848" xr:uid="{1B4BB719-7A9B-408F-960E-18A767D6985D}"/>
    <hyperlink ref="B1161" r:id="rId849" xr:uid="{079E09D6-B5DA-4BD6-802D-AD88550E4E53}"/>
    <hyperlink ref="B1162" r:id="rId850" xr:uid="{ABD8D34A-C86D-4F43-A414-AC090A7689B5}"/>
    <hyperlink ref="B1163" r:id="rId851" xr:uid="{6E0CFCB8-545B-4EC1-90FD-FAA4F06AC6D9}"/>
    <hyperlink ref="B1164" r:id="rId852" xr:uid="{7E20BA0B-5AD4-4808-BE52-F754BCA72054}"/>
    <hyperlink ref="B1165" r:id="rId853" xr:uid="{AF68B5AB-9B5E-4A06-93F0-B5C7EBB338D4}"/>
    <hyperlink ref="B1166" r:id="rId854" xr:uid="{41DADDE5-D696-48AA-B0E5-C37273B1CFDC}"/>
    <hyperlink ref="B1167" r:id="rId855" xr:uid="{4DE0A9E1-0455-4375-B82C-4C568D8877D1}"/>
    <hyperlink ref="B1168" r:id="rId856" xr:uid="{F0381485-EF40-4EDD-BE96-5992F84E2B67}"/>
    <hyperlink ref="B1169" r:id="rId857" xr:uid="{905088C7-AFF7-43DD-B2C4-7E0FE91F819E}"/>
    <hyperlink ref="B1170" r:id="rId858" xr:uid="{AE7BB22F-E86F-46B9-A106-F6D0AB00625F}"/>
    <hyperlink ref="B1171" r:id="rId859" xr:uid="{977965D0-51A3-40F3-BC45-42A51F601920}"/>
    <hyperlink ref="B1172" r:id="rId860" xr:uid="{EA3EF0EA-91F3-4952-A134-073B7F3BE564}"/>
    <hyperlink ref="B1173" r:id="rId861" xr:uid="{A18B959C-2DC9-41C0-A3E9-8D36A1230862}"/>
    <hyperlink ref="B1174" r:id="rId862" xr:uid="{ED661D59-E35C-4566-9C32-034D6221D23D}"/>
    <hyperlink ref="B1175" r:id="rId863" xr:uid="{B748F9EF-2118-480D-82E9-B38C1DA21FD0}"/>
    <hyperlink ref="B1176" r:id="rId864" xr:uid="{4DCA195D-A0BB-4566-B222-73DE6BD903E9}"/>
    <hyperlink ref="B1177" r:id="rId865" xr:uid="{26C4561C-5C01-4BAE-9A4A-7EDC1301F069}"/>
    <hyperlink ref="B1178" r:id="rId866" xr:uid="{8E35946B-4535-4FBA-820B-C2A210615730}"/>
    <hyperlink ref="B1179" r:id="rId867" xr:uid="{CE14BE76-BD4C-47F2-B2A7-5495208D865D}"/>
    <hyperlink ref="B1180" r:id="rId868" xr:uid="{40F679C1-C964-4627-855C-379EA1A58CE3}"/>
    <hyperlink ref="B1181" r:id="rId869" xr:uid="{CB525611-1E74-4F24-97B4-DDD0080DAE6D}"/>
    <hyperlink ref="B1182" r:id="rId870" xr:uid="{7270CD36-CEE0-4487-8F44-4D6CCBFF120A}"/>
    <hyperlink ref="B1183" r:id="rId871" xr:uid="{1A10DE54-FB42-456F-9A27-00DEEDC696BE}"/>
    <hyperlink ref="B1184" r:id="rId872" xr:uid="{9A1B59A6-BDD1-483C-AC93-7066FE228481}"/>
    <hyperlink ref="B1185" r:id="rId873" xr:uid="{3A18A231-E7B5-475A-9BA4-B7C105790FA5}"/>
    <hyperlink ref="B1186" r:id="rId874" xr:uid="{6BC817DF-8760-4D69-8FE4-3F472D5F98B0}"/>
    <hyperlink ref="B1187" r:id="rId875" xr:uid="{16AA27C2-AF38-43E8-A28A-92F27551762A}"/>
    <hyperlink ref="B1188" r:id="rId876" xr:uid="{9BE13563-AEFA-49D7-8063-9015CACFE74A}"/>
    <hyperlink ref="B1189" r:id="rId877" xr:uid="{2CB3C9A0-06E8-4A99-9C89-BB2E9D99F400}"/>
    <hyperlink ref="B1190" r:id="rId878" xr:uid="{10EC0779-10A4-4188-AD01-ABBCFCF5C5A8}"/>
    <hyperlink ref="B1191" r:id="rId879" xr:uid="{26383AA3-0255-45C0-BC99-A374A256C788}"/>
    <hyperlink ref="B1192" r:id="rId880" xr:uid="{42BD0865-8BE8-4398-97FD-D64B339C0E83}"/>
    <hyperlink ref="B1193" r:id="rId881" xr:uid="{4C778C08-362E-42F3-A8F0-F4E52FCD09FC}"/>
    <hyperlink ref="B1194" r:id="rId882" xr:uid="{828B5A9D-7D77-49B2-9E4D-D00ACE56BD49}"/>
    <hyperlink ref="B1195" r:id="rId883" xr:uid="{0B9C3C43-304F-42E4-81FD-29E7F1C70C27}"/>
    <hyperlink ref="B1196" r:id="rId884" xr:uid="{C2D40117-9739-4537-A0D7-973D5B0736BC}"/>
    <hyperlink ref="B1197" r:id="rId885" xr:uid="{0C96B139-F5EB-4425-B7E8-1F65614801DA}"/>
    <hyperlink ref="B1198" r:id="rId886" xr:uid="{74C5A921-C319-401C-9B0D-19E9C40985CC}"/>
    <hyperlink ref="B1199" r:id="rId887" xr:uid="{78C63E9A-CEB4-4D0C-BBAE-2E764A776933}"/>
    <hyperlink ref="B1200" r:id="rId888" xr:uid="{80C84C13-CEF2-4D7C-A938-87C4FA945F99}"/>
    <hyperlink ref="B1201" r:id="rId889" xr:uid="{C9FCFCBE-3426-4577-99EE-799460479525}"/>
    <hyperlink ref="B1202" r:id="rId890" xr:uid="{B484AA72-6AE2-4A14-9033-4F0B0BF106FF}"/>
    <hyperlink ref="B1203" r:id="rId891" xr:uid="{0C1DA364-930D-442E-9469-6C6CD3B50237}"/>
    <hyperlink ref="B1204" r:id="rId892" xr:uid="{FDEA401C-D25F-40CA-8E0A-48751F08272D}"/>
    <hyperlink ref="B1205" r:id="rId893" xr:uid="{AC44522A-E3D5-4C6F-8C4F-CD70BE92F4C6}"/>
    <hyperlink ref="B1206" r:id="rId894" xr:uid="{5B950A6D-4F72-4BE7-8F33-443F0CF652D2}"/>
    <hyperlink ref="B1207" r:id="rId895" xr:uid="{5E9EA767-591D-4D2F-B541-CC96192592E1}"/>
    <hyperlink ref="B1208" r:id="rId896" xr:uid="{B88DBD61-4BB8-43CD-B6AE-F67AC447E202}"/>
    <hyperlink ref="B1209" r:id="rId897" xr:uid="{3D63A7B5-B1D8-46F3-B244-22A64973D3F1}"/>
    <hyperlink ref="B1210" r:id="rId898" xr:uid="{262A76CE-9291-4BF1-B106-D2E528576751}"/>
    <hyperlink ref="B1211" r:id="rId899" xr:uid="{6EBECAF7-2FBB-4319-8F5A-48519C7B8641}"/>
    <hyperlink ref="B1212" r:id="rId900" xr:uid="{75F794C3-4BBD-460D-BCC9-06CA273A8123}"/>
    <hyperlink ref="B1213" r:id="rId901" xr:uid="{91CBE925-1C33-47C4-8309-2DD52D1D7B3E}"/>
    <hyperlink ref="B1214" r:id="rId902" xr:uid="{BB919ECA-1FBC-4A4D-B5ED-D4593E542C72}"/>
    <hyperlink ref="B1215" r:id="rId903" xr:uid="{8759B751-56C4-42D2-AF61-9A50C34228E4}"/>
    <hyperlink ref="B1216" r:id="rId904" xr:uid="{2B837AA3-C7E3-4B89-BA52-676920717A09}"/>
    <hyperlink ref="B1217" r:id="rId905" xr:uid="{2558871D-0529-477F-88FD-42669B98A5EC}"/>
    <hyperlink ref="B1218" r:id="rId906" xr:uid="{CF132BDD-B05C-4315-B4C5-1F36C66A1325}"/>
    <hyperlink ref="B1219" r:id="rId907" xr:uid="{21569191-A739-48AA-8664-DDBEBFCC51F6}"/>
  </hyperlinks>
  <pageMargins left="0.7" right="0.7" top="0.75" bottom="0.75" header="0.3" footer="0.3"/>
  <pageSetup orientation="portrait" r:id="rId908"/>
  <extLst>
    <ext xmlns:x14="http://schemas.microsoft.com/office/spreadsheetml/2009/9/main" uri="{CCE6A557-97BC-4b89-ADB6-D9C93CAAB3DF}">
      <x14:dataValidations xmlns:xm="http://schemas.microsoft.com/office/excel/2006/main" xWindow="824" yWindow="484" count="10">
        <x14:dataValidation type="list" allowBlank="1" showInputMessage="1" showErrorMessage="1" prompt="One of: Academic, NGO, Government" xr:uid="{073DF15C-33D9-4998-810E-43EF7718177A}">
          <x14:formula1>
            <xm:f>'IGNORE Lookups'!$A$3:$A$6</xm:f>
          </x14:formula1>
          <xm:sqref>D1:D926 D1031:D1048576</xm:sqref>
        </x14:dataValidation>
        <x14:dataValidation type="list" allowBlank="1" showInputMessage="1" showErrorMessage="1" prompt="One of: Primary, remote sensing, secondary, review (or combinations). If other, add note. " xr:uid="{59809682-6A9E-4141-9EDC-FE7445F2374B}">
          <x14:formula1>
            <xm:f>'IGNORE Lookups'!$B$3:$B$14</xm:f>
          </x14:formula1>
          <xm:sqref>E964:E996 E1:E926 E929:E942 E944:E945 E950 E1031:E1048576</xm:sqref>
        </x14:dataValidation>
        <x14:dataValidation type="list" allowBlank="1" showInputMessage="1" showErrorMessage="1" xr:uid="{F8B2B011-EE17-4243-94B8-96F63429CB10}">
          <x14:formula1>
            <xm:f>'IGNORE Lookups'!$C$3:$C$6</xm:f>
          </x14:formula1>
          <xm:sqref>O1:O926 O1031:O1048576</xm:sqref>
        </x14:dataValidation>
        <x14:dataValidation type="list" allowBlank="1" showInputMessage="1" showErrorMessage="1" prompt="One of: Primary, remote sensing, secondary, review (or combinations). If other, add note. " xr:uid="{A26D40F2-3F05-48D6-856A-3D3B7E275608}">
          <x14:formula1>
            <xm:f>'C:\Users\Oli\Documents\PhD\Model development\Data\Collaborators\Current Contributor Versions\[Fire Database Ben v2.xlsx]IGNORE Lookups'!#REF!</xm:f>
          </x14:formula1>
          <xm:sqref>E927:E928 E943 E951:E962 E946:E948</xm:sqref>
        </x14:dataValidation>
        <x14:dataValidation type="list" allowBlank="1" showInputMessage="1" showErrorMessage="1" xr:uid="{BEBD25F2-3944-42FD-811A-0895800810C9}">
          <x14:formula1>
            <xm:f>'[Adam''s fire data.xlsx]IGNORE Lookups'!#REF!</xm:f>
          </x14:formula1>
          <xm:sqref>O997:O1030</xm:sqref>
        </x14:dataValidation>
        <x14:dataValidation type="list" allowBlank="1" showInputMessage="1" showErrorMessage="1" prompt="One of: Primary, remote sensing, secondary, review (or combinations). If other, add note. " xr:uid="{E44A2E4D-FF01-4AD6-8CB6-8FCDB18D1770}">
          <x14:formula1>
            <xm:f>'[Adam''s fire data.xlsx]IGNORE Lookups'!#REF!</xm:f>
          </x14:formula1>
          <xm:sqref>E997:E1030</xm:sqref>
        </x14:dataValidation>
        <x14:dataValidation type="list" allowBlank="1" showInputMessage="1" showErrorMessage="1" prompt="One of: Academic, NGO, Government" xr:uid="{72B67163-F79B-4E84-8281-83A15437C3FB}">
          <x14:formula1>
            <xm:f>'[Adam''s fire data.xlsx]IGNORE Lookups'!#REF!</xm:f>
          </x14:formula1>
          <xm:sqref>D997:D1030</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prompt="One of: Primary, remote sensing, secondary, review (or combinations). If other, add note. " xr:uid="{C8E33DFC-FC47-4AF3-A7A1-5EAE90283D3E}">
          <x14:formula1>
            <xm:f>'IGNORE Lookups'!$B$3:$B$15</xm:f>
          </x14:formula1>
          <xm:sqref>E949 E963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T1219"/>
  <sheetViews>
    <sheetView zoomScale="60" zoomScaleNormal="60" workbookViewId="0">
      <pane ySplit="1" topLeftCell="A998" activePane="bottomLeft" state="frozen"/>
      <selection pane="bottomLeft" activeCell="A1000" sqref="A1000"/>
    </sheetView>
  </sheetViews>
  <sheetFormatPr defaultRowHeight="14.5"/>
  <cols>
    <col min="1" max="1" width="19.816406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5.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0" t="s">
        <v>2355</v>
      </c>
      <c r="O1" s="80" t="s">
        <v>146</v>
      </c>
      <c r="P1" s="80" t="s">
        <v>147</v>
      </c>
      <c r="Q1" s="80" t="s">
        <v>155</v>
      </c>
      <c r="R1" s="80" t="s">
        <v>148</v>
      </c>
      <c r="S1" s="80" t="s">
        <v>1140</v>
      </c>
      <c r="T1" s="16" t="s">
        <v>0</v>
      </c>
    </row>
    <row r="2" spans="1:20" ht="32" customHeight="1">
      <c r="A2" s="5" t="s">
        <v>15</v>
      </c>
      <c r="B2" s="5" t="s">
        <v>69</v>
      </c>
      <c r="C2" s="5" t="s">
        <v>395</v>
      </c>
      <c r="D2" s="5" t="s">
        <v>45</v>
      </c>
      <c r="E2" s="5" t="s">
        <v>130</v>
      </c>
      <c r="F2" s="5" t="s">
        <v>2276</v>
      </c>
      <c r="G2" s="5" t="s">
        <v>2276</v>
      </c>
      <c r="H2" s="25">
        <v>0.21299999999999999</v>
      </c>
      <c r="I2" s="84" t="s">
        <v>2276</v>
      </c>
      <c r="J2" s="84" t="s">
        <v>2276</v>
      </c>
      <c r="K2" s="84"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4"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4" t="s">
        <v>2276</v>
      </c>
      <c r="I102" s="74" t="s">
        <v>2276</v>
      </c>
      <c r="J102" s="74" t="s">
        <v>2276</v>
      </c>
      <c r="K102" s="74" t="s">
        <v>534</v>
      </c>
      <c r="L102" s="74" t="s">
        <v>2276</v>
      </c>
      <c r="M102" s="74" t="s">
        <v>2276</v>
      </c>
      <c r="N102" s="74" t="s">
        <v>2276</v>
      </c>
      <c r="O102" s="74" t="s">
        <v>2276</v>
      </c>
      <c r="P102" s="74" t="s">
        <v>2276</v>
      </c>
      <c r="Q102" s="74" t="s">
        <v>2276</v>
      </c>
      <c r="R102" s="74" t="s">
        <v>2276</v>
      </c>
      <c r="S102" s="74"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5">
        <v>0.94299999999999995</v>
      </c>
      <c r="K115" s="85"/>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5">
        <v>1.1000000000000001</v>
      </c>
      <c r="K116" s="85"/>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4" t="s">
        <v>2276</v>
      </c>
      <c r="I129" s="74" t="s">
        <v>2276</v>
      </c>
      <c r="J129" s="74" t="s">
        <v>2276</v>
      </c>
      <c r="K129" s="74"/>
      <c r="L129" s="74" t="s">
        <v>2276</v>
      </c>
      <c r="M129" s="74" t="s">
        <v>2276</v>
      </c>
      <c r="N129" s="74" t="s">
        <v>2276</v>
      </c>
      <c r="O129" s="74">
        <v>0</v>
      </c>
      <c r="P129" s="21" t="s">
        <v>2276</v>
      </c>
      <c r="Q129" s="74">
        <f>AVERAGE(9.8+19.3+15.4, 16.6+18.1+11.3)</f>
        <v>45.25</v>
      </c>
      <c r="R129" s="74">
        <f>AVERAGE(52.9, 54)</f>
        <v>53.45</v>
      </c>
      <c r="S129" s="74" t="s">
        <v>2276</v>
      </c>
      <c r="T129" s="11" t="s">
        <v>2308</v>
      </c>
    </row>
    <row r="130" spans="1:20" ht="44" customHeight="1">
      <c r="A130" s="11" t="s">
        <v>2315</v>
      </c>
      <c r="B130" s="3" t="s">
        <v>2276</v>
      </c>
      <c r="C130" s="11" t="s">
        <v>395</v>
      </c>
      <c r="D130" s="19" t="s">
        <v>116</v>
      </c>
      <c r="E130" s="11" t="s">
        <v>2276</v>
      </c>
      <c r="F130" s="11" t="s">
        <v>2276</v>
      </c>
      <c r="G130" s="11" t="s">
        <v>2276</v>
      </c>
      <c r="H130" s="74" t="s">
        <v>2276</v>
      </c>
      <c r="I130" s="74" t="s">
        <v>2276</v>
      </c>
      <c r="J130" s="74" t="s">
        <v>2276</v>
      </c>
      <c r="K130" s="74"/>
      <c r="L130" s="74" t="s">
        <v>2276</v>
      </c>
      <c r="M130" s="74" t="s">
        <v>2276</v>
      </c>
      <c r="N130" s="74" t="s">
        <v>2276</v>
      </c>
      <c r="O130" s="74">
        <v>0</v>
      </c>
      <c r="P130" s="21" t="s">
        <v>2276</v>
      </c>
      <c r="Q130" s="74">
        <f>AVERAGE(16.6+18.1+11.3, 9.3+11.4+10.7)</f>
        <v>38.700000000000003</v>
      </c>
      <c r="R130" s="74">
        <f>AVERAGE(62.7, 54)</f>
        <v>58.35</v>
      </c>
      <c r="S130" s="74" t="s">
        <v>2276</v>
      </c>
      <c r="T130" s="11" t="s">
        <v>2308</v>
      </c>
    </row>
    <row r="131" spans="1:20" ht="44" customHeight="1">
      <c r="A131" s="11" t="s">
        <v>2316</v>
      </c>
      <c r="B131" s="3" t="s">
        <v>2276</v>
      </c>
      <c r="C131" s="11" t="s">
        <v>395</v>
      </c>
      <c r="D131" s="19" t="s">
        <v>116</v>
      </c>
      <c r="E131" s="11" t="s">
        <v>2276</v>
      </c>
      <c r="F131" s="11" t="s">
        <v>2276</v>
      </c>
      <c r="G131" s="11" t="s">
        <v>2276</v>
      </c>
      <c r="H131" s="74" t="s">
        <v>2276</v>
      </c>
      <c r="I131" s="74" t="s">
        <v>2276</v>
      </c>
      <c r="J131" s="74" t="s">
        <v>2276</v>
      </c>
      <c r="K131" s="74"/>
      <c r="L131" s="74" t="s">
        <v>2276</v>
      </c>
      <c r="M131" s="74" t="s">
        <v>2276</v>
      </c>
      <c r="N131" s="74" t="s">
        <v>2276</v>
      </c>
      <c r="O131" s="74">
        <v>0</v>
      </c>
      <c r="P131" s="21" t="s">
        <v>2276</v>
      </c>
      <c r="Q131" s="74">
        <f>AVERAGE(25.2+33+30.1, 9.3+11.4+10.7)</f>
        <v>59.850000000000009</v>
      </c>
      <c r="R131" s="74">
        <f>AVERAGE(62.7, 4.4)</f>
        <v>33.550000000000004</v>
      </c>
      <c r="S131" s="74"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7">
        <v>1.56</v>
      </c>
      <c r="I237" s="77">
        <v>78.5</v>
      </c>
      <c r="J237" s="77">
        <v>1.25</v>
      </c>
      <c r="K237" s="77"/>
      <c r="L237" s="77" t="s">
        <v>2276</v>
      </c>
      <c r="M237" s="77" t="s">
        <v>2276</v>
      </c>
      <c r="N237" s="77" t="s">
        <v>2276</v>
      </c>
      <c r="O237" s="77">
        <v>27</v>
      </c>
      <c r="P237" s="77">
        <v>11</v>
      </c>
      <c r="Q237" s="77">
        <v>7</v>
      </c>
      <c r="R237" s="77">
        <v>55</v>
      </c>
      <c r="S237" s="77" t="s">
        <v>2276</v>
      </c>
      <c r="T237" s="24" t="s">
        <v>569</v>
      </c>
    </row>
    <row r="238" spans="1:20" ht="48.5" customHeight="1">
      <c r="A238" s="22" t="s">
        <v>622</v>
      </c>
      <c r="B238" s="3" t="s">
        <v>2276</v>
      </c>
      <c r="C238" s="23" t="s">
        <v>395</v>
      </c>
      <c r="D238" s="23" t="s">
        <v>130</v>
      </c>
      <c r="E238" s="22" t="s">
        <v>2276</v>
      </c>
      <c r="F238" s="22" t="s">
        <v>2276</v>
      </c>
      <c r="G238" s="22" t="s">
        <v>2276</v>
      </c>
      <c r="H238" s="77" t="s">
        <v>2276</v>
      </c>
      <c r="I238" s="77" t="s">
        <v>2276</v>
      </c>
      <c r="J238" s="77" t="s">
        <v>2276</v>
      </c>
      <c r="K238" s="77"/>
      <c r="L238" s="77" t="s">
        <v>2276</v>
      </c>
      <c r="M238" s="77" t="s">
        <v>2276</v>
      </c>
      <c r="N238" s="77" t="s">
        <v>2276</v>
      </c>
      <c r="O238" s="77" t="s">
        <v>2276</v>
      </c>
      <c r="P238" s="77" t="s">
        <v>2276</v>
      </c>
      <c r="Q238" s="77" t="s">
        <v>2276</v>
      </c>
      <c r="R238" s="77" t="s">
        <v>2276</v>
      </c>
      <c r="S238" s="77"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5059</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5" t="s">
        <v>2276</v>
      </c>
      <c r="I366" s="75">
        <v>2.1344439999999998</v>
      </c>
      <c r="J366" s="75" t="s">
        <v>2276</v>
      </c>
      <c r="K366" s="75"/>
      <c r="L366" s="75" t="s">
        <v>2276</v>
      </c>
      <c r="M366" s="75" t="s">
        <v>2276</v>
      </c>
      <c r="N366" s="75" t="s">
        <v>2276</v>
      </c>
      <c r="O366" s="75" t="s">
        <v>2276</v>
      </c>
      <c r="P366" s="75" t="s">
        <v>2276</v>
      </c>
      <c r="Q366" s="75" t="s">
        <v>2276</v>
      </c>
      <c r="R366" s="75" t="s">
        <v>2276</v>
      </c>
      <c r="S366" s="75"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5040</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0">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0">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0">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5088</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5093</v>
      </c>
    </row>
    <row r="819" spans="1:20" ht="34.5" customHeight="1">
      <c r="A819" s="11" t="s">
        <v>5100</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5104</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5105</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5109</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5110</v>
      </c>
    </row>
    <row r="823" spans="1:20" ht="37" customHeight="1">
      <c r="A823" s="11" t="s">
        <v>5117</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5120</v>
      </c>
    </row>
    <row r="824" spans="1:20" ht="31.5" customHeight="1">
      <c r="A824" s="11" t="s">
        <v>5123</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5124</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5125</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5126</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5127</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5128</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5213</v>
      </c>
    </row>
    <row r="830" spans="1:20" ht="31.5" customHeight="1">
      <c r="A830" s="11" t="s">
        <v>5129</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5213</v>
      </c>
    </row>
    <row r="831" spans="1:20" ht="31.5" customHeight="1">
      <c r="A831" s="11" t="s">
        <v>5130</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5213</v>
      </c>
    </row>
    <row r="832" spans="1:20" ht="31.5" customHeight="1">
      <c r="A832" s="11" t="s">
        <v>5131</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5213</v>
      </c>
    </row>
    <row r="833" spans="1:20" ht="31.5" customHeight="1">
      <c r="A833" s="11" t="s">
        <v>5132</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5213</v>
      </c>
    </row>
    <row r="834" spans="1:20" ht="29" customHeight="1">
      <c r="A834" s="11" t="s">
        <v>5190</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5192</v>
      </c>
    </row>
    <row r="835" spans="1:20" ht="34" customHeight="1">
      <c r="A835" s="11" t="s">
        <v>5209</v>
      </c>
      <c r="B835" s="3" t="s">
        <v>32</v>
      </c>
      <c r="C835" s="3" t="s">
        <v>2646</v>
      </c>
      <c r="D835" s="3" t="s">
        <v>2652</v>
      </c>
      <c r="E835" s="11" t="s">
        <v>5801</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5214</v>
      </c>
    </row>
    <row r="836" spans="1:20" ht="27.5" customHeight="1">
      <c r="A836" s="11" t="s">
        <v>5223</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5249</v>
      </c>
    </row>
    <row r="837" spans="1:20" ht="29.5" customHeight="1">
      <c r="A837" s="11" t="s">
        <v>5234</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5250</v>
      </c>
    </row>
    <row r="838" spans="1:20" ht="29.5" customHeight="1">
      <c r="A838" s="23" t="s">
        <v>5236</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5250</v>
      </c>
    </row>
    <row r="839" spans="1:20" ht="29.5" customHeight="1">
      <c r="A839" s="23" t="s">
        <v>5237</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5250</v>
      </c>
    </row>
    <row r="840" spans="1:20" ht="29.5" customHeight="1">
      <c r="A840" s="23" t="s">
        <v>5238</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5250</v>
      </c>
    </row>
    <row r="841" spans="1:20" ht="29.5" customHeight="1">
      <c r="A841" s="23" t="s">
        <v>5239</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5250</v>
      </c>
    </row>
    <row r="842" spans="1:20" ht="29.5" customHeight="1">
      <c r="A842" s="23" t="s">
        <v>5240</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5250</v>
      </c>
    </row>
    <row r="843" spans="1:20" ht="29.5" customHeight="1">
      <c r="A843" s="23" t="s">
        <v>5241</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5250</v>
      </c>
    </row>
    <row r="844" spans="1:20" ht="30" customHeight="1">
      <c r="A844" s="23" t="s">
        <v>5337</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5338</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5345</v>
      </c>
    </row>
    <row r="846" spans="1:20" ht="30" customHeight="1">
      <c r="A846" s="23" t="s">
        <v>5339</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5345</v>
      </c>
    </row>
    <row r="847" spans="1:20" ht="30" customHeight="1">
      <c r="A847" s="23" t="s">
        <v>5340</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5345</v>
      </c>
    </row>
    <row r="848" spans="1:20" ht="33" customHeight="1">
      <c r="A848" s="23" t="s">
        <v>5361</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5370</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5214</v>
      </c>
    </row>
    <row r="850" spans="1:20" ht="35" customHeight="1">
      <c r="A850" s="23" t="s">
        <v>5385</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5387</v>
      </c>
    </row>
    <row r="851" spans="1:20" ht="34" customHeight="1">
      <c r="A851" s="23" t="s">
        <v>5403</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5406</v>
      </c>
    </row>
    <row r="852" spans="1:20" ht="37.5" customHeight="1">
      <c r="A852" s="23" t="s">
        <v>5414</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5421</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5427</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5440</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5443</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5444</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5446</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5445</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29">
      <c r="A860" s="11" t="s">
        <v>5527</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5550</v>
      </c>
    </row>
    <row r="861" spans="1:20" ht="29">
      <c r="A861" s="11" t="s">
        <v>5539</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5550</v>
      </c>
    </row>
    <row r="862" spans="1:20" ht="29">
      <c r="A862" s="11" t="s">
        <v>5540</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5550</v>
      </c>
    </row>
    <row r="863" spans="1:20" ht="29">
      <c r="A863" s="11" t="s">
        <v>5541</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5550</v>
      </c>
    </row>
    <row r="864" spans="1:20" ht="29">
      <c r="A864" s="11" t="s">
        <v>5542</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5550</v>
      </c>
    </row>
    <row r="865" spans="1:20" ht="29">
      <c r="A865" s="11" t="s">
        <v>5543</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5550</v>
      </c>
    </row>
    <row r="866" spans="1:20" ht="29">
      <c r="A866" s="11" t="s">
        <v>5547</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5550</v>
      </c>
    </row>
    <row r="867" spans="1:20" ht="29">
      <c r="A867" s="11" t="s">
        <v>5548</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5550</v>
      </c>
    </row>
    <row r="868" spans="1:20" ht="29.5" customHeight="1">
      <c r="A868" s="19" t="s">
        <v>5578</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5590</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5599</v>
      </c>
      <c r="B870" s="3" t="s">
        <v>2276</v>
      </c>
      <c r="C870" s="3" t="s">
        <v>12</v>
      </c>
      <c r="D870" s="3" t="s">
        <v>45</v>
      </c>
      <c r="E870" s="3" t="s">
        <v>130</v>
      </c>
      <c r="F870" s="3" t="s">
        <v>863</v>
      </c>
      <c r="G870" s="11" t="s">
        <v>5801</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5600</v>
      </c>
      <c r="B871" s="3" t="s">
        <v>2276</v>
      </c>
      <c r="C871" s="3" t="s">
        <v>12</v>
      </c>
      <c r="D871" s="3" t="s">
        <v>45</v>
      </c>
      <c r="E871" s="3" t="s">
        <v>130</v>
      </c>
      <c r="F871" s="3" t="s">
        <v>863</v>
      </c>
      <c r="G871" s="11" t="s">
        <v>5801</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5625</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5629</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5630</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5631</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5649</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5661</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5676</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5684</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5693</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5697</v>
      </c>
    </row>
    <row r="881" spans="1:20" ht="37.5" customHeight="1">
      <c r="A881" s="11" t="s">
        <v>5715</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5723</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5726</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5727</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5728</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5739</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5745</v>
      </c>
    </row>
    <row r="887" spans="1:20" ht="29" customHeight="1">
      <c r="A887" s="19" t="s">
        <v>5743</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5745</v>
      </c>
    </row>
    <row r="888" spans="1:20" ht="29" customHeight="1">
      <c r="A888" s="19" t="s">
        <v>5744</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5745</v>
      </c>
    </row>
    <row r="889" spans="1:20" ht="28" customHeight="1">
      <c r="A889" s="19" t="s">
        <v>5779</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5780</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5797</v>
      </c>
      <c r="B891" s="4" t="s">
        <v>2276</v>
      </c>
      <c r="C891" s="4" t="s">
        <v>2646</v>
      </c>
      <c r="D891" s="4" t="s">
        <v>2652</v>
      </c>
      <c r="E891" s="11" t="s">
        <v>5801</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5800</v>
      </c>
    </row>
    <row r="892" spans="1:20" ht="31" customHeight="1">
      <c r="A892" s="19" t="s">
        <v>5816</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5817</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5828</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5837</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5844</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5849</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5854</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5859</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5860</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5861</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5862</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5879</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5875</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5899</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5909</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5932</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5933</v>
      </c>
    </row>
    <row r="908" spans="1:20" ht="31" customHeight="1">
      <c r="A908" s="19" t="s">
        <v>5949</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5953</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5956</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5969</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5970</v>
      </c>
    </row>
    <row r="912" spans="1:20" ht="31.5" customHeight="1">
      <c r="A912" s="19" t="s">
        <v>5982</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6058</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5994</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5998</v>
      </c>
      <c r="B915" s="3" t="s">
        <v>2276</v>
      </c>
      <c r="C915" s="3" t="s">
        <v>2646</v>
      </c>
      <c r="D915" s="3" t="s">
        <v>5801</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6000</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6018</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6032</v>
      </c>
      <c r="B918" s="3" t="s">
        <v>1197</v>
      </c>
      <c r="C918" s="3" t="s">
        <v>2646</v>
      </c>
      <c r="D918" s="3" t="s">
        <v>5801</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6039</v>
      </c>
      <c r="B919" s="3" t="s">
        <v>2276</v>
      </c>
      <c r="C919" s="3" t="s">
        <v>2646</v>
      </c>
      <c r="D919" s="3" t="s">
        <v>5801</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6048</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6061</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6062</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6063</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6075</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6083</v>
      </c>
      <c r="B925" s="11" t="s">
        <v>69</v>
      </c>
      <c r="C925" s="11" t="s">
        <v>12</v>
      </c>
      <c r="D925" s="19" t="s">
        <v>5005</v>
      </c>
      <c r="E925" s="19" t="s">
        <v>130</v>
      </c>
      <c r="F925" s="19" t="s">
        <v>397</v>
      </c>
      <c r="G925" s="11" t="s">
        <v>2276</v>
      </c>
      <c r="H925" s="11">
        <f>30/100</f>
        <v>0.3</v>
      </c>
      <c r="I925" s="11">
        <v>8.1999999999999993</v>
      </c>
      <c r="J925" s="205" t="s">
        <v>2276</v>
      </c>
      <c r="K925" s="205" t="s">
        <v>2276</v>
      </c>
      <c r="L925" s="205" t="s">
        <v>2276</v>
      </c>
      <c r="M925" s="205" t="s">
        <v>2276</v>
      </c>
      <c r="N925" s="205" t="s">
        <v>2276</v>
      </c>
      <c r="O925" s="205" t="s">
        <v>2276</v>
      </c>
      <c r="P925" s="205" t="s">
        <v>2276</v>
      </c>
      <c r="Q925" s="205" t="s">
        <v>2276</v>
      </c>
      <c r="R925" s="205" t="s">
        <v>2276</v>
      </c>
      <c r="S925" s="205" t="s">
        <v>2276</v>
      </c>
      <c r="T925" s="11"/>
    </row>
    <row r="926" spans="1:20" ht="30" customHeight="1">
      <c r="A926" s="19" t="s">
        <v>6084</v>
      </c>
      <c r="B926" s="11" t="s">
        <v>2276</v>
      </c>
      <c r="C926" s="11" t="s">
        <v>12</v>
      </c>
      <c r="D926" s="19" t="s">
        <v>2653</v>
      </c>
      <c r="E926" s="19" t="s">
        <v>5005</v>
      </c>
      <c r="F926" s="19" t="s">
        <v>130</v>
      </c>
      <c r="G926" s="19" t="s">
        <v>397</v>
      </c>
      <c r="H926" s="11">
        <f>17.5/100</f>
        <v>0.17499999999999999</v>
      </c>
      <c r="I926" s="11">
        <v>3.1</v>
      </c>
      <c r="J926" s="205" t="s">
        <v>2276</v>
      </c>
      <c r="K926" s="205" t="s">
        <v>2276</v>
      </c>
      <c r="L926" s="205" t="s">
        <v>2276</v>
      </c>
      <c r="M926" s="205" t="s">
        <v>2276</v>
      </c>
      <c r="N926" s="205" t="s">
        <v>2276</v>
      </c>
      <c r="O926" s="205" t="s">
        <v>2276</v>
      </c>
      <c r="P926" s="205" t="s">
        <v>2276</v>
      </c>
      <c r="Q926" s="205" t="s">
        <v>2276</v>
      </c>
      <c r="R926" s="205" t="s">
        <v>2276</v>
      </c>
      <c r="S926" s="205" t="s">
        <v>2276</v>
      </c>
      <c r="T926" s="11"/>
    </row>
    <row r="927" spans="1:20" s="60" customFormat="1" ht="36" customHeight="1">
      <c r="A927" s="48" t="s">
        <v>6148</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6149</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6" customFormat="1" ht="36" customHeight="1">
      <c r="A929" s="48" t="s">
        <v>6711</v>
      </c>
      <c r="B929" s="11" t="s">
        <v>1197</v>
      </c>
      <c r="C929" s="205"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6717</v>
      </c>
    </row>
    <row r="930" spans="1:20" s="206" customFormat="1" ht="36" customHeight="1">
      <c r="A930" s="48" t="s">
        <v>6712</v>
      </c>
      <c r="B930" s="11" t="s">
        <v>1197</v>
      </c>
      <c r="C930" s="205"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6717</v>
      </c>
    </row>
    <row r="931" spans="1:20" s="206" customFormat="1" ht="36" customHeight="1">
      <c r="A931" s="48" t="s">
        <v>6713</v>
      </c>
      <c r="B931" s="11" t="s">
        <v>1197</v>
      </c>
      <c r="C931" s="205"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6717</v>
      </c>
    </row>
    <row r="932" spans="1:20" s="60" customFormat="1" ht="36" customHeight="1">
      <c r="A932" s="48" t="s">
        <v>6150</v>
      </c>
      <c r="B932" s="11" t="s">
        <v>32</v>
      </c>
      <c r="C932" s="4" t="s">
        <v>2646</v>
      </c>
      <c r="D932" s="4" t="s">
        <v>2653</v>
      </c>
      <c r="E932" s="4" t="s">
        <v>3855</v>
      </c>
      <c r="F932" s="11" t="s">
        <v>5801</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6151</v>
      </c>
      <c r="B933" s="11" t="s">
        <v>32</v>
      </c>
      <c r="C933" s="4" t="s">
        <v>2646</v>
      </c>
      <c r="D933" s="4" t="s">
        <v>2653</v>
      </c>
      <c r="E933" s="11" t="s">
        <v>5801</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6152</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6" customFormat="1" ht="36" customHeight="1">
      <c r="A935" s="48" t="s">
        <v>6153</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6747</v>
      </c>
      <c r="B936" s="11" t="s">
        <v>32</v>
      </c>
      <c r="C936" s="4" t="s">
        <v>2646</v>
      </c>
      <c r="D936" s="4" t="s">
        <v>2653</v>
      </c>
      <c r="E936" s="4" t="s">
        <v>3855</v>
      </c>
      <c r="F936" s="11" t="s">
        <v>5801</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6154</v>
      </c>
      <c r="B937" s="11" t="s">
        <v>2276</v>
      </c>
      <c r="C937" s="4" t="s">
        <v>2646</v>
      </c>
      <c r="D937" s="4" t="s">
        <v>2653</v>
      </c>
      <c r="E937" s="4" t="s">
        <v>3855</v>
      </c>
      <c r="F937" s="11" t="s">
        <v>5801</v>
      </c>
      <c r="G937" s="4" t="s">
        <v>2276</v>
      </c>
      <c r="H937" s="4" t="s">
        <v>2276</v>
      </c>
      <c r="I937" s="4" t="s">
        <v>2276</v>
      </c>
      <c r="J937" s="4" t="s">
        <v>2276</v>
      </c>
      <c r="K937" s="4" t="s">
        <v>2276</v>
      </c>
      <c r="L937" s="4" t="s">
        <v>2276</v>
      </c>
      <c r="M937" s="4" t="s">
        <v>2276</v>
      </c>
      <c r="N937" s="4" t="s">
        <v>2276</v>
      </c>
      <c r="O937" s="4" t="s">
        <v>2276</v>
      </c>
      <c r="P937" s="75">
        <v>32</v>
      </c>
      <c r="Q937" s="4" t="s">
        <v>2276</v>
      </c>
      <c r="R937" s="75">
        <v>53</v>
      </c>
      <c r="S937" s="4" t="s">
        <v>2276</v>
      </c>
      <c r="T937" s="75" t="s">
        <v>6188</v>
      </c>
    </row>
    <row r="938" spans="1:20" s="60" customFormat="1" ht="36" customHeight="1">
      <c r="A938" s="48" t="s">
        <v>6155</v>
      </c>
      <c r="B938" s="11" t="s">
        <v>2276</v>
      </c>
      <c r="C938" s="4" t="s">
        <v>2646</v>
      </c>
      <c r="D938" s="4" t="s">
        <v>2653</v>
      </c>
      <c r="E938" s="4" t="s">
        <v>3855</v>
      </c>
      <c r="F938" s="11" t="s">
        <v>5801</v>
      </c>
      <c r="G938" s="4" t="s">
        <v>2276</v>
      </c>
      <c r="H938" s="4" t="s">
        <v>2276</v>
      </c>
      <c r="I938" s="4" t="s">
        <v>2276</v>
      </c>
      <c r="J938" s="4" t="s">
        <v>2276</v>
      </c>
      <c r="K938" s="4" t="s">
        <v>2276</v>
      </c>
      <c r="L938" s="4" t="s">
        <v>2276</v>
      </c>
      <c r="M938" s="4" t="s">
        <v>2276</v>
      </c>
      <c r="N938" s="4" t="s">
        <v>2276</v>
      </c>
      <c r="O938" s="4" t="s">
        <v>2276</v>
      </c>
      <c r="P938" s="75">
        <v>31</v>
      </c>
      <c r="Q938" s="4" t="s">
        <v>2276</v>
      </c>
      <c r="R938" s="75">
        <v>46</v>
      </c>
      <c r="S938" s="4" t="s">
        <v>2276</v>
      </c>
      <c r="T938" s="75" t="s">
        <v>6188</v>
      </c>
    </row>
    <row r="939" spans="1:20" s="60" customFormat="1" ht="36" customHeight="1">
      <c r="A939" s="48" t="s">
        <v>6156</v>
      </c>
      <c r="B939" s="11" t="s">
        <v>2276</v>
      </c>
      <c r="C939" s="4" t="s">
        <v>2646</v>
      </c>
      <c r="D939" s="4" t="s">
        <v>2653</v>
      </c>
      <c r="E939" s="4" t="s">
        <v>3855</v>
      </c>
      <c r="F939" s="11" t="s">
        <v>5801</v>
      </c>
      <c r="G939" s="4" t="s">
        <v>2276</v>
      </c>
      <c r="H939" s="4" t="s">
        <v>2276</v>
      </c>
      <c r="I939" s="4" t="s">
        <v>2276</v>
      </c>
      <c r="J939" s="4" t="s">
        <v>2276</v>
      </c>
      <c r="K939" s="4" t="s">
        <v>2276</v>
      </c>
      <c r="L939" s="4" t="s">
        <v>2276</v>
      </c>
      <c r="M939" s="4" t="s">
        <v>2276</v>
      </c>
      <c r="N939" s="4" t="s">
        <v>2276</v>
      </c>
      <c r="O939" s="4" t="s">
        <v>2276</v>
      </c>
      <c r="P939" s="75">
        <v>18</v>
      </c>
      <c r="Q939" s="4" t="s">
        <v>2276</v>
      </c>
      <c r="R939" s="75">
        <v>45</v>
      </c>
      <c r="S939" s="4" t="s">
        <v>2276</v>
      </c>
      <c r="T939" s="75" t="s">
        <v>6188</v>
      </c>
    </row>
    <row r="940" spans="1:20" s="60" customFormat="1" ht="36" customHeight="1">
      <c r="A940" s="48" t="s">
        <v>6157</v>
      </c>
      <c r="B940" s="11" t="s">
        <v>2276</v>
      </c>
      <c r="C940" s="4" t="s">
        <v>2646</v>
      </c>
      <c r="D940" s="4" t="s">
        <v>2653</v>
      </c>
      <c r="E940" s="4" t="s">
        <v>3855</v>
      </c>
      <c r="F940" s="11" t="s">
        <v>5801</v>
      </c>
      <c r="G940" s="4" t="s">
        <v>2276</v>
      </c>
      <c r="H940" s="4" t="s">
        <v>2276</v>
      </c>
      <c r="I940" s="4" t="s">
        <v>2276</v>
      </c>
      <c r="J940" s="4" t="s">
        <v>2276</v>
      </c>
      <c r="K940" s="4" t="s">
        <v>2276</v>
      </c>
      <c r="L940" s="4" t="s">
        <v>2276</v>
      </c>
      <c r="M940" s="4" t="s">
        <v>2276</v>
      </c>
      <c r="N940" s="4" t="s">
        <v>2276</v>
      </c>
      <c r="O940" s="4" t="s">
        <v>2276</v>
      </c>
      <c r="P940" s="75">
        <v>13</v>
      </c>
      <c r="Q940" s="4" t="s">
        <v>2276</v>
      </c>
      <c r="R940" s="75">
        <v>27</v>
      </c>
      <c r="S940" s="4" t="s">
        <v>2276</v>
      </c>
      <c r="T940" s="75" t="s">
        <v>6188</v>
      </c>
    </row>
    <row r="941" spans="1:20" s="60" customFormat="1" ht="36" customHeight="1">
      <c r="A941" s="48" t="s">
        <v>6158</v>
      </c>
      <c r="B941" s="11" t="s">
        <v>2276</v>
      </c>
      <c r="C941" s="4" t="s">
        <v>2646</v>
      </c>
      <c r="D941" s="4" t="s">
        <v>2653</v>
      </c>
      <c r="E941" s="4" t="s">
        <v>3855</v>
      </c>
      <c r="F941" s="11" t="s">
        <v>5801</v>
      </c>
      <c r="G941" s="4" t="s">
        <v>2276</v>
      </c>
      <c r="H941" s="4" t="s">
        <v>2276</v>
      </c>
      <c r="I941" s="4" t="s">
        <v>2276</v>
      </c>
      <c r="J941" s="4" t="s">
        <v>2276</v>
      </c>
      <c r="K941" s="4" t="s">
        <v>2276</v>
      </c>
      <c r="L941" s="4" t="s">
        <v>2276</v>
      </c>
      <c r="M941" s="4" t="s">
        <v>2276</v>
      </c>
      <c r="N941" s="4" t="s">
        <v>2276</v>
      </c>
      <c r="O941" s="4" t="s">
        <v>2276</v>
      </c>
      <c r="P941" s="75">
        <v>56</v>
      </c>
      <c r="Q941" s="4" t="s">
        <v>2276</v>
      </c>
      <c r="R941" s="75">
        <v>10</v>
      </c>
      <c r="S941" s="4" t="s">
        <v>2276</v>
      </c>
      <c r="T941" s="75" t="s">
        <v>6188</v>
      </c>
    </row>
    <row r="942" spans="1:20" s="60" customFormat="1" ht="36" customHeight="1">
      <c r="A942" s="48" t="s">
        <v>6159</v>
      </c>
      <c r="B942" s="11" t="s">
        <v>2276</v>
      </c>
      <c r="C942" s="4" t="s">
        <v>2646</v>
      </c>
      <c r="D942" s="4" t="s">
        <v>2653</v>
      </c>
      <c r="E942" s="4" t="s">
        <v>3855</v>
      </c>
      <c r="F942" s="11" t="s">
        <v>5801</v>
      </c>
      <c r="G942" s="4" t="s">
        <v>2276</v>
      </c>
      <c r="H942" s="4" t="s">
        <v>2276</v>
      </c>
      <c r="I942" s="4" t="s">
        <v>2276</v>
      </c>
      <c r="J942" s="4" t="s">
        <v>2276</v>
      </c>
      <c r="K942" s="4" t="s">
        <v>2276</v>
      </c>
      <c r="L942" s="4" t="s">
        <v>2276</v>
      </c>
      <c r="M942" s="4" t="s">
        <v>2276</v>
      </c>
      <c r="N942" s="4" t="s">
        <v>2276</v>
      </c>
      <c r="O942" s="4" t="s">
        <v>2276</v>
      </c>
      <c r="P942" s="75">
        <v>37</v>
      </c>
      <c r="Q942" s="4" t="s">
        <v>2276</v>
      </c>
      <c r="R942" s="75">
        <v>31</v>
      </c>
      <c r="S942" s="4" t="s">
        <v>2276</v>
      </c>
      <c r="T942" s="75" t="s">
        <v>6188</v>
      </c>
    </row>
    <row r="943" spans="1:20" s="60" customFormat="1" ht="36" customHeight="1">
      <c r="A943" s="48" t="s">
        <v>6160</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5">
        <v>100</v>
      </c>
      <c r="S943" s="4" t="s">
        <v>2276</v>
      </c>
      <c r="T943" s="4"/>
    </row>
    <row r="944" spans="1:20" s="60" customFormat="1" ht="36" customHeight="1">
      <c r="A944" s="48" t="s">
        <v>6161</v>
      </c>
      <c r="B944" s="11" t="s">
        <v>32</v>
      </c>
      <c r="C944" s="4" t="s">
        <v>2645</v>
      </c>
      <c r="D944" s="4" t="s">
        <v>2649</v>
      </c>
      <c r="E944" s="4" t="s">
        <v>3855</v>
      </c>
      <c r="F944" s="11" t="s">
        <v>5801</v>
      </c>
      <c r="G944" s="4" t="s">
        <v>137</v>
      </c>
      <c r="H944" s="4" t="s">
        <v>2276</v>
      </c>
      <c r="I944" s="205">
        <v>1.8</v>
      </c>
      <c r="J944" s="4" t="s">
        <v>2276</v>
      </c>
      <c r="K944" s="4" t="s">
        <v>534</v>
      </c>
      <c r="L944" s="4" t="s">
        <v>2276</v>
      </c>
      <c r="M944" s="4" t="s">
        <v>2276</v>
      </c>
      <c r="N944" s="75">
        <f>100*78546.16/172737.51</f>
        <v>45.471397613639326</v>
      </c>
      <c r="O944" s="4" t="s">
        <v>2276</v>
      </c>
      <c r="P944" s="4" t="s">
        <v>2276</v>
      </c>
      <c r="Q944" s="4" t="s">
        <v>2276</v>
      </c>
      <c r="R944" s="75">
        <f>100*60306.42/172737.51</f>
        <v>34.91217396846811</v>
      </c>
      <c r="S944" s="4" t="s">
        <v>2276</v>
      </c>
      <c r="T944" s="4" t="s">
        <v>6756</v>
      </c>
    </row>
    <row r="945" spans="1:20" s="60" customFormat="1" ht="36" customHeight="1">
      <c r="A945" s="48" t="s">
        <v>6162</v>
      </c>
      <c r="B945" s="4" t="s">
        <v>70</v>
      </c>
      <c r="C945" s="4" t="s">
        <v>2645</v>
      </c>
      <c r="D945" s="4" t="s">
        <v>2649</v>
      </c>
      <c r="E945" s="4" t="s">
        <v>2653</v>
      </c>
      <c r="F945" s="11" t="s">
        <v>5801</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6163</v>
      </c>
      <c r="B946" s="11" t="s">
        <v>2276</v>
      </c>
      <c r="C946" s="4" t="s">
        <v>2646</v>
      </c>
      <c r="D946" s="4" t="s">
        <v>2653</v>
      </c>
      <c r="E946" s="11" t="s">
        <v>5801</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6164</v>
      </c>
      <c r="B947" s="11" t="s">
        <v>2276</v>
      </c>
      <c r="C947" s="4" t="s">
        <v>2646</v>
      </c>
      <c r="D947" s="4" t="s">
        <v>2653</v>
      </c>
      <c r="E947" s="11" t="s">
        <v>5801</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6165</v>
      </c>
      <c r="B948" s="11" t="s">
        <v>2276</v>
      </c>
      <c r="C948" s="4" t="s">
        <v>2646</v>
      </c>
      <c r="D948" s="4" t="s">
        <v>2653</v>
      </c>
      <c r="E948" s="11" t="s">
        <v>5801</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6" customFormat="1" ht="36" customHeight="1">
      <c r="A949" s="49" t="s">
        <v>6166</v>
      </c>
      <c r="B949" s="11" t="s">
        <v>32</v>
      </c>
      <c r="C949" s="205" t="s">
        <v>12</v>
      </c>
      <c r="D949" s="4" t="s">
        <v>3855</v>
      </c>
      <c r="E949" s="11" t="s">
        <v>5801</v>
      </c>
      <c r="F949" s="4" t="s">
        <v>2653</v>
      </c>
      <c r="G949" s="4" t="s">
        <v>2276</v>
      </c>
      <c r="H949" s="4" t="s">
        <v>2276</v>
      </c>
      <c r="I949" s="205">
        <v>7</v>
      </c>
      <c r="J949" s="4" t="s">
        <v>2276</v>
      </c>
      <c r="K949" s="4" t="s">
        <v>2276</v>
      </c>
      <c r="L949" s="4" t="s">
        <v>2276</v>
      </c>
      <c r="M949" s="4" t="s">
        <v>2276</v>
      </c>
      <c r="N949" s="4" t="s">
        <v>2276</v>
      </c>
      <c r="O949" s="75">
        <f>AVERAGE(583.4, 594.3)/('Record info'!K949)</f>
        <v>15.927779280497699</v>
      </c>
      <c r="P949" s="75">
        <f>AVERAGE(1345.2, 1169.1)/('Record info'!K949)</f>
        <v>34.004598322964569</v>
      </c>
      <c r="Q949" s="75">
        <f>AVERAGE(757.5, 612.2)/36.89</f>
        <v>18.564651667118461</v>
      </c>
      <c r="R949" s="75">
        <f>SUM(50.4, 49.8, 288.1, 260.8, 411.8, 387.7, 615.3, 268.9)/2/36.87</f>
        <v>31.635475996745328</v>
      </c>
      <c r="S949" s="19"/>
      <c r="T949" s="19" t="s">
        <v>6876</v>
      </c>
    </row>
    <row r="950" spans="1:20" s="206" customFormat="1" ht="36" customHeight="1">
      <c r="A950" s="49" t="s">
        <v>6167</v>
      </c>
      <c r="B950" s="11" t="s">
        <v>32</v>
      </c>
      <c r="C950" s="205" t="s">
        <v>12</v>
      </c>
      <c r="D950" s="11" t="s">
        <v>5801</v>
      </c>
      <c r="E950" s="4" t="s">
        <v>3855</v>
      </c>
      <c r="F950" s="4" t="s">
        <v>2653</v>
      </c>
      <c r="G950" s="4" t="s">
        <v>2276</v>
      </c>
      <c r="H950" s="4" t="s">
        <v>2276</v>
      </c>
      <c r="I950" s="4" t="s">
        <v>2276</v>
      </c>
      <c r="J950" s="4" t="s">
        <v>2276</v>
      </c>
      <c r="K950" s="4" t="s">
        <v>2276</v>
      </c>
      <c r="L950" s="19" t="s">
        <v>2276</v>
      </c>
      <c r="M950" s="19" t="s">
        <v>2276</v>
      </c>
      <c r="N950" s="19" t="s">
        <v>2276</v>
      </c>
      <c r="O950" s="19" t="s">
        <v>2276</v>
      </c>
      <c r="P950" s="75">
        <f>32</f>
        <v>32</v>
      </c>
      <c r="Q950" s="75">
        <f>32.5</f>
        <v>32.5</v>
      </c>
      <c r="R950" s="75">
        <f>32.5</f>
        <v>32.5</v>
      </c>
      <c r="S950" s="19" t="s">
        <v>2276</v>
      </c>
      <c r="T950" s="19" t="s">
        <v>6874</v>
      </c>
    </row>
    <row r="951" spans="1:20" s="60" customFormat="1" ht="36" customHeight="1">
      <c r="A951" s="48" t="s">
        <v>6168</v>
      </c>
      <c r="B951" s="11" t="s">
        <v>2276</v>
      </c>
      <c r="C951" s="4" t="s">
        <v>2646</v>
      </c>
      <c r="D951" s="4" t="s">
        <v>137</v>
      </c>
      <c r="E951" s="4" t="s">
        <v>3855</v>
      </c>
      <c r="F951" s="11" t="s">
        <v>5801</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6169</v>
      </c>
      <c r="B952" s="11" t="s">
        <v>2276</v>
      </c>
      <c r="C952" s="4" t="s">
        <v>2646</v>
      </c>
      <c r="D952" s="4" t="s">
        <v>137</v>
      </c>
      <c r="E952" s="4" t="s">
        <v>3855</v>
      </c>
      <c r="F952" s="11" t="s">
        <v>5801</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6170</v>
      </c>
      <c r="B953" s="11" t="s">
        <v>2276</v>
      </c>
      <c r="C953" s="4" t="s">
        <v>2646</v>
      </c>
      <c r="D953" s="4" t="s">
        <v>137</v>
      </c>
      <c r="E953" s="4" t="s">
        <v>3855</v>
      </c>
      <c r="F953" s="11" t="s">
        <v>5801</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6171</v>
      </c>
      <c r="B954" s="11" t="s">
        <v>2276</v>
      </c>
      <c r="C954" s="4" t="s">
        <v>2646</v>
      </c>
      <c r="D954" s="4" t="s">
        <v>137</v>
      </c>
      <c r="E954" s="4" t="s">
        <v>3855</v>
      </c>
      <c r="F954" s="11" t="s">
        <v>5801</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6172</v>
      </c>
      <c r="B955" s="11" t="s">
        <v>2276</v>
      </c>
      <c r="C955" s="4" t="s">
        <v>2646</v>
      </c>
      <c r="D955" s="4" t="s">
        <v>137</v>
      </c>
      <c r="E955" s="4" t="s">
        <v>3855</v>
      </c>
      <c r="F955" s="11" t="s">
        <v>5801</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6173</v>
      </c>
      <c r="B956" s="11" t="s">
        <v>2276</v>
      </c>
      <c r="C956" s="4" t="s">
        <v>2646</v>
      </c>
      <c r="D956" s="4" t="s">
        <v>137</v>
      </c>
      <c r="E956" s="4" t="s">
        <v>3855</v>
      </c>
      <c r="F956" s="11" t="s">
        <v>5801</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6174</v>
      </c>
      <c r="B957" s="11" t="s">
        <v>2276</v>
      </c>
      <c r="C957" s="4" t="s">
        <v>2646</v>
      </c>
      <c r="D957" s="4" t="s">
        <v>137</v>
      </c>
      <c r="E957" s="4" t="s">
        <v>3855</v>
      </c>
      <c r="F957" s="11" t="s">
        <v>5801</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6175</v>
      </c>
      <c r="B958" s="11" t="s">
        <v>2276</v>
      </c>
      <c r="C958" s="4" t="s">
        <v>2646</v>
      </c>
      <c r="D958" s="4" t="s">
        <v>137</v>
      </c>
      <c r="E958" s="4" t="s">
        <v>3855</v>
      </c>
      <c r="F958" s="11" t="s">
        <v>5801</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6176</v>
      </c>
      <c r="B959" s="11" t="s">
        <v>2276</v>
      </c>
      <c r="C959" s="4" t="s">
        <v>2646</v>
      </c>
      <c r="D959" s="4" t="s">
        <v>137</v>
      </c>
      <c r="E959" s="4" t="s">
        <v>3855</v>
      </c>
      <c r="F959" s="11" t="s">
        <v>5801</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6177</v>
      </c>
      <c r="B960" s="11" t="s">
        <v>2276</v>
      </c>
      <c r="C960" s="4" t="s">
        <v>2646</v>
      </c>
      <c r="D960" s="4" t="s">
        <v>137</v>
      </c>
      <c r="E960" s="4" t="s">
        <v>3855</v>
      </c>
      <c r="F960" s="11" t="s">
        <v>5801</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6178</v>
      </c>
      <c r="B961" s="11" t="s">
        <v>2276</v>
      </c>
      <c r="C961" s="4" t="s">
        <v>2646</v>
      </c>
      <c r="D961" s="4" t="s">
        <v>137</v>
      </c>
      <c r="E961" s="4" t="s">
        <v>3855</v>
      </c>
      <c r="F961" s="11" t="s">
        <v>5801</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6179</v>
      </c>
      <c r="B962" s="11" t="s">
        <v>2276</v>
      </c>
      <c r="C962" s="4" t="s">
        <v>2646</v>
      </c>
      <c r="D962" s="4" t="s">
        <v>137</v>
      </c>
      <c r="E962" s="4" t="s">
        <v>3855</v>
      </c>
      <c r="F962" s="11" t="s">
        <v>5801</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6180</v>
      </c>
      <c r="B963" s="11" t="s">
        <v>70</v>
      </c>
      <c r="C963" s="11" t="s">
        <v>12</v>
      </c>
      <c r="D963" s="19" t="s">
        <v>84</v>
      </c>
      <c r="E963" s="11" t="s">
        <v>5801</v>
      </c>
      <c r="F963" s="11" t="s">
        <v>5006</v>
      </c>
      <c r="G963" s="19" t="s">
        <v>3854</v>
      </c>
      <c r="H963" s="74" t="s">
        <v>2276</v>
      </c>
      <c r="I963" s="74" t="s">
        <v>2276</v>
      </c>
      <c r="J963" s="74" t="s">
        <v>2276</v>
      </c>
      <c r="K963" s="19" t="s">
        <v>2276</v>
      </c>
      <c r="L963" s="74" t="s">
        <v>2276</v>
      </c>
      <c r="M963" s="74" t="s">
        <v>2276</v>
      </c>
      <c r="N963" s="74" t="s">
        <v>2276</v>
      </c>
      <c r="O963" s="74" t="s">
        <v>2276</v>
      </c>
      <c r="P963" s="74" t="s">
        <v>2276</v>
      </c>
      <c r="Q963" s="74" t="s">
        <v>2276</v>
      </c>
      <c r="R963" s="74" t="s">
        <v>2276</v>
      </c>
      <c r="S963" s="74" t="s">
        <v>2276</v>
      </c>
      <c r="T963" s="19"/>
    </row>
    <row r="964" spans="1:20" s="60" customFormat="1" ht="36" customHeight="1">
      <c r="A964" s="19" t="s">
        <v>6181</v>
      </c>
      <c r="B964" s="11" t="s">
        <v>2276</v>
      </c>
      <c r="C964" s="4" t="s">
        <v>2646</v>
      </c>
      <c r="D964" s="11" t="s">
        <v>5801</v>
      </c>
      <c r="E964" s="19" t="s">
        <v>3855</v>
      </c>
      <c r="F964" s="19" t="s">
        <v>2276</v>
      </c>
      <c r="G964" s="19" t="s">
        <v>2276</v>
      </c>
      <c r="H964" s="19" t="s">
        <v>2276</v>
      </c>
      <c r="I964" s="205">
        <v>1</v>
      </c>
      <c r="J964" s="19" t="s">
        <v>2276</v>
      </c>
      <c r="K964" s="19" t="s">
        <v>2276</v>
      </c>
      <c r="L964" s="19" t="s">
        <v>2276</v>
      </c>
      <c r="M964" s="19" t="s">
        <v>2276</v>
      </c>
      <c r="N964" s="19" t="s">
        <v>2276</v>
      </c>
      <c r="O964" s="75">
        <v>28</v>
      </c>
      <c r="P964" s="75">
        <v>15</v>
      </c>
      <c r="Q964" s="19" t="s">
        <v>2276</v>
      </c>
      <c r="R964" s="75">
        <v>52</v>
      </c>
      <c r="S964" s="19" t="s">
        <v>2276</v>
      </c>
      <c r="T964" s="4" t="s">
        <v>6939</v>
      </c>
    </row>
    <row r="965" spans="1:20" s="206" customFormat="1" ht="36" customHeight="1">
      <c r="A965" s="19" t="s">
        <v>6883</v>
      </c>
      <c r="B965" s="11" t="s">
        <v>2276</v>
      </c>
      <c r="C965" s="4" t="s">
        <v>2646</v>
      </c>
      <c r="D965" s="19" t="s">
        <v>3855</v>
      </c>
      <c r="E965" s="11" t="s">
        <v>5801</v>
      </c>
      <c r="F965" s="19"/>
      <c r="G965" s="19" t="s">
        <v>2276</v>
      </c>
      <c r="H965" s="19" t="s">
        <v>2276</v>
      </c>
      <c r="I965" s="205">
        <v>10</v>
      </c>
      <c r="J965" s="19" t="s">
        <v>2276</v>
      </c>
      <c r="K965" s="19" t="s">
        <v>2276</v>
      </c>
      <c r="L965" s="19" t="s">
        <v>2276</v>
      </c>
      <c r="M965" s="19" t="s">
        <v>2276</v>
      </c>
      <c r="N965" s="19" t="s">
        <v>2276</v>
      </c>
      <c r="O965" s="75">
        <v>54</v>
      </c>
      <c r="P965" s="75">
        <v>38</v>
      </c>
      <c r="Q965" s="19" t="s">
        <v>2276</v>
      </c>
      <c r="R965" s="75">
        <v>2</v>
      </c>
      <c r="S965" s="19" t="s">
        <v>2276</v>
      </c>
      <c r="T965" s="4" t="s">
        <v>5800</v>
      </c>
    </row>
    <row r="966" spans="1:20" s="206" customFormat="1" ht="36" customHeight="1">
      <c r="A966" s="19" t="s">
        <v>6884</v>
      </c>
      <c r="B966" s="11" t="s">
        <v>2276</v>
      </c>
      <c r="C966" s="4" t="s">
        <v>2646</v>
      </c>
      <c r="D966" s="11" t="s">
        <v>5801</v>
      </c>
      <c r="E966" s="19" t="s">
        <v>3855</v>
      </c>
      <c r="F966" s="19" t="s">
        <v>2276</v>
      </c>
      <c r="G966" s="19" t="s">
        <v>2276</v>
      </c>
      <c r="H966" s="19" t="s">
        <v>2276</v>
      </c>
      <c r="I966" s="205">
        <v>105</v>
      </c>
      <c r="J966" s="19" t="s">
        <v>2276</v>
      </c>
      <c r="K966" s="19" t="s">
        <v>2276</v>
      </c>
      <c r="L966" s="19" t="s">
        <v>2276</v>
      </c>
      <c r="M966" s="19" t="s">
        <v>2276</v>
      </c>
      <c r="N966" s="19" t="s">
        <v>2276</v>
      </c>
      <c r="O966" s="19" t="s">
        <v>2276</v>
      </c>
      <c r="P966" s="19" t="s">
        <v>2276</v>
      </c>
      <c r="Q966" s="19" t="s">
        <v>2276</v>
      </c>
      <c r="R966" s="19" t="s">
        <v>2276</v>
      </c>
      <c r="S966" s="19" t="s">
        <v>2276</v>
      </c>
      <c r="T966" s="4" t="s">
        <v>5800</v>
      </c>
    </row>
    <row r="967" spans="1:20" s="206" customFormat="1" ht="36" customHeight="1">
      <c r="A967" s="19" t="s">
        <v>6885</v>
      </c>
      <c r="B967" s="11" t="s">
        <v>2276</v>
      </c>
      <c r="C967" s="4" t="s">
        <v>2646</v>
      </c>
      <c r="D967" s="11" t="s">
        <v>5801</v>
      </c>
      <c r="E967" s="19" t="s">
        <v>3855</v>
      </c>
      <c r="F967" s="19" t="s">
        <v>2276</v>
      </c>
      <c r="G967" s="19" t="s">
        <v>2276</v>
      </c>
      <c r="H967" s="19" t="s">
        <v>2276</v>
      </c>
      <c r="I967" s="205">
        <v>12</v>
      </c>
      <c r="J967" s="19" t="s">
        <v>2276</v>
      </c>
      <c r="K967" s="19" t="s">
        <v>2276</v>
      </c>
      <c r="L967" s="19" t="s">
        <v>2276</v>
      </c>
      <c r="M967" s="19" t="s">
        <v>2276</v>
      </c>
      <c r="N967" s="19" t="s">
        <v>2276</v>
      </c>
      <c r="O967" s="19" t="s">
        <v>2276</v>
      </c>
      <c r="P967" s="19" t="s">
        <v>2276</v>
      </c>
      <c r="Q967" s="19" t="s">
        <v>2276</v>
      </c>
      <c r="R967" s="19" t="s">
        <v>2276</v>
      </c>
      <c r="S967" s="19" t="s">
        <v>2276</v>
      </c>
      <c r="T967" s="4" t="s">
        <v>6939</v>
      </c>
    </row>
    <row r="968" spans="1:20" s="206" customFormat="1" ht="36" customHeight="1">
      <c r="A968" s="19" t="s">
        <v>6886</v>
      </c>
      <c r="B968" s="11" t="s">
        <v>2276</v>
      </c>
      <c r="C968" s="4" t="s">
        <v>2646</v>
      </c>
      <c r="D968" s="19" t="s">
        <v>3855</v>
      </c>
      <c r="E968" s="11" t="s">
        <v>5801</v>
      </c>
      <c r="F968" s="19" t="s">
        <v>2276</v>
      </c>
      <c r="G968" s="19" t="s">
        <v>2276</v>
      </c>
      <c r="H968" s="19" t="s">
        <v>2276</v>
      </c>
      <c r="I968" s="205">
        <v>1</v>
      </c>
      <c r="J968" s="19" t="s">
        <v>2276</v>
      </c>
      <c r="K968" s="19" t="s">
        <v>2276</v>
      </c>
      <c r="L968" s="19" t="s">
        <v>2276</v>
      </c>
      <c r="M968" s="19" t="s">
        <v>2276</v>
      </c>
      <c r="N968" s="19" t="s">
        <v>2276</v>
      </c>
      <c r="O968" s="19" t="s">
        <v>2276</v>
      </c>
      <c r="P968" s="19" t="s">
        <v>2276</v>
      </c>
      <c r="Q968" s="19" t="s">
        <v>2276</v>
      </c>
      <c r="R968" s="19" t="s">
        <v>2276</v>
      </c>
      <c r="S968" s="19" t="s">
        <v>2276</v>
      </c>
      <c r="T968" s="4" t="s">
        <v>5800</v>
      </c>
    </row>
    <row r="969" spans="1:20" s="206" customFormat="1" ht="36" customHeight="1">
      <c r="A969" s="19" t="s">
        <v>6887</v>
      </c>
      <c r="B969" s="11" t="s">
        <v>2276</v>
      </c>
      <c r="C969" s="4" t="s">
        <v>2646</v>
      </c>
      <c r="D969" s="19" t="s">
        <v>3855</v>
      </c>
      <c r="E969" s="11" t="s">
        <v>5801</v>
      </c>
      <c r="F969" s="19" t="s">
        <v>2276</v>
      </c>
      <c r="G969" s="19" t="s">
        <v>2276</v>
      </c>
      <c r="H969" s="19" t="s">
        <v>2276</v>
      </c>
      <c r="I969" s="205">
        <v>9</v>
      </c>
      <c r="J969" s="19" t="s">
        <v>2276</v>
      </c>
      <c r="K969" s="19" t="s">
        <v>2276</v>
      </c>
      <c r="L969" s="19" t="s">
        <v>2276</v>
      </c>
      <c r="M969" s="19" t="s">
        <v>2276</v>
      </c>
      <c r="N969" s="19" t="s">
        <v>2276</v>
      </c>
      <c r="O969" s="75">
        <v>7</v>
      </c>
      <c r="P969" s="75">
        <v>55</v>
      </c>
      <c r="Q969" s="19" t="s">
        <v>2276</v>
      </c>
      <c r="R969" s="19" t="s">
        <v>2276</v>
      </c>
      <c r="S969" s="19" t="s">
        <v>2276</v>
      </c>
      <c r="T969" s="4" t="s">
        <v>5800</v>
      </c>
    </row>
    <row r="970" spans="1:20" s="206" customFormat="1" ht="36" customHeight="1">
      <c r="A970" s="19" t="s">
        <v>6888</v>
      </c>
      <c r="B970" s="11" t="s">
        <v>2276</v>
      </c>
      <c r="C970" s="4" t="s">
        <v>2646</v>
      </c>
      <c r="D970" s="19" t="s">
        <v>3855</v>
      </c>
      <c r="E970" s="11" t="s">
        <v>5801</v>
      </c>
      <c r="F970" s="19" t="s">
        <v>2276</v>
      </c>
      <c r="G970" s="19" t="s">
        <v>2276</v>
      </c>
      <c r="H970" s="19" t="s">
        <v>2276</v>
      </c>
      <c r="I970" s="205">
        <v>8.5</v>
      </c>
      <c r="J970" s="19" t="s">
        <v>2276</v>
      </c>
      <c r="K970" s="19" t="s">
        <v>2276</v>
      </c>
      <c r="L970" s="19" t="s">
        <v>2276</v>
      </c>
      <c r="M970" s="19" t="s">
        <v>2276</v>
      </c>
      <c r="N970" s="19" t="s">
        <v>2276</v>
      </c>
      <c r="O970" s="75">
        <v>52</v>
      </c>
      <c r="P970" s="75">
        <v>39</v>
      </c>
      <c r="Q970" s="19" t="s">
        <v>2276</v>
      </c>
      <c r="R970" s="75">
        <v>9</v>
      </c>
      <c r="S970" s="19" t="s">
        <v>2276</v>
      </c>
      <c r="T970" s="4" t="s">
        <v>5800</v>
      </c>
    </row>
    <row r="971" spans="1:20" s="206" customFormat="1" ht="36" customHeight="1">
      <c r="A971" s="19" t="s">
        <v>6889</v>
      </c>
      <c r="B971" s="11" t="s">
        <v>2276</v>
      </c>
      <c r="C971" s="4" t="s">
        <v>2646</v>
      </c>
      <c r="D971" s="19" t="s">
        <v>3855</v>
      </c>
      <c r="E971" s="11" t="s">
        <v>5801</v>
      </c>
      <c r="F971" s="19" t="s">
        <v>2276</v>
      </c>
      <c r="G971" s="19" t="s">
        <v>2276</v>
      </c>
      <c r="H971" s="19" t="s">
        <v>2276</v>
      </c>
      <c r="I971" s="205">
        <v>21</v>
      </c>
      <c r="J971" s="19" t="s">
        <v>2276</v>
      </c>
      <c r="K971" s="19" t="s">
        <v>2276</v>
      </c>
      <c r="L971" s="19" t="s">
        <v>2276</v>
      </c>
      <c r="M971" s="19" t="s">
        <v>2276</v>
      </c>
      <c r="N971" s="19" t="s">
        <v>2276</v>
      </c>
      <c r="O971" s="19" t="s">
        <v>2276</v>
      </c>
      <c r="P971" s="75">
        <v>1</v>
      </c>
      <c r="Q971" s="75">
        <v>6</v>
      </c>
      <c r="R971" s="75">
        <v>78</v>
      </c>
      <c r="S971" s="19" t="s">
        <v>2276</v>
      </c>
      <c r="T971" s="4" t="s">
        <v>5800</v>
      </c>
    </row>
    <row r="972" spans="1:20" s="206" customFormat="1" ht="36" customHeight="1">
      <c r="A972" s="19" t="s">
        <v>6890</v>
      </c>
      <c r="B972" s="11" t="s">
        <v>2276</v>
      </c>
      <c r="C972" s="4" t="s">
        <v>2646</v>
      </c>
      <c r="D972" s="19" t="s">
        <v>45</v>
      </c>
      <c r="E972" s="11" t="s">
        <v>5801</v>
      </c>
      <c r="F972" s="19" t="s">
        <v>2276</v>
      </c>
      <c r="G972" s="19" t="s">
        <v>2276</v>
      </c>
      <c r="H972" s="19" t="s">
        <v>2276</v>
      </c>
      <c r="I972" s="205">
        <v>25</v>
      </c>
      <c r="J972" s="19" t="s">
        <v>2276</v>
      </c>
      <c r="K972" s="19" t="s">
        <v>2276</v>
      </c>
      <c r="L972" s="19" t="s">
        <v>2276</v>
      </c>
      <c r="M972" s="19" t="s">
        <v>2276</v>
      </c>
      <c r="N972" s="19" t="s">
        <v>2276</v>
      </c>
      <c r="O972" s="75">
        <v>4</v>
      </c>
      <c r="P972" s="75">
        <v>4</v>
      </c>
      <c r="Q972" s="75">
        <v>16</v>
      </c>
      <c r="R972" s="75">
        <v>71</v>
      </c>
      <c r="S972" s="19" t="s">
        <v>2276</v>
      </c>
      <c r="T972" s="4" t="s">
        <v>5800</v>
      </c>
    </row>
    <row r="973" spans="1:20" s="206" customFormat="1" ht="36" customHeight="1">
      <c r="A973" s="19" t="s">
        <v>6891</v>
      </c>
      <c r="B973" s="11" t="s">
        <v>2276</v>
      </c>
      <c r="C973" s="4" t="s">
        <v>2646</v>
      </c>
      <c r="D973" s="19" t="s">
        <v>45</v>
      </c>
      <c r="E973" s="11" t="s">
        <v>5801</v>
      </c>
      <c r="F973" s="19" t="s">
        <v>2276</v>
      </c>
      <c r="G973" s="19" t="s">
        <v>2276</v>
      </c>
      <c r="H973" s="19" t="s">
        <v>2276</v>
      </c>
      <c r="I973" s="205">
        <v>20</v>
      </c>
      <c r="J973" s="19" t="s">
        <v>2276</v>
      </c>
      <c r="K973" s="19" t="s">
        <v>2276</v>
      </c>
      <c r="L973" s="19" t="s">
        <v>2276</v>
      </c>
      <c r="M973" s="19" t="s">
        <v>2276</v>
      </c>
      <c r="N973" s="19" t="s">
        <v>2276</v>
      </c>
      <c r="O973" s="75">
        <v>25</v>
      </c>
      <c r="P973" s="75">
        <v>1</v>
      </c>
      <c r="Q973" s="75">
        <v>19</v>
      </c>
      <c r="R973" s="75">
        <v>52</v>
      </c>
      <c r="S973" s="19" t="s">
        <v>2276</v>
      </c>
      <c r="T973" s="4" t="s">
        <v>5800</v>
      </c>
    </row>
    <row r="974" spans="1:20" s="206" customFormat="1" ht="36" customHeight="1">
      <c r="A974" s="19" t="s">
        <v>6892</v>
      </c>
      <c r="B974" s="11" t="s">
        <v>2276</v>
      </c>
      <c r="C974" s="4" t="s">
        <v>2646</v>
      </c>
      <c r="D974" s="11" t="s">
        <v>5801</v>
      </c>
      <c r="E974" s="19" t="s">
        <v>45</v>
      </c>
      <c r="F974" s="19" t="s">
        <v>2276</v>
      </c>
      <c r="G974" s="19" t="s">
        <v>2276</v>
      </c>
      <c r="H974" s="19" t="s">
        <v>2276</v>
      </c>
      <c r="I974" s="205">
        <v>15</v>
      </c>
      <c r="J974" s="19" t="s">
        <v>2276</v>
      </c>
      <c r="K974" s="19" t="s">
        <v>2276</v>
      </c>
      <c r="L974" s="19" t="s">
        <v>2276</v>
      </c>
      <c r="M974" s="19" t="s">
        <v>2276</v>
      </c>
      <c r="N974" s="19" t="s">
        <v>2276</v>
      </c>
      <c r="O974" s="19" t="s">
        <v>2276</v>
      </c>
      <c r="P974" s="19" t="s">
        <v>2276</v>
      </c>
      <c r="Q974" s="19" t="s">
        <v>2276</v>
      </c>
      <c r="R974" s="19" t="s">
        <v>2276</v>
      </c>
      <c r="S974" s="19" t="s">
        <v>2276</v>
      </c>
      <c r="T974" s="4" t="s">
        <v>5800</v>
      </c>
    </row>
    <row r="975" spans="1:20" s="206" customFormat="1" ht="36" customHeight="1">
      <c r="A975" s="19" t="s">
        <v>6893</v>
      </c>
      <c r="B975" s="11" t="s">
        <v>2276</v>
      </c>
      <c r="C975" s="4" t="s">
        <v>2646</v>
      </c>
      <c r="D975" s="19" t="s">
        <v>2650</v>
      </c>
      <c r="E975" s="11" t="s">
        <v>5801</v>
      </c>
      <c r="F975" s="4" t="s">
        <v>2276</v>
      </c>
      <c r="G975" s="19" t="s">
        <v>2276</v>
      </c>
      <c r="H975" s="19" t="s">
        <v>2276</v>
      </c>
      <c r="I975" s="205">
        <v>2</v>
      </c>
      <c r="J975" s="19" t="s">
        <v>2276</v>
      </c>
      <c r="K975" s="19" t="s">
        <v>2276</v>
      </c>
      <c r="L975" s="19" t="s">
        <v>2276</v>
      </c>
      <c r="M975" s="19" t="s">
        <v>2276</v>
      </c>
      <c r="N975" s="19" t="s">
        <v>2276</v>
      </c>
      <c r="O975" s="75">
        <v>11</v>
      </c>
      <c r="P975" s="75">
        <v>28</v>
      </c>
      <c r="Q975" s="75">
        <v>18</v>
      </c>
      <c r="R975" s="75">
        <v>48</v>
      </c>
      <c r="S975" s="19" t="s">
        <v>2276</v>
      </c>
      <c r="T975" s="4" t="s">
        <v>6940</v>
      </c>
    </row>
    <row r="976" spans="1:20" s="206" customFormat="1" ht="36" customHeight="1">
      <c r="A976" s="19" t="s">
        <v>6894</v>
      </c>
      <c r="B976" s="11" t="s">
        <v>2276</v>
      </c>
      <c r="C976" s="4" t="s">
        <v>2646</v>
      </c>
      <c r="D976" s="19" t="s">
        <v>45</v>
      </c>
      <c r="E976" s="11" t="s">
        <v>5801</v>
      </c>
      <c r="F976" s="4" t="s">
        <v>2276</v>
      </c>
      <c r="G976" s="19" t="s">
        <v>2276</v>
      </c>
      <c r="H976" s="19" t="s">
        <v>2276</v>
      </c>
      <c r="I976" s="205">
        <v>12</v>
      </c>
      <c r="J976" s="19" t="s">
        <v>2276</v>
      </c>
      <c r="K976" s="19" t="s">
        <v>2276</v>
      </c>
      <c r="L976" s="19" t="s">
        <v>2276</v>
      </c>
      <c r="M976" s="19" t="s">
        <v>2276</v>
      </c>
      <c r="N976" s="19" t="s">
        <v>2276</v>
      </c>
      <c r="O976" s="75">
        <v>57</v>
      </c>
      <c r="P976" s="75">
        <v>2</v>
      </c>
      <c r="Q976" s="19" t="s">
        <v>2276</v>
      </c>
      <c r="R976" s="75">
        <v>33</v>
      </c>
      <c r="S976" s="19" t="s">
        <v>2276</v>
      </c>
      <c r="T976" s="4" t="s">
        <v>5800</v>
      </c>
    </row>
    <row r="977" spans="1:20" s="206" customFormat="1" ht="36" customHeight="1">
      <c r="A977" s="19" t="s">
        <v>6895</v>
      </c>
      <c r="B977" s="11" t="s">
        <v>2276</v>
      </c>
      <c r="C977" s="4" t="s">
        <v>2646</v>
      </c>
      <c r="D977" s="19" t="s">
        <v>45</v>
      </c>
      <c r="E977" s="11" t="s">
        <v>5801</v>
      </c>
      <c r="F977" s="4" t="s">
        <v>2276</v>
      </c>
      <c r="G977" s="19" t="s">
        <v>2276</v>
      </c>
      <c r="H977" s="19" t="s">
        <v>2276</v>
      </c>
      <c r="I977" s="205">
        <v>16</v>
      </c>
      <c r="J977" s="19" t="s">
        <v>2276</v>
      </c>
      <c r="K977" s="19" t="s">
        <v>2276</v>
      </c>
      <c r="L977" s="19" t="s">
        <v>2276</v>
      </c>
      <c r="M977" s="19" t="s">
        <v>2276</v>
      </c>
      <c r="N977" s="19" t="s">
        <v>2276</v>
      </c>
      <c r="O977" s="75">
        <v>46</v>
      </c>
      <c r="P977" s="75">
        <v>1</v>
      </c>
      <c r="Q977" s="19" t="s">
        <v>2276</v>
      </c>
      <c r="R977" s="19" t="s">
        <v>2276</v>
      </c>
      <c r="S977" s="19" t="s">
        <v>2276</v>
      </c>
      <c r="T977" s="4" t="s">
        <v>5800</v>
      </c>
    </row>
    <row r="978" spans="1:20" s="206" customFormat="1" ht="36" customHeight="1">
      <c r="A978" s="19" t="s">
        <v>6896</v>
      </c>
      <c r="B978" s="11" t="s">
        <v>2276</v>
      </c>
      <c r="C978" s="4" t="s">
        <v>2646</v>
      </c>
      <c r="D978" s="11" t="s">
        <v>5801</v>
      </c>
      <c r="E978" s="19" t="s">
        <v>3855</v>
      </c>
      <c r="F978" s="4" t="s">
        <v>2276</v>
      </c>
      <c r="G978" s="19" t="s">
        <v>2276</v>
      </c>
      <c r="H978" s="19" t="s">
        <v>2276</v>
      </c>
      <c r="I978" s="205">
        <v>22</v>
      </c>
      <c r="J978" s="19" t="s">
        <v>2276</v>
      </c>
      <c r="K978" s="19" t="s">
        <v>2276</v>
      </c>
      <c r="L978" s="19" t="s">
        <v>2276</v>
      </c>
      <c r="M978" s="19" t="s">
        <v>2276</v>
      </c>
      <c r="N978" s="19" t="s">
        <v>2276</v>
      </c>
      <c r="O978" s="75">
        <f>33/2</f>
        <v>16.5</v>
      </c>
      <c r="P978" s="75">
        <f>33/2</f>
        <v>16.5</v>
      </c>
      <c r="Q978" s="75">
        <v>51</v>
      </c>
      <c r="R978" s="75">
        <v>15</v>
      </c>
      <c r="S978" s="19" t="s">
        <v>2276</v>
      </c>
      <c r="T978" s="4" t="s">
        <v>5800</v>
      </c>
    </row>
    <row r="979" spans="1:20" s="206" customFormat="1" ht="36" customHeight="1">
      <c r="A979" s="19" t="s">
        <v>6897</v>
      </c>
      <c r="B979" s="11" t="s">
        <v>2276</v>
      </c>
      <c r="C979" s="4" t="s">
        <v>2646</v>
      </c>
      <c r="D979" s="11" t="s">
        <v>5801</v>
      </c>
      <c r="E979" s="19" t="s">
        <v>3855</v>
      </c>
      <c r="F979" s="4" t="s">
        <v>2276</v>
      </c>
      <c r="G979" s="19" t="s">
        <v>2276</v>
      </c>
      <c r="H979" s="19" t="s">
        <v>2276</v>
      </c>
      <c r="I979" s="205">
        <v>10</v>
      </c>
      <c r="J979" s="19" t="s">
        <v>2276</v>
      </c>
      <c r="K979" s="19" t="s">
        <v>2276</v>
      </c>
      <c r="L979" s="19" t="s">
        <v>2276</v>
      </c>
      <c r="M979" s="19" t="s">
        <v>2276</v>
      </c>
      <c r="N979" s="19" t="s">
        <v>2276</v>
      </c>
      <c r="P979" s="75">
        <f>30/2</f>
        <v>15</v>
      </c>
      <c r="Q979" s="75">
        <v>40</v>
      </c>
      <c r="R979" s="75">
        <v>24</v>
      </c>
      <c r="S979" s="19" t="s">
        <v>2276</v>
      </c>
      <c r="T979" s="4" t="s">
        <v>5800</v>
      </c>
    </row>
    <row r="980" spans="1:20" s="206" customFormat="1" ht="36" customHeight="1">
      <c r="A980" s="19" t="s">
        <v>6898</v>
      </c>
      <c r="B980" s="11" t="s">
        <v>2276</v>
      </c>
      <c r="C980" s="4" t="s">
        <v>2646</v>
      </c>
      <c r="D980" s="11" t="s">
        <v>5801</v>
      </c>
      <c r="E980" s="19" t="s">
        <v>3855</v>
      </c>
      <c r="F980" s="4" t="s">
        <v>2276</v>
      </c>
      <c r="G980" s="19" t="s">
        <v>2276</v>
      </c>
      <c r="H980" s="19" t="s">
        <v>2276</v>
      </c>
      <c r="I980" s="205">
        <v>5</v>
      </c>
      <c r="J980" s="19" t="s">
        <v>2276</v>
      </c>
      <c r="K980" s="19" t="s">
        <v>2276</v>
      </c>
      <c r="L980" s="19" t="s">
        <v>2276</v>
      </c>
      <c r="M980" s="19" t="s">
        <v>2276</v>
      </c>
      <c r="N980" s="19" t="s">
        <v>2276</v>
      </c>
      <c r="O980" s="75">
        <v>16</v>
      </c>
      <c r="P980" s="75">
        <v>6</v>
      </c>
      <c r="Q980" s="75">
        <v>54</v>
      </c>
      <c r="R980" s="75">
        <v>22</v>
      </c>
      <c r="S980" s="19" t="s">
        <v>2276</v>
      </c>
      <c r="T980" s="4" t="s">
        <v>5800</v>
      </c>
    </row>
    <row r="981" spans="1:20" s="206" customFormat="1" ht="36" customHeight="1">
      <c r="A981" s="19" t="s">
        <v>6899</v>
      </c>
      <c r="B981" s="11" t="s">
        <v>2276</v>
      </c>
      <c r="C981" s="4" t="s">
        <v>2646</v>
      </c>
      <c r="D981" s="11" t="s">
        <v>5801</v>
      </c>
      <c r="E981" s="19" t="s">
        <v>45</v>
      </c>
      <c r="F981" s="4" t="s">
        <v>2276</v>
      </c>
      <c r="G981" s="19" t="s">
        <v>2276</v>
      </c>
      <c r="H981" s="19" t="s">
        <v>2276</v>
      </c>
      <c r="I981" s="205">
        <v>25</v>
      </c>
      <c r="J981" s="19" t="s">
        <v>2276</v>
      </c>
      <c r="K981" s="19" t="s">
        <v>2276</v>
      </c>
      <c r="L981" s="19" t="s">
        <v>2276</v>
      </c>
      <c r="M981" s="19" t="s">
        <v>2276</v>
      </c>
      <c r="N981" s="19" t="s">
        <v>2276</v>
      </c>
      <c r="O981" s="75">
        <v>12</v>
      </c>
      <c r="P981" s="75">
        <v>6</v>
      </c>
      <c r="Q981" s="75">
        <v>5</v>
      </c>
      <c r="R981" s="75">
        <v>50</v>
      </c>
      <c r="S981" s="19" t="s">
        <v>2276</v>
      </c>
      <c r="T981" s="4" t="s">
        <v>5800</v>
      </c>
    </row>
    <row r="982" spans="1:20" s="206" customFormat="1" ht="36" customHeight="1">
      <c r="A982" s="19" t="s">
        <v>6900</v>
      </c>
      <c r="B982" s="11" t="s">
        <v>2276</v>
      </c>
      <c r="C982" s="4" t="s">
        <v>2646</v>
      </c>
      <c r="D982" s="11" t="s">
        <v>5801</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5">
        <v>40</v>
      </c>
      <c r="S982" s="19" t="s">
        <v>2276</v>
      </c>
      <c r="T982" s="4" t="s">
        <v>5800</v>
      </c>
    </row>
    <row r="983" spans="1:20" s="206" customFormat="1" ht="36" customHeight="1">
      <c r="A983" s="19" t="s">
        <v>6901</v>
      </c>
      <c r="B983" s="11" t="s">
        <v>2276</v>
      </c>
      <c r="C983" s="4" t="s">
        <v>2646</v>
      </c>
      <c r="D983" s="19" t="s">
        <v>45</v>
      </c>
      <c r="E983" s="11" t="s">
        <v>5801</v>
      </c>
      <c r="F983" s="4" t="s">
        <v>2276</v>
      </c>
      <c r="G983" s="19" t="s">
        <v>2276</v>
      </c>
      <c r="H983" s="19" t="s">
        <v>2276</v>
      </c>
      <c r="I983" s="205">
        <v>16</v>
      </c>
      <c r="J983" s="19" t="s">
        <v>2276</v>
      </c>
      <c r="K983" s="19" t="s">
        <v>2276</v>
      </c>
      <c r="L983" s="19" t="s">
        <v>2276</v>
      </c>
      <c r="M983" s="19" t="s">
        <v>2276</v>
      </c>
      <c r="N983" s="19" t="s">
        <v>2276</v>
      </c>
      <c r="O983" s="75">
        <f>13/2</f>
        <v>6.5</v>
      </c>
      <c r="P983" s="75">
        <f>13/2</f>
        <v>6.5</v>
      </c>
      <c r="Q983" s="75">
        <v>15</v>
      </c>
      <c r="R983" s="75">
        <v>33</v>
      </c>
      <c r="S983" s="19" t="s">
        <v>2276</v>
      </c>
      <c r="T983" s="4" t="s">
        <v>5800</v>
      </c>
    </row>
    <row r="984" spans="1:20" s="206" customFormat="1" ht="36" customHeight="1">
      <c r="A984" s="19" t="s">
        <v>6902</v>
      </c>
      <c r="B984" s="11" t="s">
        <v>2276</v>
      </c>
      <c r="C984" s="4" t="s">
        <v>2646</v>
      </c>
      <c r="D984" s="19" t="s">
        <v>45</v>
      </c>
      <c r="E984" s="11" t="s">
        <v>5801</v>
      </c>
      <c r="F984" s="4" t="s">
        <v>2276</v>
      </c>
      <c r="G984" s="19" t="s">
        <v>2276</v>
      </c>
      <c r="H984" s="19" t="s">
        <v>2276</v>
      </c>
      <c r="I984" s="19" t="s">
        <v>2276</v>
      </c>
      <c r="J984" s="19" t="s">
        <v>2276</v>
      </c>
      <c r="K984" s="19" t="s">
        <v>2276</v>
      </c>
      <c r="L984" s="19" t="s">
        <v>2276</v>
      </c>
      <c r="M984" s="19" t="s">
        <v>2276</v>
      </c>
      <c r="N984" s="19" t="s">
        <v>2276</v>
      </c>
      <c r="O984" s="75">
        <f>72/2</f>
        <v>36</v>
      </c>
      <c r="P984" s="75">
        <f>72/2</f>
        <v>36</v>
      </c>
      <c r="Q984" s="19" t="s">
        <v>2276</v>
      </c>
      <c r="R984" s="19" t="s">
        <v>2276</v>
      </c>
      <c r="S984" s="19" t="s">
        <v>2276</v>
      </c>
      <c r="T984" s="4" t="s">
        <v>5800</v>
      </c>
    </row>
    <row r="985" spans="1:20" s="206" customFormat="1" ht="36" customHeight="1">
      <c r="A985" s="19" t="s">
        <v>6903</v>
      </c>
      <c r="B985" s="11" t="s">
        <v>2276</v>
      </c>
      <c r="C985" s="4" t="s">
        <v>2646</v>
      </c>
      <c r="D985" s="19" t="s">
        <v>3855</v>
      </c>
      <c r="E985" s="11" t="s">
        <v>5801</v>
      </c>
      <c r="F985" s="4" t="s">
        <v>2276</v>
      </c>
      <c r="G985" s="19" t="s">
        <v>2276</v>
      </c>
      <c r="H985" s="19" t="s">
        <v>2276</v>
      </c>
      <c r="I985" s="205">
        <v>34</v>
      </c>
      <c r="J985" s="19" t="s">
        <v>2276</v>
      </c>
      <c r="K985" s="19" t="s">
        <v>2276</v>
      </c>
      <c r="L985" s="19" t="s">
        <v>2276</v>
      </c>
      <c r="M985" s="19" t="s">
        <v>2276</v>
      </c>
      <c r="N985" s="19" t="s">
        <v>2276</v>
      </c>
      <c r="O985" s="75">
        <f>30/2</f>
        <v>15</v>
      </c>
      <c r="P985" s="75">
        <f>30/2</f>
        <v>15</v>
      </c>
      <c r="Q985" s="75">
        <v>2</v>
      </c>
      <c r="R985" s="75">
        <v>54</v>
      </c>
      <c r="S985" s="19" t="s">
        <v>2276</v>
      </c>
      <c r="T985" s="4" t="s">
        <v>5800</v>
      </c>
    </row>
    <row r="986" spans="1:20" s="206" customFormat="1" ht="36" customHeight="1">
      <c r="A986" s="19" t="s">
        <v>6904</v>
      </c>
      <c r="B986" s="11" t="s">
        <v>2276</v>
      </c>
      <c r="C986" s="4" t="s">
        <v>2646</v>
      </c>
      <c r="D986" s="11" t="s">
        <v>5801</v>
      </c>
      <c r="E986" s="19" t="s">
        <v>45</v>
      </c>
      <c r="F986" s="4" t="s">
        <v>2276</v>
      </c>
      <c r="G986" s="19" t="s">
        <v>2276</v>
      </c>
      <c r="H986" s="19" t="s">
        <v>2276</v>
      </c>
      <c r="I986" s="205">
        <v>20</v>
      </c>
      <c r="J986" s="19" t="s">
        <v>2276</v>
      </c>
      <c r="K986" s="19" t="s">
        <v>2276</v>
      </c>
      <c r="L986" s="19" t="s">
        <v>2276</v>
      </c>
      <c r="M986" s="19" t="s">
        <v>2276</v>
      </c>
      <c r="N986" s="19" t="s">
        <v>2276</v>
      </c>
      <c r="O986" s="19" t="s">
        <v>2276</v>
      </c>
      <c r="P986" s="19" t="s">
        <v>2276</v>
      </c>
      <c r="Q986" s="19" t="s">
        <v>2276</v>
      </c>
      <c r="R986" s="19" t="s">
        <v>2276</v>
      </c>
      <c r="S986" s="19" t="s">
        <v>2276</v>
      </c>
      <c r="T986" s="4" t="s">
        <v>5800</v>
      </c>
    </row>
    <row r="987" spans="1:20" s="206" customFormat="1" ht="36" customHeight="1">
      <c r="A987" s="19" t="s">
        <v>6905</v>
      </c>
      <c r="B987" s="11" t="s">
        <v>2276</v>
      </c>
      <c r="C987" s="4" t="s">
        <v>2646</v>
      </c>
      <c r="D987" s="11" t="s">
        <v>5801</v>
      </c>
      <c r="E987" s="19" t="s">
        <v>45</v>
      </c>
      <c r="F987" s="4" t="s">
        <v>2276</v>
      </c>
      <c r="G987" s="19" t="s">
        <v>2276</v>
      </c>
      <c r="H987" s="19" t="s">
        <v>2276</v>
      </c>
      <c r="I987" s="205">
        <v>30</v>
      </c>
      <c r="J987" s="19" t="s">
        <v>2276</v>
      </c>
      <c r="K987" s="19" t="s">
        <v>2276</v>
      </c>
      <c r="L987" s="19" t="s">
        <v>2276</v>
      </c>
      <c r="M987" s="19" t="s">
        <v>2276</v>
      </c>
      <c r="N987" s="19" t="s">
        <v>2276</v>
      </c>
      <c r="O987" s="19" t="s">
        <v>2276</v>
      </c>
      <c r="P987" s="19" t="s">
        <v>2276</v>
      </c>
      <c r="Q987" s="19" t="s">
        <v>2276</v>
      </c>
      <c r="R987" s="75">
        <v>39</v>
      </c>
      <c r="S987" s="19" t="s">
        <v>2276</v>
      </c>
      <c r="T987" s="4" t="s">
        <v>5800</v>
      </c>
    </row>
    <row r="988" spans="1:20" s="60" customFormat="1" ht="36" customHeight="1">
      <c r="A988" s="48" t="s">
        <v>6182</v>
      </c>
      <c r="B988" s="11" t="s">
        <v>2276</v>
      </c>
      <c r="C988" s="4" t="s">
        <v>2646</v>
      </c>
      <c r="D988" s="4" t="s">
        <v>5801</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5">
        <f>100*882.88/'Record info'!K988</f>
        <v>3.6634024896265562</v>
      </c>
      <c r="R988" s="4" t="s">
        <v>2276</v>
      </c>
      <c r="S988" s="4" t="s">
        <v>2276</v>
      </c>
      <c r="T988" s="4" t="s">
        <v>5800</v>
      </c>
    </row>
    <row r="989" spans="1:20" s="60" customFormat="1" ht="36" customHeight="1">
      <c r="A989" s="48" t="s">
        <v>6183</v>
      </c>
      <c r="B989" s="11" t="s">
        <v>2276</v>
      </c>
      <c r="C989" s="4" t="s">
        <v>2646</v>
      </c>
      <c r="D989" s="4" t="s">
        <v>2653</v>
      </c>
      <c r="E989" s="4" t="s">
        <v>3855</v>
      </c>
      <c r="F989" s="11" t="s">
        <v>5801</v>
      </c>
      <c r="G989" s="4" t="s">
        <v>2652</v>
      </c>
      <c r="H989" s="4" t="s">
        <v>2276</v>
      </c>
      <c r="I989" s="4" t="s">
        <v>2276</v>
      </c>
      <c r="J989" s="4" t="s">
        <v>2276</v>
      </c>
      <c r="K989" s="4" t="s">
        <v>2276</v>
      </c>
      <c r="L989" s="4" t="s">
        <v>2276</v>
      </c>
      <c r="M989" s="4" t="s">
        <v>2276</v>
      </c>
      <c r="N989" s="4" t="s">
        <v>2276</v>
      </c>
      <c r="O989" s="4" t="s">
        <v>2276</v>
      </c>
      <c r="P989" s="4" t="s">
        <v>2276</v>
      </c>
      <c r="Q989" s="194">
        <v>33</v>
      </c>
      <c r="R989" s="4" t="s">
        <v>2276</v>
      </c>
      <c r="S989" s="4" t="s">
        <v>2276</v>
      </c>
      <c r="T989" s="4"/>
    </row>
    <row r="990" spans="1:20" s="60" customFormat="1" ht="36" customHeight="1">
      <c r="A990" s="48" t="s">
        <v>6184</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7045</v>
      </c>
    </row>
    <row r="991" spans="1:20" s="206" customFormat="1" ht="36" customHeight="1">
      <c r="A991" s="48" t="s">
        <v>6185</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7045</v>
      </c>
    </row>
    <row r="992" spans="1:20" s="206" customFormat="1" ht="36" customHeight="1">
      <c r="A992" s="48" t="s">
        <v>6186</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7045</v>
      </c>
    </row>
    <row r="993" spans="1:20" s="206" customFormat="1" ht="36" customHeight="1">
      <c r="A993" s="48" t="s">
        <v>6973</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7045</v>
      </c>
    </row>
    <row r="994" spans="1:20" s="206" customFormat="1" ht="36" customHeight="1">
      <c r="A994" s="48" t="s">
        <v>6974</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7045</v>
      </c>
    </row>
    <row r="995" spans="1:20" s="206" customFormat="1" ht="36" customHeight="1">
      <c r="A995" s="48" t="s">
        <v>6975</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7045</v>
      </c>
    </row>
    <row r="996" spans="1:20" s="206" customFormat="1" ht="36" customHeight="1">
      <c r="A996" s="48" t="s">
        <v>7000</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7045</v>
      </c>
    </row>
    <row r="997" spans="1:20" ht="37.5" customHeight="1">
      <c r="A997" s="4" t="s">
        <v>6378</v>
      </c>
      <c r="B997" s="4" t="s">
        <v>70</v>
      </c>
      <c r="C997" s="4" t="s">
        <v>12</v>
      </c>
      <c r="D997" s="4" t="s">
        <v>396</v>
      </c>
      <c r="E997" s="4" t="s">
        <v>397</v>
      </c>
      <c r="F997" s="4" t="s">
        <v>2276</v>
      </c>
      <c r="G997" s="4" t="s">
        <v>2276</v>
      </c>
      <c r="H997" s="4">
        <v>2.46</v>
      </c>
      <c r="I997" s="4">
        <v>5.03</v>
      </c>
      <c r="J997" s="4"/>
      <c r="K997" s="4" t="s">
        <v>537</v>
      </c>
      <c r="L997" s="4" t="s">
        <v>2276</v>
      </c>
      <c r="M997" s="4" t="s">
        <v>2276</v>
      </c>
      <c r="N997" s="4" t="s">
        <v>2276</v>
      </c>
      <c r="O997" s="4" t="s">
        <v>2276</v>
      </c>
      <c r="P997" s="4" t="s">
        <v>2276</v>
      </c>
      <c r="Q997" s="4" t="s">
        <v>2276</v>
      </c>
      <c r="R997" s="4" t="s">
        <v>2276</v>
      </c>
      <c r="S997" s="4" t="s">
        <v>2276</v>
      </c>
      <c r="T997" s="4" t="s">
        <v>6365</v>
      </c>
    </row>
    <row r="998" spans="1:20" ht="29">
      <c r="A998" s="4" t="s">
        <v>6379</v>
      </c>
      <c r="B998" s="4" t="s">
        <v>70</v>
      </c>
      <c r="C998" s="4" t="s">
        <v>12</v>
      </c>
      <c r="D998" s="4" t="s">
        <v>396</v>
      </c>
      <c r="E998" s="4" t="s">
        <v>397</v>
      </c>
      <c r="F998" s="4" t="s">
        <v>2276</v>
      </c>
      <c r="G998" s="4" t="s">
        <v>2276</v>
      </c>
      <c r="H998" s="4">
        <v>2.46</v>
      </c>
      <c r="I998" s="4">
        <v>5.03</v>
      </c>
      <c r="J998" s="4"/>
      <c r="K998" s="4" t="s">
        <v>537</v>
      </c>
      <c r="L998" s="4" t="s">
        <v>2276</v>
      </c>
      <c r="M998" s="4" t="s">
        <v>2276</v>
      </c>
      <c r="N998" s="4" t="s">
        <v>2276</v>
      </c>
      <c r="O998" s="4" t="s">
        <v>2276</v>
      </c>
      <c r="P998" s="4" t="s">
        <v>2276</v>
      </c>
      <c r="Q998" s="4" t="s">
        <v>2276</v>
      </c>
      <c r="R998" s="4" t="s">
        <v>2276</v>
      </c>
      <c r="S998" s="4" t="s">
        <v>2276</v>
      </c>
      <c r="T998" s="4" t="s">
        <v>6365</v>
      </c>
    </row>
    <row r="999" spans="1:20" ht="29">
      <c r="A999" s="4" t="s">
        <v>6380</v>
      </c>
      <c r="B999" s="4" t="s">
        <v>70</v>
      </c>
      <c r="C999" s="4" t="s">
        <v>12</v>
      </c>
      <c r="D999" s="4" t="s">
        <v>396</v>
      </c>
      <c r="E999" s="4" t="s">
        <v>397</v>
      </c>
      <c r="F999" s="4" t="s">
        <v>2276</v>
      </c>
      <c r="G999" s="4" t="s">
        <v>2276</v>
      </c>
      <c r="H999" s="4">
        <v>2.46</v>
      </c>
      <c r="I999" s="4">
        <v>5.03</v>
      </c>
      <c r="J999" s="4"/>
      <c r="K999" s="4" t="s">
        <v>537</v>
      </c>
      <c r="L999" s="4" t="s">
        <v>2276</v>
      </c>
      <c r="M999" s="4" t="s">
        <v>2276</v>
      </c>
      <c r="N999" s="4" t="s">
        <v>2276</v>
      </c>
      <c r="O999" s="4" t="s">
        <v>2276</v>
      </c>
      <c r="P999" s="4" t="s">
        <v>2276</v>
      </c>
      <c r="Q999" s="4" t="s">
        <v>2276</v>
      </c>
      <c r="R999" s="4" t="s">
        <v>2276</v>
      </c>
      <c r="S999" s="4" t="s">
        <v>2276</v>
      </c>
      <c r="T999" s="4" t="s">
        <v>6365</v>
      </c>
    </row>
    <row r="1000" spans="1:20" ht="29">
      <c r="A1000" s="193" t="s">
        <v>6381</v>
      </c>
      <c r="B1000" s="4" t="s">
        <v>70</v>
      </c>
      <c r="C1000" s="4" t="s">
        <v>12</v>
      </c>
      <c r="D1000" s="4" t="s">
        <v>396</v>
      </c>
      <c r="E1000" s="4" t="s">
        <v>397</v>
      </c>
      <c r="F1000" s="4" t="s">
        <v>2276</v>
      </c>
      <c r="G1000" s="4" t="s">
        <v>2276</v>
      </c>
      <c r="H1000" s="203">
        <v>1.4</v>
      </c>
      <c r="I1000" s="4">
        <v>3.2</v>
      </c>
      <c r="J1000" s="4"/>
      <c r="K1000" s="4" t="s">
        <v>537</v>
      </c>
      <c r="L1000" s="4" t="s">
        <v>2276</v>
      </c>
      <c r="M1000" s="4" t="s">
        <v>2276</v>
      </c>
      <c r="N1000" s="4" t="s">
        <v>2276</v>
      </c>
      <c r="O1000" s="4" t="s">
        <v>2276</v>
      </c>
      <c r="P1000" s="4" t="s">
        <v>2276</v>
      </c>
      <c r="Q1000" s="4" t="s">
        <v>2276</v>
      </c>
      <c r="R1000" s="4" t="s">
        <v>2276</v>
      </c>
      <c r="S1000" s="4" t="s">
        <v>2276</v>
      </c>
      <c r="T1000" s="4" t="s">
        <v>6366</v>
      </c>
    </row>
    <row r="1001" spans="1:20" ht="29">
      <c r="A1001" s="4" t="s">
        <v>6336</v>
      </c>
      <c r="B1001" s="4" t="s">
        <v>70</v>
      </c>
      <c r="C1001" s="4" t="s">
        <v>12</v>
      </c>
      <c r="D1001" s="4" t="s">
        <v>396</v>
      </c>
      <c r="E1001" s="4" t="s">
        <v>397</v>
      </c>
      <c r="F1001" s="4" t="s">
        <v>2276</v>
      </c>
      <c r="G1001" s="4" t="s">
        <v>2276</v>
      </c>
      <c r="H1001" s="203">
        <f>5.3/I1001</f>
        <v>1.892857142857143</v>
      </c>
      <c r="I1001" s="4">
        <v>2.8</v>
      </c>
      <c r="J1001" s="4"/>
      <c r="K1001" s="4" t="s">
        <v>537</v>
      </c>
      <c r="L1001" s="4" t="s">
        <v>2276</v>
      </c>
      <c r="M1001" s="4" t="s">
        <v>2276</v>
      </c>
      <c r="N1001" s="4" t="s">
        <v>2276</v>
      </c>
      <c r="O1001" s="4" t="s">
        <v>2276</v>
      </c>
      <c r="P1001" s="4" t="s">
        <v>2276</v>
      </c>
      <c r="Q1001" s="4" t="s">
        <v>2276</v>
      </c>
      <c r="R1001" s="4" t="s">
        <v>2276</v>
      </c>
      <c r="S1001" s="4" t="s">
        <v>2276</v>
      </c>
      <c r="T1001" s="4" t="s">
        <v>6367</v>
      </c>
    </row>
    <row r="1002" spans="1:20" ht="29">
      <c r="A1002" s="4" t="s">
        <v>6337</v>
      </c>
      <c r="B1002" s="4" t="s">
        <v>70</v>
      </c>
      <c r="C1002" s="4" t="s">
        <v>12</v>
      </c>
      <c r="D1002" s="4" t="s">
        <v>396</v>
      </c>
      <c r="E1002" s="4" t="s">
        <v>397</v>
      </c>
      <c r="F1002" s="4" t="s">
        <v>2276</v>
      </c>
      <c r="G1002" s="4" t="s">
        <v>2276</v>
      </c>
      <c r="H1002" s="203">
        <f>4.6/I1002</f>
        <v>1</v>
      </c>
      <c r="I1002" s="4">
        <v>4.5999999999999996</v>
      </c>
      <c r="J1002" s="4"/>
      <c r="K1002" s="4" t="s">
        <v>537</v>
      </c>
      <c r="L1002" s="4" t="s">
        <v>2276</v>
      </c>
      <c r="M1002" s="4" t="s">
        <v>2276</v>
      </c>
      <c r="N1002" s="4" t="s">
        <v>2276</v>
      </c>
      <c r="O1002" s="4" t="s">
        <v>2276</v>
      </c>
      <c r="P1002" s="4" t="s">
        <v>2276</v>
      </c>
      <c r="Q1002" s="4" t="s">
        <v>2276</v>
      </c>
      <c r="R1002" s="4" t="s">
        <v>2276</v>
      </c>
      <c r="S1002" s="4" t="s">
        <v>2276</v>
      </c>
      <c r="T1002" s="4" t="s">
        <v>6367</v>
      </c>
    </row>
    <row r="1003" spans="1:20" ht="29">
      <c r="A1003" s="4" t="s">
        <v>6338</v>
      </c>
      <c r="B1003" s="4" t="s">
        <v>70</v>
      </c>
      <c r="C1003" s="4" t="s">
        <v>12</v>
      </c>
      <c r="D1003" s="4" t="s">
        <v>396</v>
      </c>
      <c r="E1003" s="4" t="s">
        <v>397</v>
      </c>
      <c r="F1003" s="4" t="s">
        <v>2276</v>
      </c>
      <c r="G1003" s="4" t="s">
        <v>2276</v>
      </c>
      <c r="H1003" s="203">
        <f>3.8/I1003</f>
        <v>1.4074074074074072</v>
      </c>
      <c r="I1003" s="4">
        <v>2.7</v>
      </c>
      <c r="J1003" s="4"/>
      <c r="K1003" s="4" t="s">
        <v>537</v>
      </c>
      <c r="L1003" s="4" t="s">
        <v>2276</v>
      </c>
      <c r="M1003" s="4" t="s">
        <v>2276</v>
      </c>
      <c r="N1003" s="4" t="s">
        <v>2276</v>
      </c>
      <c r="O1003" s="4" t="s">
        <v>2276</v>
      </c>
      <c r="P1003" s="4" t="s">
        <v>2276</v>
      </c>
      <c r="Q1003" s="4" t="s">
        <v>2276</v>
      </c>
      <c r="R1003" s="4" t="s">
        <v>2276</v>
      </c>
      <c r="S1003" s="4" t="s">
        <v>2276</v>
      </c>
      <c r="T1003" s="4" t="s">
        <v>6367</v>
      </c>
    </row>
    <row r="1004" spans="1:20" ht="29">
      <c r="A1004" s="4" t="s">
        <v>6339</v>
      </c>
      <c r="B1004" s="4" t="s">
        <v>70</v>
      </c>
      <c r="C1004" s="4" t="s">
        <v>12</v>
      </c>
      <c r="D1004" s="4" t="s">
        <v>396</v>
      </c>
      <c r="E1004" s="4" t="s">
        <v>397</v>
      </c>
      <c r="F1004" s="4" t="s">
        <v>2276</v>
      </c>
      <c r="G1004" s="4" t="s">
        <v>2276</v>
      </c>
      <c r="H1004" s="203">
        <f>4.2/I1004</f>
        <v>1.7500000000000002</v>
      </c>
      <c r="I1004" s="4">
        <v>2.4</v>
      </c>
      <c r="J1004" s="4"/>
      <c r="K1004" s="4" t="s">
        <v>537</v>
      </c>
      <c r="L1004" s="4" t="s">
        <v>2276</v>
      </c>
      <c r="M1004" s="4" t="s">
        <v>2276</v>
      </c>
      <c r="N1004" s="4" t="s">
        <v>2276</v>
      </c>
      <c r="O1004" s="4" t="s">
        <v>2276</v>
      </c>
      <c r="P1004" s="4" t="s">
        <v>2276</v>
      </c>
      <c r="Q1004" s="4" t="s">
        <v>2276</v>
      </c>
      <c r="R1004" s="4" t="s">
        <v>2276</v>
      </c>
      <c r="S1004" s="4" t="s">
        <v>2276</v>
      </c>
      <c r="T1004" s="4" t="s">
        <v>6367</v>
      </c>
    </row>
    <row r="1005" spans="1:20" ht="29">
      <c r="A1005" s="4" t="s">
        <v>6340</v>
      </c>
      <c r="B1005" s="4" t="s">
        <v>70</v>
      </c>
      <c r="C1005" s="4" t="s">
        <v>12</v>
      </c>
      <c r="D1005" s="4" t="s">
        <v>397</v>
      </c>
      <c r="E1005" s="4" t="s">
        <v>396</v>
      </c>
      <c r="F1005" s="4" t="s">
        <v>2276</v>
      </c>
      <c r="G1005" s="4" t="s">
        <v>2276</v>
      </c>
      <c r="H1005" s="203">
        <f>3.7/I1005</f>
        <v>3.7</v>
      </c>
      <c r="I1005" s="4">
        <v>1</v>
      </c>
      <c r="J1005" s="4"/>
      <c r="K1005" s="4" t="s">
        <v>537</v>
      </c>
      <c r="L1005" s="4" t="s">
        <v>2276</v>
      </c>
      <c r="M1005" s="4" t="s">
        <v>2276</v>
      </c>
      <c r="N1005" s="4" t="s">
        <v>2276</v>
      </c>
      <c r="O1005" s="4" t="s">
        <v>2276</v>
      </c>
      <c r="P1005" s="4" t="s">
        <v>2276</v>
      </c>
      <c r="Q1005" s="4" t="s">
        <v>2276</v>
      </c>
      <c r="R1005" s="4" t="s">
        <v>2276</v>
      </c>
      <c r="S1005" s="4" t="s">
        <v>2276</v>
      </c>
      <c r="T1005" s="4" t="s">
        <v>6367</v>
      </c>
    </row>
    <row r="1006" spans="1:20" ht="29">
      <c r="A1006" s="4" t="s">
        <v>6341</v>
      </c>
      <c r="B1006" s="4" t="s">
        <v>70</v>
      </c>
      <c r="C1006" s="4" t="s">
        <v>12</v>
      </c>
      <c r="D1006" s="4" t="s">
        <v>397</v>
      </c>
      <c r="E1006" s="4" t="s">
        <v>396</v>
      </c>
      <c r="F1006" s="4" t="s">
        <v>2276</v>
      </c>
      <c r="G1006" s="4" t="s">
        <v>2276</v>
      </c>
      <c r="H1006" s="203">
        <f>1.8/I1006</f>
        <v>1.0588235294117647</v>
      </c>
      <c r="I1006" s="4">
        <v>1.7</v>
      </c>
      <c r="J1006" s="4"/>
      <c r="K1006" s="4" t="s">
        <v>2276</v>
      </c>
      <c r="L1006" s="4" t="s">
        <v>2276</v>
      </c>
      <c r="M1006" s="4" t="s">
        <v>2276</v>
      </c>
      <c r="N1006" s="4" t="s">
        <v>2276</v>
      </c>
      <c r="O1006" s="4" t="s">
        <v>2276</v>
      </c>
      <c r="P1006" s="4" t="s">
        <v>2276</v>
      </c>
      <c r="Q1006" s="4" t="s">
        <v>2276</v>
      </c>
      <c r="R1006" s="4" t="s">
        <v>2276</v>
      </c>
      <c r="S1006" s="4" t="s">
        <v>2276</v>
      </c>
      <c r="T1006" s="4" t="s">
        <v>6367</v>
      </c>
    </row>
    <row r="1007" spans="1:20" ht="29">
      <c r="A1007" s="4" t="s">
        <v>6342</v>
      </c>
      <c r="B1007" s="4" t="s">
        <v>70</v>
      </c>
      <c r="C1007" s="4" t="s">
        <v>12</v>
      </c>
      <c r="D1007" s="4" t="s">
        <v>397</v>
      </c>
      <c r="E1007" s="4" t="s">
        <v>396</v>
      </c>
      <c r="F1007" s="4" t="s">
        <v>2276</v>
      </c>
      <c r="G1007" s="4" t="s">
        <v>2276</v>
      </c>
      <c r="H1007" s="203">
        <f>2.1/I1007</f>
        <v>1.9090909090909089</v>
      </c>
      <c r="I1007" s="4">
        <v>1.1000000000000001</v>
      </c>
      <c r="J1007" s="4"/>
      <c r="K1007" s="4" t="s">
        <v>2276</v>
      </c>
      <c r="L1007" s="4" t="s">
        <v>2276</v>
      </c>
      <c r="M1007" s="4" t="s">
        <v>2276</v>
      </c>
      <c r="N1007" s="4" t="s">
        <v>2276</v>
      </c>
      <c r="O1007" s="4" t="s">
        <v>2276</v>
      </c>
      <c r="P1007" s="4" t="s">
        <v>2276</v>
      </c>
      <c r="Q1007" s="4" t="s">
        <v>2276</v>
      </c>
      <c r="R1007" s="4" t="s">
        <v>2276</v>
      </c>
      <c r="S1007" s="4" t="s">
        <v>2276</v>
      </c>
      <c r="T1007" s="4" t="s">
        <v>6367</v>
      </c>
    </row>
    <row r="1008" spans="1:20" ht="29">
      <c r="A1008" s="4" t="s">
        <v>6343</v>
      </c>
      <c r="B1008" s="4" t="s">
        <v>70</v>
      </c>
      <c r="C1008" s="4" t="s">
        <v>12</v>
      </c>
      <c r="D1008" s="4" t="s">
        <v>397</v>
      </c>
      <c r="E1008" s="4" t="s">
        <v>396</v>
      </c>
      <c r="F1008" s="4" t="s">
        <v>2276</v>
      </c>
      <c r="G1008" s="4" t="s">
        <v>2276</v>
      </c>
      <c r="H1008" s="203">
        <f>1.5/I1008</f>
        <v>0.83333333333333326</v>
      </c>
      <c r="I1008" s="4">
        <v>1.8</v>
      </c>
      <c r="J1008" s="4"/>
      <c r="K1008" s="4" t="s">
        <v>2276</v>
      </c>
      <c r="L1008" s="4" t="s">
        <v>2276</v>
      </c>
      <c r="M1008" s="4" t="s">
        <v>2276</v>
      </c>
      <c r="N1008" s="4" t="s">
        <v>2276</v>
      </c>
      <c r="O1008" s="4" t="s">
        <v>2276</v>
      </c>
      <c r="P1008" s="4" t="s">
        <v>2276</v>
      </c>
      <c r="Q1008" s="4" t="s">
        <v>2276</v>
      </c>
      <c r="R1008" s="4" t="s">
        <v>2276</v>
      </c>
      <c r="S1008" s="4" t="s">
        <v>2276</v>
      </c>
      <c r="T1008" s="4" t="s">
        <v>6367</v>
      </c>
    </row>
    <row r="1009" spans="1:20" ht="29">
      <c r="A1009" s="4" t="s">
        <v>6344</v>
      </c>
      <c r="B1009" s="4" t="s">
        <v>70</v>
      </c>
      <c r="C1009" s="4" t="s">
        <v>12</v>
      </c>
      <c r="D1009" s="4" t="s">
        <v>397</v>
      </c>
      <c r="E1009" s="4" t="s">
        <v>396</v>
      </c>
      <c r="F1009" s="4" t="s">
        <v>2276</v>
      </c>
      <c r="G1009" s="4" t="s">
        <v>2276</v>
      </c>
      <c r="H1009" s="203">
        <v>1</v>
      </c>
      <c r="I1009" s="4">
        <v>1</v>
      </c>
      <c r="J1009" s="4"/>
      <c r="K1009" s="4" t="s">
        <v>2276</v>
      </c>
      <c r="L1009" s="4" t="s">
        <v>2276</v>
      </c>
      <c r="M1009" s="4" t="s">
        <v>2276</v>
      </c>
      <c r="N1009" s="4" t="s">
        <v>2276</v>
      </c>
      <c r="O1009" s="4" t="s">
        <v>2276</v>
      </c>
      <c r="P1009" s="4" t="s">
        <v>2276</v>
      </c>
      <c r="Q1009" s="4" t="s">
        <v>2276</v>
      </c>
      <c r="R1009" s="4" t="s">
        <v>2276</v>
      </c>
      <c r="S1009" s="4" t="s">
        <v>2276</v>
      </c>
      <c r="T1009" s="4" t="s">
        <v>6367</v>
      </c>
    </row>
    <row r="1010" spans="1:20" ht="29">
      <c r="A1010" s="4" t="s">
        <v>6345</v>
      </c>
      <c r="B1010" s="4" t="s">
        <v>70</v>
      </c>
      <c r="C1010" s="4" t="s">
        <v>12</v>
      </c>
      <c r="D1010" s="4" t="s">
        <v>397</v>
      </c>
      <c r="E1010" s="4" t="s">
        <v>396</v>
      </c>
      <c r="F1010" s="4" t="s">
        <v>2276</v>
      </c>
      <c r="G1010" s="4" t="s">
        <v>2276</v>
      </c>
      <c r="H1010" s="203">
        <f>2.8/I1010</f>
        <v>4.666666666666667</v>
      </c>
      <c r="I1010" s="4">
        <v>0.6</v>
      </c>
      <c r="J1010" s="4"/>
      <c r="K1010" s="4" t="s">
        <v>2276</v>
      </c>
      <c r="L1010" s="4" t="s">
        <v>2276</v>
      </c>
      <c r="M1010" s="4" t="s">
        <v>2276</v>
      </c>
      <c r="N1010" s="4" t="s">
        <v>2276</v>
      </c>
      <c r="O1010" s="4" t="s">
        <v>2276</v>
      </c>
      <c r="P1010" s="4" t="s">
        <v>2276</v>
      </c>
      <c r="Q1010" s="4" t="s">
        <v>2276</v>
      </c>
      <c r="R1010" s="4" t="s">
        <v>2276</v>
      </c>
      <c r="S1010" s="4" t="s">
        <v>2276</v>
      </c>
      <c r="T1010" s="4" t="s">
        <v>6367</v>
      </c>
    </row>
    <row r="1011" spans="1:20" ht="29">
      <c r="A1011" s="4" t="s">
        <v>6346</v>
      </c>
      <c r="B1011" s="4" t="s">
        <v>70</v>
      </c>
      <c r="C1011" s="4" t="s">
        <v>12</v>
      </c>
      <c r="D1011" s="4" t="s">
        <v>396</v>
      </c>
      <c r="E1011" s="4" t="s">
        <v>397</v>
      </c>
      <c r="F1011" s="4" t="s">
        <v>2276</v>
      </c>
      <c r="G1011" s="4" t="s">
        <v>2276</v>
      </c>
      <c r="H1011" s="203">
        <f>1.7/I1011</f>
        <v>2.125</v>
      </c>
      <c r="I1011" s="4">
        <v>0.8</v>
      </c>
      <c r="J1011" s="4"/>
      <c r="K1011" s="4" t="s">
        <v>2276</v>
      </c>
      <c r="L1011" s="4" t="s">
        <v>2276</v>
      </c>
      <c r="M1011" s="4" t="s">
        <v>2276</v>
      </c>
      <c r="N1011" s="4" t="s">
        <v>2276</v>
      </c>
      <c r="O1011" s="4" t="s">
        <v>2276</v>
      </c>
      <c r="P1011" s="4" t="s">
        <v>2276</v>
      </c>
      <c r="Q1011" s="4" t="s">
        <v>2276</v>
      </c>
      <c r="R1011" s="4" t="s">
        <v>2276</v>
      </c>
      <c r="S1011" s="4" t="s">
        <v>2276</v>
      </c>
      <c r="T1011" s="4" t="s">
        <v>6367</v>
      </c>
    </row>
    <row r="1012" spans="1:20" ht="29">
      <c r="A1012" s="4" t="s">
        <v>6347</v>
      </c>
      <c r="B1012" s="4" t="s">
        <v>70</v>
      </c>
      <c r="C1012" s="4" t="s">
        <v>12</v>
      </c>
      <c r="D1012" s="4" t="s">
        <v>397</v>
      </c>
      <c r="E1012" s="4" t="s">
        <v>396</v>
      </c>
      <c r="F1012" s="4" t="s">
        <v>2276</v>
      </c>
      <c r="G1012" s="4" t="s">
        <v>2276</v>
      </c>
      <c r="H1012" s="203">
        <f>3.8/I1012</f>
        <v>9.4999999999999982</v>
      </c>
      <c r="I1012" s="4">
        <v>0.4</v>
      </c>
      <c r="J1012" s="4"/>
      <c r="K1012" s="4" t="s">
        <v>2276</v>
      </c>
      <c r="L1012" s="4" t="s">
        <v>2276</v>
      </c>
      <c r="M1012" s="4" t="s">
        <v>2276</v>
      </c>
      <c r="N1012" s="4" t="s">
        <v>2276</v>
      </c>
      <c r="O1012" s="4" t="s">
        <v>2276</v>
      </c>
      <c r="P1012" s="4" t="s">
        <v>2276</v>
      </c>
      <c r="Q1012" s="4" t="s">
        <v>2276</v>
      </c>
      <c r="R1012" s="4" t="s">
        <v>2276</v>
      </c>
      <c r="S1012" s="4" t="s">
        <v>2276</v>
      </c>
      <c r="T1012" s="4" t="s">
        <v>6367</v>
      </c>
    </row>
    <row r="1013" spans="1:20" ht="58">
      <c r="A1013" s="4" t="s">
        <v>6348</v>
      </c>
      <c r="B1013" s="4" t="s">
        <v>32</v>
      </c>
      <c r="C1013" s="4" t="s">
        <v>12</v>
      </c>
      <c r="D1013" s="4" t="s">
        <v>130</v>
      </c>
      <c r="E1013" s="4" t="s">
        <v>396</v>
      </c>
      <c r="F1013" s="4" t="s">
        <v>397</v>
      </c>
      <c r="G1013" s="4" t="s">
        <v>2276</v>
      </c>
      <c r="H1013" s="4"/>
      <c r="I1013" s="4"/>
      <c r="J1013" s="4"/>
      <c r="K1013" s="4" t="s">
        <v>2276</v>
      </c>
      <c r="L1013" s="4" t="s">
        <v>2276</v>
      </c>
      <c r="M1013" s="4" t="s">
        <v>2276</v>
      </c>
      <c r="N1013" s="4" t="s">
        <v>2276</v>
      </c>
      <c r="O1013" s="4" t="s">
        <v>2276</v>
      </c>
      <c r="P1013" s="4" t="s">
        <v>2276</v>
      </c>
      <c r="Q1013" s="4" t="s">
        <v>2276</v>
      </c>
      <c r="R1013" s="4" t="s">
        <v>2276</v>
      </c>
      <c r="S1013" s="4" t="s">
        <v>2276</v>
      </c>
      <c r="T1013" s="4" t="s">
        <v>6368</v>
      </c>
    </row>
    <row r="1014" spans="1:20" ht="29">
      <c r="A1014" s="4" t="s">
        <v>6349</v>
      </c>
      <c r="B1014" s="4" t="s">
        <v>2276</v>
      </c>
      <c r="C1014" s="4" t="s">
        <v>12</v>
      </c>
      <c r="D1014" s="4" t="s">
        <v>396</v>
      </c>
      <c r="E1014" s="4" t="s">
        <v>397</v>
      </c>
      <c r="F1014" s="4" t="s">
        <v>2276</v>
      </c>
      <c r="G1014" s="4" t="s">
        <v>2276</v>
      </c>
      <c r="H1014" s="4"/>
      <c r="I1014" s="4"/>
      <c r="J1014" s="4"/>
      <c r="K1014" s="4" t="s">
        <v>2276</v>
      </c>
      <c r="L1014" s="4" t="s">
        <v>2276</v>
      </c>
      <c r="M1014" s="4" t="s">
        <v>2276</v>
      </c>
      <c r="N1014" s="4" t="s">
        <v>2276</v>
      </c>
      <c r="O1014" s="4" t="s">
        <v>2276</v>
      </c>
      <c r="P1014" s="4" t="s">
        <v>2276</v>
      </c>
      <c r="Q1014" s="4" t="s">
        <v>2276</v>
      </c>
      <c r="R1014" s="4" t="s">
        <v>2276</v>
      </c>
      <c r="S1014" s="4" t="s">
        <v>2276</v>
      </c>
      <c r="T1014" s="4"/>
    </row>
    <row r="1015" spans="1:20" ht="29">
      <c r="A1015" s="4" t="s">
        <v>6539</v>
      </c>
      <c r="B1015" s="4" t="s">
        <v>2276</v>
      </c>
      <c r="C1015" s="4" t="s">
        <v>12</v>
      </c>
      <c r="D1015" s="4" t="s">
        <v>396</v>
      </c>
      <c r="E1015" s="4" t="s">
        <v>397</v>
      </c>
      <c r="F1015" s="4" t="s">
        <v>2276</v>
      </c>
      <c r="G1015" s="4" t="s">
        <v>2276</v>
      </c>
      <c r="H1015" s="4"/>
      <c r="I1015" s="4"/>
      <c r="J1015" s="4"/>
      <c r="K1015" s="4" t="s">
        <v>2276</v>
      </c>
      <c r="L1015" s="4" t="s">
        <v>2276</v>
      </c>
      <c r="M1015" s="4" t="s">
        <v>2276</v>
      </c>
      <c r="N1015" s="4" t="s">
        <v>2276</v>
      </c>
      <c r="O1015" s="4" t="s">
        <v>2276</v>
      </c>
      <c r="P1015" s="4" t="s">
        <v>2276</v>
      </c>
      <c r="Q1015" s="4" t="s">
        <v>2276</v>
      </c>
      <c r="R1015" s="4" t="s">
        <v>2276</v>
      </c>
      <c r="S1015" s="4" t="s">
        <v>2276</v>
      </c>
      <c r="T1015" s="4"/>
    </row>
    <row r="1016" spans="1:20" ht="29">
      <c r="A1016" s="4" t="s">
        <v>6350</v>
      </c>
      <c r="B1016" s="4" t="s">
        <v>2276</v>
      </c>
      <c r="C1016" s="4" t="s">
        <v>12</v>
      </c>
      <c r="D1016" s="4" t="s">
        <v>396</v>
      </c>
      <c r="E1016" s="4" t="s">
        <v>397</v>
      </c>
      <c r="F1016" s="4" t="s">
        <v>2276</v>
      </c>
      <c r="G1016" s="4" t="s">
        <v>2276</v>
      </c>
      <c r="H1016" s="4"/>
      <c r="I1016" s="4"/>
      <c r="J1016" s="4"/>
      <c r="K1016" s="4" t="s">
        <v>2276</v>
      </c>
      <c r="L1016" s="4" t="s">
        <v>2276</v>
      </c>
      <c r="M1016" s="4" t="s">
        <v>2276</v>
      </c>
      <c r="N1016" s="4" t="s">
        <v>2276</v>
      </c>
      <c r="O1016" s="4" t="s">
        <v>2276</v>
      </c>
      <c r="P1016" s="4" t="s">
        <v>2276</v>
      </c>
      <c r="Q1016" s="4" t="s">
        <v>2276</v>
      </c>
      <c r="R1016" s="4" t="s">
        <v>2276</v>
      </c>
      <c r="S1016" s="4" t="s">
        <v>2276</v>
      </c>
      <c r="T1016" s="4"/>
    </row>
    <row r="1017" spans="1:20" ht="29">
      <c r="A1017" s="4" t="s">
        <v>6351</v>
      </c>
      <c r="B1017" s="4" t="s">
        <v>2276</v>
      </c>
      <c r="C1017" s="4" t="s">
        <v>12</v>
      </c>
      <c r="D1017" s="4" t="s">
        <v>396</v>
      </c>
      <c r="E1017" s="4" t="s">
        <v>397</v>
      </c>
      <c r="F1017" s="4" t="s">
        <v>2276</v>
      </c>
      <c r="G1017" s="4" t="s">
        <v>2276</v>
      </c>
      <c r="H1017" s="4"/>
      <c r="I1017" s="4"/>
      <c r="J1017" s="4"/>
      <c r="K1017" s="4" t="s">
        <v>2276</v>
      </c>
      <c r="L1017" s="4" t="s">
        <v>2276</v>
      </c>
      <c r="M1017" s="4" t="s">
        <v>2276</v>
      </c>
      <c r="N1017" s="4" t="s">
        <v>2276</v>
      </c>
      <c r="O1017" s="4" t="s">
        <v>2276</v>
      </c>
      <c r="P1017" s="4" t="s">
        <v>2276</v>
      </c>
      <c r="Q1017" s="4" t="s">
        <v>2276</v>
      </c>
      <c r="R1017" s="4" t="s">
        <v>2276</v>
      </c>
      <c r="S1017" s="4" t="s">
        <v>2276</v>
      </c>
      <c r="T1017" s="4"/>
    </row>
    <row r="1018" spans="1:20" ht="29">
      <c r="A1018" s="4" t="s">
        <v>6352</v>
      </c>
      <c r="B1018" s="4" t="s">
        <v>2276</v>
      </c>
      <c r="C1018" s="4" t="s">
        <v>12</v>
      </c>
      <c r="D1018" s="4" t="s">
        <v>396</v>
      </c>
      <c r="E1018" s="4" t="s">
        <v>397</v>
      </c>
      <c r="F1018" s="4" t="s">
        <v>2276</v>
      </c>
      <c r="G1018" s="4" t="s">
        <v>2276</v>
      </c>
      <c r="H1018" s="4"/>
      <c r="I1018" s="4"/>
      <c r="J1018" s="4"/>
      <c r="K1018" s="4" t="s">
        <v>2276</v>
      </c>
      <c r="L1018" s="4" t="s">
        <v>2276</v>
      </c>
      <c r="M1018" s="4" t="s">
        <v>2276</v>
      </c>
      <c r="N1018" s="4" t="s">
        <v>2276</v>
      </c>
      <c r="O1018" s="4" t="s">
        <v>2276</v>
      </c>
      <c r="P1018" s="4" t="s">
        <v>2276</v>
      </c>
      <c r="Q1018" s="4" t="s">
        <v>2276</v>
      </c>
      <c r="R1018" s="4" t="s">
        <v>2276</v>
      </c>
      <c r="S1018" s="4" t="s">
        <v>2276</v>
      </c>
      <c r="T1018" s="4"/>
    </row>
    <row r="1019" spans="1:20" ht="29">
      <c r="A1019" s="4" t="s">
        <v>6353</v>
      </c>
      <c r="B1019" s="4" t="s">
        <v>2276</v>
      </c>
      <c r="C1019" s="4" t="s">
        <v>12</v>
      </c>
      <c r="D1019" s="4" t="s">
        <v>396</v>
      </c>
      <c r="E1019" s="4" t="s">
        <v>397</v>
      </c>
      <c r="F1019" s="4" t="s">
        <v>2276</v>
      </c>
      <c r="G1019" s="4" t="s">
        <v>2276</v>
      </c>
      <c r="H1019" s="4"/>
      <c r="I1019" s="4"/>
      <c r="J1019" s="4"/>
      <c r="K1019" s="4" t="s">
        <v>2276</v>
      </c>
      <c r="L1019" s="4" t="s">
        <v>2276</v>
      </c>
      <c r="M1019" s="4" t="s">
        <v>2276</v>
      </c>
      <c r="N1019" s="4" t="s">
        <v>2276</v>
      </c>
      <c r="O1019" s="4" t="s">
        <v>2276</v>
      </c>
      <c r="P1019" s="4" t="s">
        <v>2276</v>
      </c>
      <c r="Q1019" s="4" t="s">
        <v>2276</v>
      </c>
      <c r="R1019" s="4" t="s">
        <v>2276</v>
      </c>
      <c r="S1019" s="4" t="s">
        <v>2276</v>
      </c>
      <c r="T1019" s="4"/>
    </row>
    <row r="1020" spans="1:20" ht="29">
      <c r="A1020" s="4" t="s">
        <v>6354</v>
      </c>
      <c r="B1020" s="4" t="s">
        <v>2276</v>
      </c>
      <c r="C1020" s="4" t="s">
        <v>12</v>
      </c>
      <c r="D1020" s="4" t="s">
        <v>396</v>
      </c>
      <c r="E1020" s="4" t="s">
        <v>397</v>
      </c>
      <c r="F1020" s="4" t="s">
        <v>2276</v>
      </c>
      <c r="G1020" s="4" t="s">
        <v>2276</v>
      </c>
      <c r="H1020" s="75">
        <f>9/I1020</f>
        <v>1.8532894858769045</v>
      </c>
      <c r="I1020" s="203">
        <v>4.85623</v>
      </c>
      <c r="J1020" s="4"/>
      <c r="K1020" s="4" t="s">
        <v>2276</v>
      </c>
      <c r="L1020" s="4" t="s">
        <v>2276</v>
      </c>
      <c r="M1020" s="4" t="s">
        <v>2276</v>
      </c>
      <c r="N1020" s="4" t="s">
        <v>2276</v>
      </c>
      <c r="O1020" s="4" t="s">
        <v>2276</v>
      </c>
      <c r="P1020" s="4" t="s">
        <v>2276</v>
      </c>
      <c r="Q1020" s="4" t="s">
        <v>2276</v>
      </c>
      <c r="R1020" s="4" t="s">
        <v>2276</v>
      </c>
      <c r="S1020" s="4" t="s">
        <v>2276</v>
      </c>
      <c r="T1020" s="4" t="s">
        <v>6369</v>
      </c>
    </row>
    <row r="1021" spans="1:20" ht="29">
      <c r="A1021" s="4" t="s">
        <v>6355</v>
      </c>
      <c r="B1021" s="4" t="s">
        <v>2276</v>
      </c>
      <c r="C1021" s="4" t="s">
        <v>12</v>
      </c>
      <c r="D1021" s="4" t="s">
        <v>396</v>
      </c>
      <c r="E1021" s="4" t="s">
        <v>397</v>
      </c>
      <c r="F1021" s="4" t="s">
        <v>2276</v>
      </c>
      <c r="G1021" s="4" t="s">
        <v>2276</v>
      </c>
      <c r="H1021" s="75">
        <f>9/I1021</f>
        <v>1.8532894858769045</v>
      </c>
      <c r="I1021" s="203">
        <v>4.85623</v>
      </c>
      <c r="J1021" s="4"/>
      <c r="K1021" s="4" t="s">
        <v>2276</v>
      </c>
      <c r="L1021" s="4" t="s">
        <v>2276</v>
      </c>
      <c r="M1021" s="4" t="s">
        <v>2276</v>
      </c>
      <c r="N1021" s="4" t="s">
        <v>2276</v>
      </c>
      <c r="O1021" s="4" t="s">
        <v>2276</v>
      </c>
      <c r="P1021" s="4" t="s">
        <v>2276</v>
      </c>
      <c r="Q1021" s="4" t="s">
        <v>2276</v>
      </c>
      <c r="R1021" s="4" t="s">
        <v>2276</v>
      </c>
      <c r="S1021" s="4" t="s">
        <v>2276</v>
      </c>
      <c r="T1021" s="4" t="s">
        <v>6369</v>
      </c>
    </row>
    <row r="1022" spans="1:20" ht="43.5">
      <c r="A1022" s="4" t="s">
        <v>6356</v>
      </c>
      <c r="B1022" s="4" t="s">
        <v>70</v>
      </c>
      <c r="C1022" s="4" t="s">
        <v>12</v>
      </c>
      <c r="D1022" s="4" t="s">
        <v>3855</v>
      </c>
      <c r="E1022" s="4" t="s">
        <v>6370</v>
      </c>
      <c r="F1022" s="4" t="s">
        <v>2276</v>
      </c>
      <c r="G1022" s="4" t="s">
        <v>2276</v>
      </c>
      <c r="H1022" s="75"/>
      <c r="I1022" s="4">
        <v>3</v>
      </c>
      <c r="J1022" s="4">
        <v>1</v>
      </c>
      <c r="K1022" s="4" t="s">
        <v>2276</v>
      </c>
      <c r="L1022" s="4" t="s">
        <v>2276</v>
      </c>
      <c r="M1022" s="4" t="s">
        <v>2276</v>
      </c>
      <c r="N1022" s="4" t="s">
        <v>2276</v>
      </c>
      <c r="O1022" s="4" t="s">
        <v>2276</v>
      </c>
      <c r="P1022" s="4" t="s">
        <v>2276</v>
      </c>
      <c r="Q1022" s="4" t="s">
        <v>2276</v>
      </c>
      <c r="R1022" s="4" t="s">
        <v>2276</v>
      </c>
      <c r="S1022" s="4" t="s">
        <v>2276</v>
      </c>
      <c r="T1022" s="4" t="s">
        <v>6371</v>
      </c>
    </row>
    <row r="1023" spans="1:20" ht="29">
      <c r="A1023" s="4" t="s">
        <v>6357</v>
      </c>
      <c r="B1023" s="4" t="s">
        <v>70</v>
      </c>
      <c r="C1023" s="4" t="s">
        <v>12</v>
      </c>
      <c r="D1023" s="4" t="s">
        <v>3854</v>
      </c>
      <c r="E1023" s="4" t="s">
        <v>130</v>
      </c>
      <c r="F1023" s="4" t="s">
        <v>2276</v>
      </c>
      <c r="G1023" s="4" t="s">
        <v>2276</v>
      </c>
      <c r="H1023" s="75"/>
      <c r="I1023" s="4">
        <v>15</v>
      </c>
      <c r="J1023" s="4">
        <v>0.6</v>
      </c>
      <c r="K1023" s="4" t="s">
        <v>2276</v>
      </c>
      <c r="L1023" s="4" t="s">
        <v>2276</v>
      </c>
      <c r="M1023" s="4" t="s">
        <v>2276</v>
      </c>
      <c r="N1023" s="4" t="s">
        <v>2276</v>
      </c>
      <c r="O1023" s="4" t="s">
        <v>2276</v>
      </c>
      <c r="P1023" s="4" t="s">
        <v>2276</v>
      </c>
      <c r="Q1023" s="4" t="s">
        <v>2276</v>
      </c>
      <c r="R1023" s="4" t="s">
        <v>2276</v>
      </c>
      <c r="S1023" s="4" t="s">
        <v>2276</v>
      </c>
      <c r="T1023" s="4" t="s">
        <v>6372</v>
      </c>
    </row>
    <row r="1024" spans="1:20" ht="29">
      <c r="A1024" s="4" t="s">
        <v>6358</v>
      </c>
      <c r="B1024" s="4" t="s">
        <v>70</v>
      </c>
      <c r="C1024" s="4" t="s">
        <v>12</v>
      </c>
      <c r="D1024" s="4" t="s">
        <v>397</v>
      </c>
      <c r="E1024" s="4" t="s">
        <v>130</v>
      </c>
      <c r="F1024" s="4" t="s">
        <v>2276</v>
      </c>
      <c r="G1024" s="4" t="s">
        <v>2276</v>
      </c>
      <c r="H1024" s="75"/>
      <c r="I1024" s="4">
        <v>7</v>
      </c>
      <c r="J1024" s="4">
        <v>0.3</v>
      </c>
      <c r="K1024" s="4" t="s">
        <v>2276</v>
      </c>
      <c r="L1024" s="4" t="s">
        <v>2276</v>
      </c>
      <c r="M1024" s="4" t="s">
        <v>2276</v>
      </c>
      <c r="N1024" s="4" t="s">
        <v>2276</v>
      </c>
      <c r="O1024" s="4" t="s">
        <v>2276</v>
      </c>
      <c r="P1024" s="4" t="s">
        <v>2276</v>
      </c>
      <c r="Q1024" s="4" t="s">
        <v>2276</v>
      </c>
      <c r="R1024" s="4" t="s">
        <v>2276</v>
      </c>
      <c r="S1024" s="4" t="s">
        <v>2276</v>
      </c>
      <c r="T1024" s="4" t="s">
        <v>6372</v>
      </c>
    </row>
    <row r="1025" spans="1:20" ht="29">
      <c r="A1025" s="4" t="s">
        <v>6359</v>
      </c>
      <c r="B1025" s="4" t="s">
        <v>2276</v>
      </c>
      <c r="C1025" s="4" t="s">
        <v>12</v>
      </c>
      <c r="D1025" s="4" t="s">
        <v>396</v>
      </c>
      <c r="E1025" s="4" t="s">
        <v>397</v>
      </c>
      <c r="F1025" s="4" t="s">
        <v>2276</v>
      </c>
      <c r="G1025" s="4" t="s">
        <v>2276</v>
      </c>
      <c r="H1025" s="75"/>
      <c r="I1025" s="4">
        <v>0.65</v>
      </c>
      <c r="J1025" s="4"/>
      <c r="K1025" s="4" t="s">
        <v>2276</v>
      </c>
      <c r="L1025" s="4" t="s">
        <v>2276</v>
      </c>
      <c r="M1025" s="4" t="s">
        <v>2276</v>
      </c>
      <c r="N1025" s="4" t="s">
        <v>2276</v>
      </c>
      <c r="O1025" s="4" t="s">
        <v>2276</v>
      </c>
      <c r="P1025" s="4" t="s">
        <v>2276</v>
      </c>
      <c r="Q1025" s="4" t="s">
        <v>2276</v>
      </c>
      <c r="R1025" s="4" t="s">
        <v>2276</v>
      </c>
      <c r="S1025" s="4" t="s">
        <v>2276</v>
      </c>
      <c r="T1025" s="4" t="s">
        <v>6373</v>
      </c>
    </row>
    <row r="1026" spans="1:20" ht="29">
      <c r="A1026" s="4" t="s">
        <v>6360</v>
      </c>
      <c r="B1026" s="4" t="s">
        <v>2276</v>
      </c>
      <c r="C1026" s="4" t="s">
        <v>12</v>
      </c>
      <c r="D1026" s="4" t="s">
        <v>397</v>
      </c>
      <c r="E1026" s="4" t="s">
        <v>396</v>
      </c>
      <c r="F1026" s="4" t="s">
        <v>2276</v>
      </c>
      <c r="G1026" s="4" t="s">
        <v>2276</v>
      </c>
      <c r="H1026" s="75"/>
      <c r="I1026" s="4">
        <v>0.65</v>
      </c>
      <c r="J1026" s="4"/>
      <c r="K1026" s="4" t="s">
        <v>2276</v>
      </c>
      <c r="L1026" s="4" t="s">
        <v>2276</v>
      </c>
      <c r="M1026" s="4" t="s">
        <v>2276</v>
      </c>
      <c r="N1026" s="4" t="s">
        <v>2276</v>
      </c>
      <c r="O1026" s="4" t="s">
        <v>2276</v>
      </c>
      <c r="P1026" s="4" t="s">
        <v>2276</v>
      </c>
      <c r="Q1026" s="4" t="s">
        <v>2276</v>
      </c>
      <c r="R1026" s="4" t="s">
        <v>2276</v>
      </c>
      <c r="S1026" s="4" t="s">
        <v>2276</v>
      </c>
      <c r="T1026" s="4" t="s">
        <v>6374</v>
      </c>
    </row>
    <row r="1027" spans="1:20" ht="29">
      <c r="A1027" s="4" t="s">
        <v>6361</v>
      </c>
      <c r="B1027" s="4" t="s">
        <v>2276</v>
      </c>
      <c r="C1027" s="4" t="s">
        <v>12</v>
      </c>
      <c r="D1027" s="4" t="s">
        <v>397</v>
      </c>
      <c r="E1027" s="4" t="s">
        <v>396</v>
      </c>
      <c r="F1027" s="4" t="s">
        <v>2276</v>
      </c>
      <c r="G1027" s="4" t="s">
        <v>2276</v>
      </c>
      <c r="H1027" s="75"/>
      <c r="I1027" s="4">
        <v>0.65</v>
      </c>
      <c r="J1027" s="4"/>
      <c r="K1027" s="4" t="s">
        <v>2276</v>
      </c>
      <c r="L1027" s="4" t="s">
        <v>2276</v>
      </c>
      <c r="M1027" s="4" t="s">
        <v>2276</v>
      </c>
      <c r="N1027" s="4" t="s">
        <v>2276</v>
      </c>
      <c r="O1027" s="4" t="s">
        <v>2276</v>
      </c>
      <c r="P1027" s="4" t="s">
        <v>2276</v>
      </c>
      <c r="Q1027" s="4" t="s">
        <v>2276</v>
      </c>
      <c r="R1027" s="4" t="s">
        <v>2276</v>
      </c>
      <c r="S1027" s="4" t="s">
        <v>2276</v>
      </c>
      <c r="T1027" s="4" t="s">
        <v>6375</v>
      </c>
    </row>
    <row r="1028" spans="1:20" ht="32" customHeight="1">
      <c r="A1028" s="4" t="s">
        <v>5439</v>
      </c>
      <c r="B1028" s="4" t="s">
        <v>2276</v>
      </c>
      <c r="C1028" s="4" t="s">
        <v>12</v>
      </c>
      <c r="D1028" s="4" t="s">
        <v>396</v>
      </c>
      <c r="E1028" s="4" t="s">
        <v>397</v>
      </c>
      <c r="F1028" s="4" t="s">
        <v>2276</v>
      </c>
      <c r="G1028" s="4" t="s">
        <v>2276</v>
      </c>
      <c r="H1028" s="75"/>
      <c r="I1028" s="4"/>
      <c r="J1028" s="4"/>
      <c r="K1028" s="4" t="s">
        <v>2276</v>
      </c>
      <c r="L1028" s="4" t="s">
        <v>2276</v>
      </c>
      <c r="M1028" s="4" t="s">
        <v>2276</v>
      </c>
      <c r="N1028" s="4" t="s">
        <v>2276</v>
      </c>
      <c r="O1028" s="4" t="s">
        <v>2276</v>
      </c>
      <c r="P1028" s="75">
        <v>52.9</v>
      </c>
      <c r="Q1028" s="4" t="s">
        <v>2276</v>
      </c>
      <c r="R1028" s="4" t="s">
        <v>2276</v>
      </c>
      <c r="S1028" s="4" t="s">
        <v>2276</v>
      </c>
      <c r="T1028" s="4" t="s">
        <v>6376</v>
      </c>
    </row>
    <row r="1029" spans="1:20" ht="32" customHeight="1">
      <c r="A1029" s="4" t="s">
        <v>6362</v>
      </c>
      <c r="B1029" s="4" t="s">
        <v>2276</v>
      </c>
      <c r="C1029" s="4" t="s">
        <v>12</v>
      </c>
      <c r="D1029" s="4" t="s">
        <v>397</v>
      </c>
      <c r="E1029" s="4" t="s">
        <v>2276</v>
      </c>
      <c r="F1029" s="4" t="s">
        <v>2276</v>
      </c>
      <c r="G1029" s="4" t="s">
        <v>2276</v>
      </c>
      <c r="H1029" s="75"/>
      <c r="I1029" s="4"/>
      <c r="J1029" s="4"/>
      <c r="K1029" s="4" t="s">
        <v>2276</v>
      </c>
      <c r="L1029" s="4" t="s">
        <v>2276</v>
      </c>
      <c r="M1029" s="4" t="s">
        <v>2276</v>
      </c>
      <c r="N1029" s="4" t="s">
        <v>2276</v>
      </c>
      <c r="O1029" s="4" t="s">
        <v>2276</v>
      </c>
      <c r="P1029" s="4" t="s">
        <v>2276</v>
      </c>
      <c r="Q1029" s="4" t="s">
        <v>2276</v>
      </c>
      <c r="R1029" s="4" t="s">
        <v>2276</v>
      </c>
      <c r="S1029" s="4" t="s">
        <v>2276</v>
      </c>
      <c r="T1029" s="4"/>
    </row>
    <row r="1030" spans="1:20" ht="32" customHeight="1">
      <c r="A1030" s="4" t="s">
        <v>6363</v>
      </c>
      <c r="B1030" s="4" t="s">
        <v>32</v>
      </c>
      <c r="C1030" s="4" t="s">
        <v>2645</v>
      </c>
      <c r="D1030" s="4" t="s">
        <v>396</v>
      </c>
      <c r="E1030" s="4" t="s">
        <v>397</v>
      </c>
      <c r="F1030" s="4" t="s">
        <v>2276</v>
      </c>
      <c r="G1030" s="4" t="s">
        <v>2276</v>
      </c>
      <c r="H1030" s="75"/>
      <c r="I1030" s="4"/>
      <c r="J1030" s="4"/>
      <c r="K1030" s="4"/>
      <c r="L1030" s="4"/>
      <c r="M1030" s="4"/>
      <c r="N1030" s="75"/>
      <c r="O1030" s="75"/>
      <c r="P1030" s="75"/>
      <c r="Q1030" s="75"/>
      <c r="R1030" s="75"/>
      <c r="S1030" s="75"/>
      <c r="T1030" s="4" t="s">
        <v>6377</v>
      </c>
    </row>
    <row r="1031" spans="1:20" ht="32" customHeight="1">
      <c r="A1031" s="26" t="s">
        <v>6415</v>
      </c>
      <c r="B1031" s="4" t="s">
        <v>32</v>
      </c>
      <c r="C1031" s="4" t="s">
        <v>2645</v>
      </c>
      <c r="D1031" s="4" t="s">
        <v>137</v>
      </c>
      <c r="E1031" s="4" t="s">
        <v>2649</v>
      </c>
      <c r="F1031" s="4" t="s">
        <v>2276</v>
      </c>
      <c r="G1031" s="4" t="s">
        <v>2276</v>
      </c>
      <c r="H1031" s="4" t="s">
        <v>2276</v>
      </c>
      <c r="I1031" s="4" t="s">
        <v>2276</v>
      </c>
      <c r="J1031" s="4" t="s">
        <v>2276</v>
      </c>
      <c r="K1031" s="4" t="s">
        <v>534</v>
      </c>
      <c r="L1031" s="4" t="s">
        <v>2276</v>
      </c>
      <c r="M1031" s="4" t="s">
        <v>2276</v>
      </c>
      <c r="N1031" s="4" t="s">
        <v>2276</v>
      </c>
      <c r="O1031" s="4" t="s">
        <v>2276</v>
      </c>
      <c r="P1031" s="4" t="s">
        <v>2276</v>
      </c>
      <c r="Q1031" s="4" t="s">
        <v>2276</v>
      </c>
      <c r="R1031" s="4" t="s">
        <v>2276</v>
      </c>
      <c r="S1031" s="4" t="s">
        <v>2276</v>
      </c>
      <c r="T1031" s="4" t="s">
        <v>6443</v>
      </c>
    </row>
    <row r="1032" spans="1:20" ht="32" customHeight="1">
      <c r="A1032" s="26" t="s">
        <v>6416</v>
      </c>
      <c r="B1032" s="4" t="s">
        <v>32</v>
      </c>
      <c r="C1032" s="4" t="s">
        <v>2645</v>
      </c>
      <c r="D1032" s="4" t="s">
        <v>137</v>
      </c>
      <c r="E1032" s="4" t="s">
        <v>2649</v>
      </c>
      <c r="F1032" s="4" t="s">
        <v>2653</v>
      </c>
      <c r="G1032" s="4" t="s">
        <v>2276</v>
      </c>
      <c r="H1032" s="4" t="s">
        <v>2276</v>
      </c>
      <c r="I1032" s="4" t="s">
        <v>2276</v>
      </c>
      <c r="J1032" s="4" t="s">
        <v>2276</v>
      </c>
      <c r="K1032" s="4" t="s">
        <v>534</v>
      </c>
      <c r="L1032" s="4" t="s">
        <v>2276</v>
      </c>
      <c r="M1032" s="4" t="s">
        <v>2276</v>
      </c>
      <c r="N1032" s="4" t="s">
        <v>2276</v>
      </c>
      <c r="O1032" s="4" t="s">
        <v>2276</v>
      </c>
      <c r="P1032" s="4" t="s">
        <v>2276</v>
      </c>
      <c r="Q1032" s="4" t="s">
        <v>2276</v>
      </c>
      <c r="R1032" s="4" t="s">
        <v>2276</v>
      </c>
      <c r="S1032" s="4" t="s">
        <v>2276</v>
      </c>
      <c r="T1032" s="4" t="s">
        <v>6443</v>
      </c>
    </row>
    <row r="1033" spans="1:20" ht="32" customHeight="1">
      <c r="A1033" s="26" t="s">
        <v>6417</v>
      </c>
      <c r="B1033" s="4" t="s">
        <v>32</v>
      </c>
      <c r="C1033" s="4" t="s">
        <v>2645</v>
      </c>
      <c r="D1033" s="4" t="s">
        <v>2653</v>
      </c>
      <c r="E1033" s="4" t="s">
        <v>2276</v>
      </c>
      <c r="F1033" s="4" t="s">
        <v>2276</v>
      </c>
      <c r="G1033" s="4" t="s">
        <v>2276</v>
      </c>
      <c r="H1033" s="4" t="s">
        <v>2276</v>
      </c>
      <c r="I1033" s="4" t="s">
        <v>2276</v>
      </c>
      <c r="J1033" s="4" t="s">
        <v>2276</v>
      </c>
      <c r="K1033" s="4" t="s">
        <v>537</v>
      </c>
      <c r="L1033" s="4" t="s">
        <v>2276</v>
      </c>
      <c r="M1033" s="4" t="s">
        <v>2276</v>
      </c>
      <c r="N1033" s="4" t="s">
        <v>2276</v>
      </c>
      <c r="O1033" s="4" t="s">
        <v>2276</v>
      </c>
      <c r="P1033" s="4" t="s">
        <v>2276</v>
      </c>
      <c r="Q1033" s="4" t="s">
        <v>2276</v>
      </c>
      <c r="R1033" s="4" t="s">
        <v>2276</v>
      </c>
      <c r="S1033" s="4" t="s">
        <v>2276</v>
      </c>
      <c r="T1033" s="4"/>
    </row>
    <row r="1034" spans="1:20" ht="32" customHeight="1">
      <c r="A1034" s="26" t="s">
        <v>6418</v>
      </c>
      <c r="B1034" s="4" t="s">
        <v>32</v>
      </c>
      <c r="C1034" s="4" t="s">
        <v>2645</v>
      </c>
      <c r="D1034" s="4" t="s">
        <v>2649</v>
      </c>
      <c r="E1034" s="4" t="s">
        <v>2276</v>
      </c>
      <c r="F1034" s="4" t="s">
        <v>2276</v>
      </c>
      <c r="G1034" s="4" t="s">
        <v>2276</v>
      </c>
      <c r="H1034" s="4" t="s">
        <v>2276</v>
      </c>
      <c r="I1034" s="4" t="s">
        <v>2276</v>
      </c>
      <c r="J1034" s="4" t="s">
        <v>2276</v>
      </c>
      <c r="K1034" s="4" t="s">
        <v>534</v>
      </c>
      <c r="L1034" s="4" t="s">
        <v>2276</v>
      </c>
      <c r="M1034" s="4" t="s">
        <v>2276</v>
      </c>
      <c r="N1034" s="4" t="s">
        <v>2276</v>
      </c>
      <c r="O1034" s="4" t="s">
        <v>2276</v>
      </c>
      <c r="P1034" s="4" t="s">
        <v>2276</v>
      </c>
      <c r="Q1034" s="4" t="s">
        <v>2276</v>
      </c>
      <c r="R1034" s="4" t="s">
        <v>2276</v>
      </c>
      <c r="S1034" s="4" t="s">
        <v>2276</v>
      </c>
      <c r="T1034" s="4"/>
    </row>
    <row r="1035" spans="1:20" ht="32" customHeight="1">
      <c r="A1035" s="4" t="s">
        <v>6419</v>
      </c>
      <c r="B1035" s="4" t="s">
        <v>32</v>
      </c>
      <c r="C1035" s="4" t="s">
        <v>2645</v>
      </c>
      <c r="D1035" s="4" t="s">
        <v>6442</v>
      </c>
      <c r="E1035" s="4" t="s">
        <v>2276</v>
      </c>
      <c r="F1035" s="4" t="s">
        <v>2276</v>
      </c>
      <c r="G1035" s="4" t="s">
        <v>2276</v>
      </c>
      <c r="H1035" s="4" t="s">
        <v>2276</v>
      </c>
      <c r="I1035" s="4" t="s">
        <v>2276</v>
      </c>
      <c r="J1035" s="4" t="s">
        <v>2276</v>
      </c>
      <c r="K1035" s="4" t="s">
        <v>537</v>
      </c>
      <c r="L1035" s="4" t="s">
        <v>2276</v>
      </c>
      <c r="M1035" s="4" t="s">
        <v>2276</v>
      </c>
      <c r="N1035" s="4" t="s">
        <v>2276</v>
      </c>
      <c r="O1035" s="4" t="s">
        <v>2276</v>
      </c>
      <c r="P1035" s="4" t="s">
        <v>2276</v>
      </c>
      <c r="Q1035" s="4" t="s">
        <v>2276</v>
      </c>
      <c r="R1035" s="4" t="s">
        <v>2276</v>
      </c>
      <c r="S1035" s="4" t="s">
        <v>2276</v>
      </c>
      <c r="T1035" s="4" t="s">
        <v>6444</v>
      </c>
    </row>
    <row r="1036" spans="1:20" ht="32" customHeight="1">
      <c r="A1036" s="4" t="s">
        <v>6420</v>
      </c>
      <c r="B1036" s="4" t="s">
        <v>32</v>
      </c>
      <c r="C1036" s="4" t="s">
        <v>2645</v>
      </c>
      <c r="D1036" s="4" t="s">
        <v>2649</v>
      </c>
      <c r="E1036" s="4" t="s">
        <v>2276</v>
      </c>
      <c r="F1036" s="4" t="s">
        <v>2276</v>
      </c>
      <c r="G1036" s="4" t="s">
        <v>2276</v>
      </c>
      <c r="H1036" s="4" t="s">
        <v>2276</v>
      </c>
      <c r="I1036" s="4" t="s">
        <v>2276</v>
      </c>
      <c r="J1036" s="4" t="s">
        <v>2276</v>
      </c>
      <c r="K1036" s="4" t="s">
        <v>534</v>
      </c>
      <c r="L1036" s="4" t="s">
        <v>2276</v>
      </c>
      <c r="M1036" s="4" t="s">
        <v>2276</v>
      </c>
      <c r="N1036" s="4" t="s">
        <v>2276</v>
      </c>
      <c r="O1036" s="4" t="s">
        <v>2276</v>
      </c>
      <c r="P1036" s="4" t="s">
        <v>2276</v>
      </c>
      <c r="Q1036" s="4" t="s">
        <v>2276</v>
      </c>
      <c r="R1036" s="4" t="s">
        <v>2276</v>
      </c>
      <c r="S1036" s="4" t="s">
        <v>2276</v>
      </c>
      <c r="T1036" s="4" t="s">
        <v>6445</v>
      </c>
    </row>
    <row r="1037" spans="1:20" ht="32" customHeight="1">
      <c r="A1037" s="4" t="s">
        <v>6421</v>
      </c>
      <c r="B1037" s="4" t="s">
        <v>32</v>
      </c>
      <c r="C1037" s="4" t="s">
        <v>2645</v>
      </c>
      <c r="D1037" s="4" t="s">
        <v>2649</v>
      </c>
      <c r="E1037" s="4" t="s">
        <v>2276</v>
      </c>
      <c r="F1037" s="4" t="s">
        <v>2276</v>
      </c>
      <c r="G1037" s="4" t="s">
        <v>2276</v>
      </c>
      <c r="H1037" s="4" t="s">
        <v>2276</v>
      </c>
      <c r="I1037" s="4" t="s">
        <v>2276</v>
      </c>
      <c r="J1037" s="4" t="s">
        <v>2276</v>
      </c>
      <c r="K1037" s="4" t="s">
        <v>534</v>
      </c>
      <c r="L1037" s="4" t="s">
        <v>2276</v>
      </c>
      <c r="M1037" s="4" t="s">
        <v>2276</v>
      </c>
      <c r="N1037" s="4" t="s">
        <v>2276</v>
      </c>
      <c r="O1037" s="4" t="s">
        <v>2276</v>
      </c>
      <c r="P1037" s="4" t="s">
        <v>2276</v>
      </c>
      <c r="Q1037" s="4" t="s">
        <v>2276</v>
      </c>
      <c r="R1037" s="4" t="s">
        <v>2276</v>
      </c>
      <c r="S1037" s="4" t="s">
        <v>2276</v>
      </c>
      <c r="T1037" s="4" t="s">
        <v>6446</v>
      </c>
    </row>
    <row r="1038" spans="1:20" ht="32" customHeight="1">
      <c r="A1038" s="4" t="s">
        <v>6422</v>
      </c>
      <c r="B1038" s="4" t="s">
        <v>1197</v>
      </c>
      <c r="C1038" s="4" t="s">
        <v>2645</v>
      </c>
      <c r="D1038" s="4" t="s">
        <v>2649</v>
      </c>
      <c r="E1038" s="4" t="s">
        <v>2276</v>
      </c>
      <c r="F1038" s="4" t="s">
        <v>2276</v>
      </c>
      <c r="G1038" s="4" t="s">
        <v>2276</v>
      </c>
      <c r="H1038" s="4" t="s">
        <v>2276</v>
      </c>
      <c r="I1038" s="4" t="s">
        <v>2276</v>
      </c>
      <c r="J1038" s="4" t="s">
        <v>2276</v>
      </c>
      <c r="K1038" s="4" t="s">
        <v>534</v>
      </c>
      <c r="L1038" s="4" t="s">
        <v>2276</v>
      </c>
      <c r="M1038" s="4" t="s">
        <v>2276</v>
      </c>
      <c r="N1038" s="4" t="s">
        <v>2276</v>
      </c>
      <c r="O1038" s="4" t="s">
        <v>2276</v>
      </c>
      <c r="P1038" s="4" t="s">
        <v>2276</v>
      </c>
      <c r="Q1038" s="4" t="s">
        <v>2276</v>
      </c>
      <c r="R1038" s="4" t="s">
        <v>2276</v>
      </c>
      <c r="S1038" s="4" t="s">
        <v>2276</v>
      </c>
      <c r="T1038" s="4" t="s">
        <v>6447</v>
      </c>
    </row>
    <row r="1039" spans="1:20" ht="32" customHeight="1">
      <c r="A1039" s="4" t="s">
        <v>6423</v>
      </c>
      <c r="B1039" s="4" t="s">
        <v>1197</v>
      </c>
      <c r="C1039" s="4" t="s">
        <v>2645</v>
      </c>
      <c r="D1039" s="4" t="s">
        <v>2649</v>
      </c>
      <c r="E1039" s="4" t="s">
        <v>2276</v>
      </c>
      <c r="F1039" s="4" t="s">
        <v>2276</v>
      </c>
      <c r="G1039" s="4" t="s">
        <v>2276</v>
      </c>
      <c r="H1039" s="4" t="s">
        <v>2276</v>
      </c>
      <c r="I1039" s="4" t="s">
        <v>2276</v>
      </c>
      <c r="J1039" s="4" t="s">
        <v>2276</v>
      </c>
      <c r="K1039" s="4" t="s">
        <v>534</v>
      </c>
      <c r="L1039" s="4" t="s">
        <v>2276</v>
      </c>
      <c r="M1039" s="4" t="s">
        <v>2276</v>
      </c>
      <c r="N1039" s="4" t="s">
        <v>2276</v>
      </c>
      <c r="O1039" s="4" t="s">
        <v>2276</v>
      </c>
      <c r="P1039" s="4" t="s">
        <v>2276</v>
      </c>
      <c r="Q1039" s="4" t="s">
        <v>2276</v>
      </c>
      <c r="R1039" s="4" t="s">
        <v>2276</v>
      </c>
      <c r="S1039" s="4" t="s">
        <v>2276</v>
      </c>
      <c r="T1039" s="4" t="s">
        <v>6447</v>
      </c>
    </row>
    <row r="1040" spans="1:20" ht="32" customHeight="1">
      <c r="A1040" s="4" t="s">
        <v>6424</v>
      </c>
      <c r="B1040" s="4" t="s">
        <v>1197</v>
      </c>
      <c r="C1040" s="4" t="s">
        <v>2645</v>
      </c>
      <c r="D1040" s="4" t="s">
        <v>2649</v>
      </c>
      <c r="E1040" s="4" t="s">
        <v>2276</v>
      </c>
      <c r="F1040" s="4" t="s">
        <v>2276</v>
      </c>
      <c r="G1040" s="4" t="s">
        <v>2276</v>
      </c>
      <c r="H1040" s="4" t="s">
        <v>2276</v>
      </c>
      <c r="I1040" s="4" t="s">
        <v>2276</v>
      </c>
      <c r="J1040" s="4" t="s">
        <v>2276</v>
      </c>
      <c r="K1040" s="4" t="s">
        <v>534</v>
      </c>
      <c r="L1040" s="4" t="s">
        <v>2276</v>
      </c>
      <c r="M1040" s="4" t="s">
        <v>2276</v>
      </c>
      <c r="N1040" s="4" t="s">
        <v>2276</v>
      </c>
      <c r="O1040" s="4" t="s">
        <v>2276</v>
      </c>
      <c r="P1040" s="4" t="s">
        <v>2276</v>
      </c>
      <c r="Q1040" s="4" t="s">
        <v>2276</v>
      </c>
      <c r="R1040" s="4" t="s">
        <v>2276</v>
      </c>
      <c r="S1040" s="4" t="s">
        <v>2276</v>
      </c>
      <c r="T1040" s="4" t="s">
        <v>6447</v>
      </c>
    </row>
    <row r="1041" spans="1:20" ht="32" customHeight="1">
      <c r="A1041" s="4" t="s">
        <v>6425</v>
      </c>
      <c r="B1041" s="4" t="s">
        <v>1197</v>
      </c>
      <c r="C1041" s="4" t="s">
        <v>2645</v>
      </c>
      <c r="D1041" s="4" t="s">
        <v>2649</v>
      </c>
      <c r="E1041" s="4" t="s">
        <v>2276</v>
      </c>
      <c r="F1041" s="4" t="s">
        <v>2276</v>
      </c>
      <c r="G1041" s="4" t="s">
        <v>2276</v>
      </c>
      <c r="H1041" s="4" t="s">
        <v>2276</v>
      </c>
      <c r="I1041" s="4" t="s">
        <v>2276</v>
      </c>
      <c r="J1041" s="4" t="s">
        <v>2276</v>
      </c>
      <c r="K1041" s="4" t="s">
        <v>534</v>
      </c>
      <c r="L1041" s="4" t="s">
        <v>2276</v>
      </c>
      <c r="M1041" s="4" t="s">
        <v>2276</v>
      </c>
      <c r="N1041" s="4" t="s">
        <v>2276</v>
      </c>
      <c r="O1041" s="4" t="s">
        <v>2276</v>
      </c>
      <c r="P1041" s="4" t="s">
        <v>2276</v>
      </c>
      <c r="Q1041" s="4" t="s">
        <v>2276</v>
      </c>
      <c r="R1041" s="4" t="s">
        <v>2276</v>
      </c>
      <c r="S1041" s="4" t="s">
        <v>2276</v>
      </c>
      <c r="T1041" s="4" t="s">
        <v>6447</v>
      </c>
    </row>
    <row r="1042" spans="1:20" ht="32" customHeight="1">
      <c r="A1042" s="4" t="s">
        <v>6426</v>
      </c>
      <c r="B1042" s="4" t="s">
        <v>1197</v>
      </c>
      <c r="C1042" s="4" t="s">
        <v>2645</v>
      </c>
      <c r="D1042" s="4" t="s">
        <v>2649</v>
      </c>
      <c r="E1042" s="4" t="s">
        <v>2276</v>
      </c>
      <c r="F1042" s="4" t="s">
        <v>2276</v>
      </c>
      <c r="G1042" s="4" t="s">
        <v>2276</v>
      </c>
      <c r="H1042" s="4" t="s">
        <v>2276</v>
      </c>
      <c r="I1042" s="4" t="s">
        <v>2276</v>
      </c>
      <c r="J1042" s="4" t="s">
        <v>2276</v>
      </c>
      <c r="K1042" s="4" t="s">
        <v>534</v>
      </c>
      <c r="L1042" s="4" t="s">
        <v>2276</v>
      </c>
      <c r="M1042" s="4" t="s">
        <v>2276</v>
      </c>
      <c r="N1042" s="4" t="s">
        <v>2276</v>
      </c>
      <c r="O1042" s="4" t="s">
        <v>2276</v>
      </c>
      <c r="P1042" s="4" t="s">
        <v>2276</v>
      </c>
      <c r="Q1042" s="4" t="s">
        <v>2276</v>
      </c>
      <c r="R1042" s="4" t="s">
        <v>2276</v>
      </c>
      <c r="S1042" s="4" t="s">
        <v>2276</v>
      </c>
      <c r="T1042" s="4"/>
    </row>
    <row r="1043" spans="1:20" ht="32" customHeight="1">
      <c r="A1043" s="4" t="s">
        <v>6427</v>
      </c>
      <c r="B1043" s="4" t="s">
        <v>1197</v>
      </c>
      <c r="C1043" s="4" t="s">
        <v>2645</v>
      </c>
      <c r="D1043" s="4" t="s">
        <v>2649</v>
      </c>
      <c r="E1043" s="4" t="s">
        <v>2276</v>
      </c>
      <c r="F1043" s="4" t="s">
        <v>2276</v>
      </c>
      <c r="G1043" s="4" t="s">
        <v>2276</v>
      </c>
      <c r="H1043" s="4" t="s">
        <v>2276</v>
      </c>
      <c r="I1043" s="4" t="s">
        <v>2276</v>
      </c>
      <c r="J1043" s="4" t="s">
        <v>2276</v>
      </c>
      <c r="K1043" s="4" t="s">
        <v>534</v>
      </c>
      <c r="L1043" s="4" t="s">
        <v>2276</v>
      </c>
      <c r="M1043" s="4" t="s">
        <v>2276</v>
      </c>
      <c r="N1043" s="4" t="s">
        <v>2276</v>
      </c>
      <c r="O1043" s="4" t="s">
        <v>2276</v>
      </c>
      <c r="P1043" s="4" t="s">
        <v>2276</v>
      </c>
      <c r="Q1043" s="4" t="s">
        <v>2276</v>
      </c>
      <c r="R1043" s="4" t="s">
        <v>2276</v>
      </c>
      <c r="S1043" s="4" t="s">
        <v>2276</v>
      </c>
      <c r="T1043" s="4"/>
    </row>
    <row r="1044" spans="1:20" ht="32" customHeight="1">
      <c r="A1044" s="4" t="s">
        <v>6428</v>
      </c>
      <c r="B1044" s="4" t="s">
        <v>1197</v>
      </c>
      <c r="C1044" s="4" t="s">
        <v>2645</v>
      </c>
      <c r="D1044" s="4" t="s">
        <v>2649</v>
      </c>
      <c r="E1044" s="4" t="s">
        <v>137</v>
      </c>
      <c r="F1044" s="4" t="s">
        <v>2652</v>
      </c>
      <c r="G1044" s="4" t="s">
        <v>2276</v>
      </c>
      <c r="H1044" s="4" t="s">
        <v>2276</v>
      </c>
      <c r="I1044" s="4" t="s">
        <v>2276</v>
      </c>
      <c r="J1044" s="4" t="s">
        <v>2276</v>
      </c>
      <c r="K1044" s="4" t="s">
        <v>534</v>
      </c>
      <c r="L1044" s="4" t="s">
        <v>2276</v>
      </c>
      <c r="M1044" s="4" t="s">
        <v>2276</v>
      </c>
      <c r="N1044" s="4" t="s">
        <v>2276</v>
      </c>
      <c r="O1044" s="4" t="s">
        <v>2276</v>
      </c>
      <c r="P1044" s="4" t="s">
        <v>2276</v>
      </c>
      <c r="Q1044" s="4" t="s">
        <v>2276</v>
      </c>
      <c r="R1044" s="4" t="s">
        <v>2276</v>
      </c>
      <c r="S1044" s="4" t="s">
        <v>2276</v>
      </c>
      <c r="T1044" s="4"/>
    </row>
    <row r="1045" spans="1:20" ht="32" customHeight="1">
      <c r="A1045" s="4" t="s">
        <v>6429</v>
      </c>
      <c r="B1045" s="4" t="s">
        <v>1197</v>
      </c>
      <c r="C1045" s="4" t="s">
        <v>2645</v>
      </c>
      <c r="D1045" s="4" t="s">
        <v>2649</v>
      </c>
      <c r="E1045" s="4" t="s">
        <v>137</v>
      </c>
      <c r="F1045" s="4" t="s">
        <v>2652</v>
      </c>
      <c r="G1045" s="4" t="s">
        <v>2276</v>
      </c>
      <c r="H1045" s="4" t="s">
        <v>2276</v>
      </c>
      <c r="I1045" s="4" t="s">
        <v>2276</v>
      </c>
      <c r="J1045" s="4" t="s">
        <v>2276</v>
      </c>
      <c r="K1045" s="4" t="s">
        <v>534</v>
      </c>
      <c r="L1045" s="4" t="s">
        <v>2276</v>
      </c>
      <c r="M1045" s="4" t="s">
        <v>2276</v>
      </c>
      <c r="N1045" s="4" t="s">
        <v>2276</v>
      </c>
      <c r="O1045" s="4" t="s">
        <v>2276</v>
      </c>
      <c r="P1045" s="4" t="s">
        <v>2276</v>
      </c>
      <c r="Q1045" s="4" t="s">
        <v>2276</v>
      </c>
      <c r="R1045" s="4" t="s">
        <v>2276</v>
      </c>
      <c r="S1045" s="4" t="s">
        <v>2276</v>
      </c>
      <c r="T1045" s="4"/>
    </row>
    <row r="1046" spans="1:20" ht="32" customHeight="1">
      <c r="A1046" s="4" t="s">
        <v>6430</v>
      </c>
      <c r="B1046" s="4" t="s">
        <v>70</v>
      </c>
      <c r="C1046" s="4" t="s">
        <v>2645</v>
      </c>
      <c r="D1046" s="4" t="s">
        <v>2649</v>
      </c>
      <c r="E1046" s="4" t="s">
        <v>2276</v>
      </c>
      <c r="F1046" s="4" t="s">
        <v>2276</v>
      </c>
      <c r="G1046" s="4" t="s">
        <v>2276</v>
      </c>
      <c r="H1046" s="4" t="s">
        <v>2276</v>
      </c>
      <c r="I1046" s="4" t="s">
        <v>2276</v>
      </c>
      <c r="J1046" s="4" t="s">
        <v>2276</v>
      </c>
      <c r="K1046" s="4" t="s">
        <v>534</v>
      </c>
      <c r="L1046" s="4" t="s">
        <v>2276</v>
      </c>
      <c r="M1046" s="4" t="s">
        <v>2276</v>
      </c>
      <c r="N1046" s="4" t="s">
        <v>2276</v>
      </c>
      <c r="O1046" s="4" t="s">
        <v>2276</v>
      </c>
      <c r="P1046" s="4" t="s">
        <v>2276</v>
      </c>
      <c r="Q1046" s="4" t="s">
        <v>2276</v>
      </c>
      <c r="R1046" s="4" t="s">
        <v>2276</v>
      </c>
      <c r="S1046" s="4" t="s">
        <v>2276</v>
      </c>
      <c r="T1046" s="4"/>
    </row>
    <row r="1047" spans="1:20" ht="32" customHeight="1">
      <c r="A1047" s="4" t="s">
        <v>6431</v>
      </c>
      <c r="B1047" s="4" t="s">
        <v>70</v>
      </c>
      <c r="C1047" s="4" t="s">
        <v>2645</v>
      </c>
      <c r="D1047" s="4" t="s">
        <v>2649</v>
      </c>
      <c r="E1047" s="4" t="s">
        <v>2276</v>
      </c>
      <c r="F1047" s="4" t="s">
        <v>2276</v>
      </c>
      <c r="G1047" s="4" t="s">
        <v>2276</v>
      </c>
      <c r="H1047" s="4" t="s">
        <v>2276</v>
      </c>
      <c r="I1047" s="4" t="s">
        <v>2276</v>
      </c>
      <c r="J1047" s="4" t="s">
        <v>2276</v>
      </c>
      <c r="K1047" s="4" t="s">
        <v>534</v>
      </c>
      <c r="L1047" s="4" t="s">
        <v>2276</v>
      </c>
      <c r="M1047" s="4" t="s">
        <v>2276</v>
      </c>
      <c r="N1047" s="4" t="s">
        <v>2276</v>
      </c>
      <c r="O1047" s="4" t="s">
        <v>2276</v>
      </c>
      <c r="P1047" s="4" t="s">
        <v>2276</v>
      </c>
      <c r="Q1047" s="4" t="s">
        <v>2276</v>
      </c>
      <c r="R1047" s="4" t="s">
        <v>2276</v>
      </c>
      <c r="S1047" s="4" t="s">
        <v>2276</v>
      </c>
      <c r="T1047" s="4"/>
    </row>
    <row r="1048" spans="1:20" ht="32" customHeight="1">
      <c r="A1048" s="4" t="s">
        <v>6432</v>
      </c>
      <c r="B1048" s="4" t="s">
        <v>70</v>
      </c>
      <c r="C1048" s="4" t="s">
        <v>2645</v>
      </c>
      <c r="D1048" s="4" t="s">
        <v>2649</v>
      </c>
      <c r="E1048" s="4" t="s">
        <v>2276</v>
      </c>
      <c r="F1048" s="4" t="s">
        <v>2276</v>
      </c>
      <c r="G1048" s="4" t="s">
        <v>2276</v>
      </c>
      <c r="H1048" s="4" t="s">
        <v>2276</v>
      </c>
      <c r="I1048" s="4" t="s">
        <v>2276</v>
      </c>
      <c r="J1048" s="4" t="s">
        <v>2276</v>
      </c>
      <c r="K1048" s="4" t="s">
        <v>534</v>
      </c>
      <c r="L1048" s="4" t="s">
        <v>2276</v>
      </c>
      <c r="M1048" s="4" t="s">
        <v>2276</v>
      </c>
      <c r="N1048" s="4" t="s">
        <v>2276</v>
      </c>
      <c r="O1048" s="4" t="s">
        <v>2276</v>
      </c>
      <c r="P1048" s="4" t="s">
        <v>2276</v>
      </c>
      <c r="Q1048" s="4" t="s">
        <v>2276</v>
      </c>
      <c r="R1048" s="4" t="s">
        <v>2276</v>
      </c>
      <c r="S1048" s="4" t="s">
        <v>2276</v>
      </c>
      <c r="T1048" s="4"/>
    </row>
    <row r="1049" spans="1:20" ht="32" customHeight="1">
      <c r="A1049" s="4" t="s">
        <v>6433</v>
      </c>
      <c r="B1049" s="4" t="s">
        <v>1197</v>
      </c>
      <c r="C1049" s="4" t="s">
        <v>2645</v>
      </c>
      <c r="D1049" s="4" t="s">
        <v>2649</v>
      </c>
      <c r="E1049" s="4" t="s">
        <v>2276</v>
      </c>
      <c r="F1049" s="4" t="s">
        <v>2276</v>
      </c>
      <c r="G1049" s="4" t="s">
        <v>2276</v>
      </c>
      <c r="H1049" s="4" t="s">
        <v>2276</v>
      </c>
      <c r="I1049" s="4" t="s">
        <v>2276</v>
      </c>
      <c r="J1049" s="4" t="s">
        <v>2276</v>
      </c>
      <c r="K1049" s="4" t="s">
        <v>534</v>
      </c>
      <c r="L1049" s="4" t="s">
        <v>2276</v>
      </c>
      <c r="M1049" s="4" t="s">
        <v>2276</v>
      </c>
      <c r="N1049" s="4" t="s">
        <v>2276</v>
      </c>
      <c r="O1049" s="4" t="s">
        <v>2276</v>
      </c>
      <c r="P1049" s="4" t="s">
        <v>2276</v>
      </c>
      <c r="Q1049" s="4" t="s">
        <v>2276</v>
      </c>
      <c r="R1049" s="4" t="s">
        <v>2276</v>
      </c>
      <c r="S1049" s="4" t="s">
        <v>2276</v>
      </c>
      <c r="T1049" s="4"/>
    </row>
    <row r="1050" spans="1:20" ht="32" customHeight="1">
      <c r="A1050" s="4" t="s">
        <v>6434</v>
      </c>
      <c r="B1050" s="4" t="s">
        <v>1197</v>
      </c>
      <c r="C1050" s="4" t="s">
        <v>2645</v>
      </c>
      <c r="D1050" s="4" t="s">
        <v>2649</v>
      </c>
      <c r="E1050" s="4" t="s">
        <v>2276</v>
      </c>
      <c r="F1050" s="4" t="s">
        <v>2276</v>
      </c>
      <c r="G1050" s="4" t="s">
        <v>2276</v>
      </c>
      <c r="H1050" s="4" t="s">
        <v>2276</v>
      </c>
      <c r="I1050" s="4" t="s">
        <v>2276</v>
      </c>
      <c r="J1050" s="4" t="s">
        <v>2276</v>
      </c>
      <c r="K1050" s="4" t="s">
        <v>534</v>
      </c>
      <c r="L1050" s="4" t="s">
        <v>2276</v>
      </c>
      <c r="M1050" s="4" t="s">
        <v>2276</v>
      </c>
      <c r="N1050" s="4" t="s">
        <v>2276</v>
      </c>
      <c r="O1050" s="4" t="s">
        <v>2276</v>
      </c>
      <c r="P1050" s="4" t="s">
        <v>2276</v>
      </c>
      <c r="Q1050" s="4" t="s">
        <v>2276</v>
      </c>
      <c r="R1050" s="4" t="s">
        <v>2276</v>
      </c>
      <c r="S1050" s="4" t="s">
        <v>2276</v>
      </c>
      <c r="T1050" s="4"/>
    </row>
    <row r="1051" spans="1:20" ht="32" customHeight="1">
      <c r="A1051" s="4" t="s">
        <v>6435</v>
      </c>
      <c r="B1051" s="4" t="s">
        <v>1197</v>
      </c>
      <c r="C1051" s="4" t="s">
        <v>2645</v>
      </c>
      <c r="D1051" s="4" t="s">
        <v>2649</v>
      </c>
      <c r="E1051" s="4" t="s">
        <v>137</v>
      </c>
      <c r="F1051" s="4" t="s">
        <v>2652</v>
      </c>
      <c r="G1051" s="4" t="s">
        <v>2276</v>
      </c>
      <c r="H1051" s="4" t="s">
        <v>2276</v>
      </c>
      <c r="I1051" s="4" t="s">
        <v>2276</v>
      </c>
      <c r="J1051" s="4" t="s">
        <v>2276</v>
      </c>
      <c r="K1051" s="4" t="s">
        <v>534</v>
      </c>
      <c r="L1051" s="4" t="s">
        <v>2276</v>
      </c>
      <c r="M1051" s="4" t="s">
        <v>2276</v>
      </c>
      <c r="N1051" s="4" t="s">
        <v>2276</v>
      </c>
      <c r="O1051" s="4" t="s">
        <v>2276</v>
      </c>
      <c r="P1051" s="4" t="s">
        <v>2276</v>
      </c>
      <c r="Q1051" s="4" t="s">
        <v>2276</v>
      </c>
      <c r="R1051" s="4" t="s">
        <v>2276</v>
      </c>
      <c r="S1051" s="4" t="s">
        <v>2276</v>
      </c>
      <c r="T1051" s="4"/>
    </row>
    <row r="1052" spans="1:20" ht="32" customHeight="1">
      <c r="A1052" s="4" t="s">
        <v>6436</v>
      </c>
      <c r="B1052" s="4" t="s">
        <v>1197</v>
      </c>
      <c r="C1052" s="4" t="s">
        <v>2645</v>
      </c>
      <c r="D1052" s="4" t="s">
        <v>2649</v>
      </c>
      <c r="E1052" s="4" t="s">
        <v>137</v>
      </c>
      <c r="F1052" s="4" t="s">
        <v>2652</v>
      </c>
      <c r="G1052" s="4" t="s">
        <v>2276</v>
      </c>
      <c r="H1052" s="4" t="s">
        <v>2276</v>
      </c>
      <c r="I1052" s="4" t="s">
        <v>2276</v>
      </c>
      <c r="J1052" s="4" t="s">
        <v>2276</v>
      </c>
      <c r="K1052" s="4" t="s">
        <v>534</v>
      </c>
      <c r="L1052" s="4" t="s">
        <v>2276</v>
      </c>
      <c r="M1052" s="4" t="s">
        <v>2276</v>
      </c>
      <c r="N1052" s="4" t="s">
        <v>2276</v>
      </c>
      <c r="O1052" s="4" t="s">
        <v>2276</v>
      </c>
      <c r="P1052" s="4" t="s">
        <v>2276</v>
      </c>
      <c r="Q1052" s="4" t="s">
        <v>2276</v>
      </c>
      <c r="R1052" s="4" t="s">
        <v>2276</v>
      </c>
      <c r="S1052" s="4" t="s">
        <v>2276</v>
      </c>
      <c r="T1052" s="4"/>
    </row>
    <row r="1053" spans="1:20" ht="32" customHeight="1">
      <c r="A1053" s="4" t="s">
        <v>6437</v>
      </c>
      <c r="B1053" s="4" t="s">
        <v>1197</v>
      </c>
      <c r="C1053" s="4" t="s">
        <v>2645</v>
      </c>
      <c r="D1053" s="4" t="s">
        <v>137</v>
      </c>
      <c r="E1053" s="4" t="s">
        <v>2652</v>
      </c>
      <c r="F1053" s="4" t="s">
        <v>2276</v>
      </c>
      <c r="G1053" s="4" t="s">
        <v>2276</v>
      </c>
      <c r="H1053" s="4" t="s">
        <v>2276</v>
      </c>
      <c r="I1053" s="4" t="s">
        <v>2276</v>
      </c>
      <c r="J1053" s="4" t="s">
        <v>2276</v>
      </c>
      <c r="K1053" s="4" t="s">
        <v>537</v>
      </c>
      <c r="L1053" s="4" t="s">
        <v>2276</v>
      </c>
      <c r="M1053" s="4" t="s">
        <v>2276</v>
      </c>
      <c r="N1053" s="4" t="s">
        <v>2276</v>
      </c>
      <c r="O1053" s="4" t="s">
        <v>2276</v>
      </c>
      <c r="P1053" s="4" t="s">
        <v>2276</v>
      </c>
      <c r="Q1053" s="4" t="s">
        <v>2276</v>
      </c>
      <c r="R1053" s="4" t="s">
        <v>2276</v>
      </c>
      <c r="S1053" s="4" t="s">
        <v>2276</v>
      </c>
      <c r="T1053" s="4"/>
    </row>
    <row r="1054" spans="1:20" ht="32" customHeight="1">
      <c r="A1054" s="4" t="s">
        <v>6438</v>
      </c>
      <c r="B1054" s="4" t="s">
        <v>32</v>
      </c>
      <c r="C1054" s="4" t="s">
        <v>2645</v>
      </c>
      <c r="D1054" s="4" t="s">
        <v>2649</v>
      </c>
      <c r="E1054" s="4" t="s">
        <v>2276</v>
      </c>
      <c r="F1054" s="4" t="s">
        <v>2276</v>
      </c>
      <c r="G1054" s="4" t="s">
        <v>2276</v>
      </c>
      <c r="H1054" s="4" t="s">
        <v>2276</v>
      </c>
      <c r="I1054" s="4" t="s">
        <v>2276</v>
      </c>
      <c r="J1054" s="4" t="s">
        <v>2276</v>
      </c>
      <c r="K1054" s="4" t="s">
        <v>534</v>
      </c>
      <c r="L1054" s="4" t="s">
        <v>2276</v>
      </c>
      <c r="M1054" s="4" t="s">
        <v>2276</v>
      </c>
      <c r="N1054" s="4" t="s">
        <v>2276</v>
      </c>
      <c r="O1054" s="4" t="s">
        <v>2276</v>
      </c>
      <c r="P1054" s="75">
        <v>3.16</v>
      </c>
      <c r="Q1054" s="4" t="s">
        <v>2276</v>
      </c>
      <c r="R1054" s="75">
        <f>100-8.21</f>
        <v>91.789999999999992</v>
      </c>
      <c r="S1054" s="4" t="s">
        <v>2276</v>
      </c>
      <c r="T1054" s="4"/>
    </row>
    <row r="1055" spans="1:20" ht="46.5" customHeight="1">
      <c r="A1055" s="4" t="s">
        <v>6439</v>
      </c>
      <c r="B1055" s="4" t="s">
        <v>1197</v>
      </c>
      <c r="C1055" s="4" t="s">
        <v>2645</v>
      </c>
      <c r="D1055" s="4" t="s">
        <v>2649</v>
      </c>
      <c r="E1055" s="4" t="s">
        <v>137</v>
      </c>
      <c r="F1055" s="4" t="s">
        <v>3854</v>
      </c>
      <c r="G1055" s="4" t="s">
        <v>2276</v>
      </c>
      <c r="H1055" s="223">
        <f>1340/581200</f>
        <v>2.3055746730901582E-3</v>
      </c>
      <c r="I1055" s="4">
        <v>4827</v>
      </c>
      <c r="J1055" s="4"/>
      <c r="K1055" s="4" t="s">
        <v>534</v>
      </c>
      <c r="L1055" s="4" t="s">
        <v>2276</v>
      </c>
      <c r="M1055" s="4" t="s">
        <v>2276</v>
      </c>
      <c r="N1055" s="4" t="s">
        <v>2276</v>
      </c>
      <c r="O1055" s="4" t="s">
        <v>2276</v>
      </c>
      <c r="P1055" s="4" t="s">
        <v>2276</v>
      </c>
      <c r="Q1055" s="4" t="s">
        <v>2276</v>
      </c>
      <c r="R1055" s="4" t="s">
        <v>2276</v>
      </c>
      <c r="S1055" s="4" t="s">
        <v>2276</v>
      </c>
      <c r="T1055" s="4" t="s">
        <v>6448</v>
      </c>
    </row>
    <row r="1056" spans="1:20" ht="32" customHeight="1">
      <c r="A1056" s="4" t="s">
        <v>6440</v>
      </c>
      <c r="B1056" s="4" t="s">
        <v>1197</v>
      </c>
      <c r="C1056" s="4" t="s">
        <v>2645</v>
      </c>
      <c r="D1056" s="4" t="s">
        <v>2649</v>
      </c>
      <c r="E1056" s="4" t="s">
        <v>2276</v>
      </c>
      <c r="F1056" s="4" t="s">
        <v>2276</v>
      </c>
      <c r="G1056" s="4" t="s">
        <v>2276</v>
      </c>
      <c r="H1056" s="4" t="s">
        <v>2276</v>
      </c>
      <c r="I1056" s="4" t="s">
        <v>2276</v>
      </c>
      <c r="J1056" s="4" t="s">
        <v>2276</v>
      </c>
      <c r="K1056" s="4" t="s">
        <v>534</v>
      </c>
      <c r="L1056" s="4" t="s">
        <v>2276</v>
      </c>
      <c r="M1056" s="4" t="s">
        <v>2276</v>
      </c>
      <c r="N1056" s="4" t="s">
        <v>2276</v>
      </c>
      <c r="O1056" s="4" t="s">
        <v>2276</v>
      </c>
      <c r="P1056" s="4" t="s">
        <v>2276</v>
      </c>
      <c r="Q1056" s="4" t="s">
        <v>2276</v>
      </c>
      <c r="R1056" s="4" t="s">
        <v>2276</v>
      </c>
      <c r="S1056" s="4" t="s">
        <v>2276</v>
      </c>
      <c r="T1056" s="4"/>
    </row>
    <row r="1057" spans="1:20" ht="32" customHeight="1">
      <c r="A1057" s="4" t="s">
        <v>6441</v>
      </c>
      <c r="B1057" s="4" t="s">
        <v>32</v>
      </c>
      <c r="C1057" s="4" t="s">
        <v>2645</v>
      </c>
      <c r="D1057" s="4" t="s">
        <v>2649</v>
      </c>
      <c r="E1057" s="4" t="s">
        <v>137</v>
      </c>
      <c r="F1057" s="4" t="s">
        <v>2276</v>
      </c>
      <c r="G1057" s="4" t="s">
        <v>2276</v>
      </c>
      <c r="H1057" s="4" t="s">
        <v>2276</v>
      </c>
      <c r="I1057" s="4" t="s">
        <v>2276</v>
      </c>
      <c r="J1057" s="4" t="s">
        <v>2276</v>
      </c>
      <c r="K1057" s="4" t="s">
        <v>534</v>
      </c>
      <c r="L1057" s="4" t="s">
        <v>2276</v>
      </c>
      <c r="M1057" s="4" t="s">
        <v>2276</v>
      </c>
      <c r="N1057" s="4" t="s">
        <v>2276</v>
      </c>
      <c r="O1057" s="4" t="s">
        <v>2276</v>
      </c>
      <c r="P1057" s="4" t="s">
        <v>2276</v>
      </c>
      <c r="Q1057" s="4" t="s">
        <v>2276</v>
      </c>
      <c r="R1057" s="4" t="s">
        <v>2276</v>
      </c>
      <c r="S1057" s="4" t="s">
        <v>2276</v>
      </c>
      <c r="T1057" s="4"/>
    </row>
    <row r="1058" spans="1:20" ht="24.5" customHeight="1">
      <c r="A1058" s="19" t="s">
        <v>7061</v>
      </c>
      <c r="B1058" s="205" t="s">
        <v>2276</v>
      </c>
      <c r="C1058" s="205" t="s">
        <v>2646</v>
      </c>
      <c r="D1058" s="205" t="s">
        <v>5801</v>
      </c>
      <c r="E1058" s="205" t="s">
        <v>45</v>
      </c>
      <c r="F1058" s="4" t="s">
        <v>2276</v>
      </c>
      <c r="G1058" s="4" t="s">
        <v>2276</v>
      </c>
      <c r="H1058" s="4" t="s">
        <v>2276</v>
      </c>
      <c r="I1058" s="4" t="s">
        <v>2276</v>
      </c>
      <c r="J1058" s="4" t="s">
        <v>2276</v>
      </c>
      <c r="K1058" s="4" t="s">
        <v>2276</v>
      </c>
      <c r="L1058" s="4" t="s">
        <v>2276</v>
      </c>
      <c r="M1058" s="4" t="s">
        <v>2276</v>
      </c>
      <c r="N1058" s="4" t="s">
        <v>2276</v>
      </c>
      <c r="O1058" s="4" t="s">
        <v>2276</v>
      </c>
      <c r="P1058" s="4" t="s">
        <v>2276</v>
      </c>
      <c r="Q1058" s="4" t="s">
        <v>2276</v>
      </c>
      <c r="R1058" s="4" t="s">
        <v>2276</v>
      </c>
      <c r="S1058" s="4" t="s">
        <v>2276</v>
      </c>
      <c r="T1058" s="205"/>
    </row>
    <row r="1059" spans="1:20" ht="29.5" customHeight="1">
      <c r="A1059" s="19" t="s">
        <v>7069</v>
      </c>
      <c r="B1059" s="205" t="s">
        <v>2276</v>
      </c>
      <c r="C1059" s="205" t="s">
        <v>12</v>
      </c>
      <c r="D1059" s="205" t="s">
        <v>45</v>
      </c>
      <c r="E1059" s="205" t="s">
        <v>84</v>
      </c>
      <c r="F1059" s="4" t="s">
        <v>2276</v>
      </c>
      <c r="G1059" s="4" t="s">
        <v>2276</v>
      </c>
      <c r="H1059" s="4" t="s">
        <v>2276</v>
      </c>
      <c r="I1059" s="4" t="s">
        <v>2276</v>
      </c>
      <c r="J1059" s="4" t="s">
        <v>2276</v>
      </c>
      <c r="K1059" s="4" t="s">
        <v>2276</v>
      </c>
      <c r="L1059" s="4" t="s">
        <v>2276</v>
      </c>
      <c r="M1059" s="4" t="s">
        <v>2276</v>
      </c>
      <c r="N1059" s="4" t="s">
        <v>2276</v>
      </c>
      <c r="O1059" s="21">
        <f>100 * 1090 / 0.2 * 0.75 / 'Record info'!$K1059</f>
        <v>11.943024105186268</v>
      </c>
      <c r="P1059" s="4" t="s">
        <v>2276</v>
      </c>
      <c r="Q1059" s="21">
        <f>100 * 1090 / 0.2 * 0.25 / 'Record info'!$K1059</f>
        <v>3.9810080350620893</v>
      </c>
      <c r="R1059" s="21">
        <f>100 - Q1059 - O1059 - 7.62</f>
        <v>76.455967859751638</v>
      </c>
      <c r="S1059" s="4" t="s">
        <v>2276</v>
      </c>
      <c r="T1059" s="4" t="s">
        <v>7075</v>
      </c>
    </row>
    <row r="1060" spans="1:20" ht="29.5" customHeight="1">
      <c r="A1060" s="19" t="s">
        <v>7080</v>
      </c>
      <c r="B1060" s="205" t="s">
        <v>32</v>
      </c>
      <c r="C1060" s="205" t="s">
        <v>12</v>
      </c>
      <c r="D1060" s="205" t="s">
        <v>45</v>
      </c>
      <c r="E1060" s="205" t="s">
        <v>84</v>
      </c>
      <c r="F1060" s="4" t="s">
        <v>2276</v>
      </c>
      <c r="G1060" s="4" t="s">
        <v>2276</v>
      </c>
      <c r="H1060" s="4" t="s">
        <v>2276</v>
      </c>
      <c r="I1060" s="4" t="s">
        <v>2276</v>
      </c>
      <c r="J1060" s="4" t="s">
        <v>2276</v>
      </c>
      <c r="K1060" s="4" t="s">
        <v>2276</v>
      </c>
      <c r="L1060" s="4" t="s">
        <v>2276</v>
      </c>
      <c r="M1060" s="4" t="s">
        <v>2276</v>
      </c>
      <c r="N1060" s="4" t="s">
        <v>2276</v>
      </c>
      <c r="O1060" s="21">
        <f>100 * (13200 + 534/0.34) / 'Record info'!K1060 / 2</f>
        <v>21.57865337515576</v>
      </c>
      <c r="P1060" s="21">
        <v>21.57865337515576</v>
      </c>
      <c r="Q1060" s="4" t="s">
        <v>2276</v>
      </c>
      <c r="R1060" s="21">
        <f>100-O1060-P1060</f>
        <v>56.842693249688473</v>
      </c>
      <c r="S1060" s="21">
        <f>100 * ((534/0.34/4) / (0.56834*'Record info'!K1060))</f>
        <v>2.0186018591661825</v>
      </c>
      <c r="T1060" s="4" t="s">
        <v>7083</v>
      </c>
    </row>
    <row r="1061" spans="1:20" ht="31" customHeight="1">
      <c r="A1061" s="19" t="s">
        <v>7090</v>
      </c>
      <c r="B1061" s="205" t="s">
        <v>2276</v>
      </c>
      <c r="C1061" s="205" t="s">
        <v>12</v>
      </c>
      <c r="D1061" s="205" t="s">
        <v>84</v>
      </c>
      <c r="E1061" s="205" t="s">
        <v>45</v>
      </c>
      <c r="F1061" s="4" t="s">
        <v>2276</v>
      </c>
      <c r="G1061" s="4" t="s">
        <v>2276</v>
      </c>
      <c r="H1061" s="4" t="s">
        <v>2276</v>
      </c>
      <c r="I1061" s="4" t="s">
        <v>2276</v>
      </c>
      <c r="J1061" s="4" t="s">
        <v>2276</v>
      </c>
      <c r="K1061" s="4" t="s">
        <v>2276</v>
      </c>
      <c r="L1061" s="4" t="s">
        <v>2276</v>
      </c>
      <c r="M1061" s="4" t="s">
        <v>2276</v>
      </c>
      <c r="N1061" s="4" t="s">
        <v>2276</v>
      </c>
      <c r="O1061" s="4" t="s">
        <v>2276</v>
      </c>
      <c r="P1061" s="4" t="s">
        <v>2276</v>
      </c>
      <c r="Q1061" s="4" t="s">
        <v>2276</v>
      </c>
      <c r="R1061" s="4" t="s">
        <v>2276</v>
      </c>
      <c r="S1061" s="4" t="s">
        <v>2276</v>
      </c>
      <c r="T1061" s="205"/>
    </row>
    <row r="1062" spans="1:20" ht="33" customHeight="1">
      <c r="A1062" s="19" t="s">
        <v>7096</v>
      </c>
      <c r="B1062" s="205" t="s">
        <v>32</v>
      </c>
      <c r="C1062" s="205" t="s">
        <v>2645</v>
      </c>
      <c r="D1062" s="205" t="s">
        <v>137</v>
      </c>
      <c r="E1062" s="205" t="s">
        <v>2647</v>
      </c>
      <c r="F1062" s="4" t="s">
        <v>2276</v>
      </c>
      <c r="G1062" s="4" t="s">
        <v>2276</v>
      </c>
      <c r="H1062" s="4" t="s">
        <v>2276</v>
      </c>
      <c r="I1062" s="4" t="s">
        <v>2276</v>
      </c>
      <c r="J1062" s="4" t="s">
        <v>2276</v>
      </c>
      <c r="K1062" s="4" t="s">
        <v>2276</v>
      </c>
      <c r="L1062" s="4" t="s">
        <v>2276</v>
      </c>
      <c r="M1062" s="4" t="s">
        <v>2276</v>
      </c>
      <c r="N1062" s="4" t="s">
        <v>2276</v>
      </c>
      <c r="O1062" s="4" t="s">
        <v>2276</v>
      </c>
      <c r="P1062" s="4" t="s">
        <v>2276</v>
      </c>
      <c r="Q1062" s="4" t="s">
        <v>2276</v>
      </c>
      <c r="R1062" s="4" t="s">
        <v>2276</v>
      </c>
      <c r="S1062" s="4" t="s">
        <v>2276</v>
      </c>
      <c r="T1062" s="205"/>
    </row>
    <row r="1063" spans="1:20" ht="29.5" customHeight="1">
      <c r="A1063" s="19" t="s">
        <v>7106</v>
      </c>
      <c r="B1063" s="205" t="s">
        <v>32</v>
      </c>
      <c r="C1063" s="205" t="s">
        <v>12</v>
      </c>
      <c r="D1063" s="205" t="s">
        <v>45</v>
      </c>
      <c r="E1063" s="205" t="s">
        <v>137</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5"/>
    </row>
    <row r="1064" spans="1:20" ht="26.5" customHeight="1">
      <c r="A1064" s="19" t="s">
        <v>7112</v>
      </c>
      <c r="B1064" s="205" t="s">
        <v>2276</v>
      </c>
      <c r="C1064" s="205" t="s">
        <v>12</v>
      </c>
      <c r="D1064" s="205" t="s">
        <v>45</v>
      </c>
      <c r="E1064" s="4" t="s">
        <v>2276</v>
      </c>
      <c r="F1064" s="4" t="s">
        <v>2276</v>
      </c>
      <c r="G1064" s="4" t="s">
        <v>2276</v>
      </c>
      <c r="H1064" s="4" t="s">
        <v>2276</v>
      </c>
      <c r="I1064" s="4" t="s">
        <v>2276</v>
      </c>
      <c r="J1064" s="4" t="s">
        <v>2276</v>
      </c>
      <c r="K1064" s="4" t="s">
        <v>2276</v>
      </c>
      <c r="L1064" s="4" t="s">
        <v>2276</v>
      </c>
      <c r="M1064" s="4" t="s">
        <v>2276</v>
      </c>
      <c r="N1064" s="4" t="s">
        <v>2276</v>
      </c>
      <c r="O1064" s="4" t="s">
        <v>2276</v>
      </c>
      <c r="P1064" s="4" t="s">
        <v>2276</v>
      </c>
      <c r="Q1064" s="4" t="s">
        <v>2276</v>
      </c>
      <c r="R1064" s="4" t="s">
        <v>2276</v>
      </c>
      <c r="S1064" s="4" t="s">
        <v>2276</v>
      </c>
      <c r="T1064" s="205"/>
    </row>
    <row r="1065" spans="1:20" ht="27.5" customHeight="1">
      <c r="A1065" s="19" t="s">
        <v>7119</v>
      </c>
      <c r="B1065" s="11" t="s">
        <v>2276</v>
      </c>
      <c r="C1065" s="11" t="s">
        <v>12</v>
      </c>
      <c r="D1065" s="11" t="s">
        <v>45</v>
      </c>
      <c r="E1065" s="11" t="s">
        <v>2652</v>
      </c>
      <c r="F1065" s="11" t="s">
        <v>116</v>
      </c>
      <c r="G1065" s="19" t="s">
        <v>2276</v>
      </c>
      <c r="H1065" s="14">
        <v>0.25</v>
      </c>
      <c r="I1065" s="19" t="s">
        <v>2276</v>
      </c>
      <c r="J1065" s="19" t="s">
        <v>2276</v>
      </c>
      <c r="K1065" s="19" t="s">
        <v>2276</v>
      </c>
      <c r="L1065" s="19" t="s">
        <v>2276</v>
      </c>
      <c r="M1065" s="19" t="s">
        <v>2276</v>
      </c>
      <c r="N1065" s="19" t="s">
        <v>2276</v>
      </c>
      <c r="O1065" s="19" t="s">
        <v>2276</v>
      </c>
      <c r="P1065" s="19" t="s">
        <v>2276</v>
      </c>
      <c r="Q1065" s="19" t="s">
        <v>2276</v>
      </c>
      <c r="R1065" s="19" t="s">
        <v>2276</v>
      </c>
      <c r="S1065" s="19" t="s">
        <v>2276</v>
      </c>
      <c r="T1065" s="11" t="s">
        <v>5213</v>
      </c>
    </row>
    <row r="1066" spans="1:20" ht="28.5" customHeight="1">
      <c r="A1066" s="205" t="s">
        <v>7132</v>
      </c>
      <c r="B1066" s="205" t="s">
        <v>32</v>
      </c>
      <c r="C1066" s="205" t="s">
        <v>12</v>
      </c>
      <c r="D1066" s="205" t="s">
        <v>84</v>
      </c>
      <c r="E1066" s="205" t="s">
        <v>137</v>
      </c>
      <c r="F1066" s="205" t="s">
        <v>45</v>
      </c>
      <c r="G1066" s="205" t="s">
        <v>130</v>
      </c>
      <c r="H1066" s="4" t="s">
        <v>2276</v>
      </c>
      <c r="I1066" s="4" t="s">
        <v>2276</v>
      </c>
      <c r="J1066" s="4" t="s">
        <v>2276</v>
      </c>
      <c r="K1066" s="4" t="s">
        <v>2276</v>
      </c>
      <c r="L1066" s="4" t="s">
        <v>2276</v>
      </c>
      <c r="M1066" s="4" t="s">
        <v>2276</v>
      </c>
      <c r="N1066" s="4" t="s">
        <v>2276</v>
      </c>
      <c r="O1066" s="4" t="s">
        <v>2276</v>
      </c>
      <c r="P1066" s="4" t="s">
        <v>2276</v>
      </c>
      <c r="Q1066" s="4" t="s">
        <v>2276</v>
      </c>
      <c r="R1066" s="4" t="s">
        <v>2276</v>
      </c>
      <c r="S1066" s="4" t="s">
        <v>2276</v>
      </c>
      <c r="T1066" s="205"/>
    </row>
    <row r="1067" spans="1:20" ht="28.5" customHeight="1">
      <c r="A1067" s="19" t="s">
        <v>7133</v>
      </c>
      <c r="B1067" s="205" t="s">
        <v>32</v>
      </c>
      <c r="C1067" s="205" t="s">
        <v>12</v>
      </c>
      <c r="D1067" s="205" t="s">
        <v>84</v>
      </c>
      <c r="E1067" s="205" t="s">
        <v>137</v>
      </c>
      <c r="F1067" s="205" t="s">
        <v>45</v>
      </c>
      <c r="G1067" s="205" t="s">
        <v>130</v>
      </c>
      <c r="H1067" s="4" t="s">
        <v>2276</v>
      </c>
      <c r="I1067" s="4" t="s">
        <v>2276</v>
      </c>
      <c r="J1067" s="4" t="s">
        <v>2276</v>
      </c>
      <c r="K1067" s="4" t="s">
        <v>2276</v>
      </c>
      <c r="L1067" s="4" t="s">
        <v>2276</v>
      </c>
      <c r="M1067" s="4" t="s">
        <v>2276</v>
      </c>
      <c r="N1067" s="4" t="s">
        <v>2276</v>
      </c>
      <c r="O1067" s="4" t="s">
        <v>2276</v>
      </c>
      <c r="P1067" s="4" t="s">
        <v>2276</v>
      </c>
      <c r="Q1067" s="4" t="s">
        <v>2276</v>
      </c>
      <c r="R1067" s="4" t="s">
        <v>2276</v>
      </c>
      <c r="S1067" s="4" t="s">
        <v>2276</v>
      </c>
      <c r="T1067" s="205"/>
    </row>
    <row r="1068" spans="1:20" ht="28.5" customHeight="1">
      <c r="A1068" s="19" t="s">
        <v>7134</v>
      </c>
      <c r="B1068" s="205" t="s">
        <v>32</v>
      </c>
      <c r="C1068" s="205" t="s">
        <v>12</v>
      </c>
      <c r="D1068" s="205" t="s">
        <v>84</v>
      </c>
      <c r="E1068" s="205" t="s">
        <v>137</v>
      </c>
      <c r="F1068" s="205" t="s">
        <v>45</v>
      </c>
      <c r="G1068" s="205" t="s">
        <v>130</v>
      </c>
      <c r="H1068" s="4" t="s">
        <v>2276</v>
      </c>
      <c r="I1068" s="4" t="s">
        <v>2276</v>
      </c>
      <c r="J1068" s="4" t="s">
        <v>2276</v>
      </c>
      <c r="K1068" s="4" t="s">
        <v>2276</v>
      </c>
      <c r="L1068" s="4" t="s">
        <v>2276</v>
      </c>
      <c r="M1068" s="4" t="s">
        <v>2276</v>
      </c>
      <c r="N1068" s="4" t="s">
        <v>2276</v>
      </c>
      <c r="O1068" s="4" t="s">
        <v>2276</v>
      </c>
      <c r="P1068" s="4" t="s">
        <v>2276</v>
      </c>
      <c r="Q1068" s="4" t="s">
        <v>2276</v>
      </c>
      <c r="R1068" s="4" t="s">
        <v>2276</v>
      </c>
      <c r="S1068" s="4" t="s">
        <v>2276</v>
      </c>
      <c r="T1068" s="205"/>
    </row>
    <row r="1069" spans="1:20" ht="29" customHeight="1">
      <c r="A1069" s="19" t="s">
        <v>7152</v>
      </c>
      <c r="B1069" s="205" t="s">
        <v>2276</v>
      </c>
      <c r="C1069" s="205" t="s">
        <v>2646</v>
      </c>
      <c r="D1069" s="205" t="s">
        <v>5801</v>
      </c>
      <c r="E1069" s="205" t="s">
        <v>45</v>
      </c>
      <c r="F1069" s="205" t="s">
        <v>137</v>
      </c>
      <c r="G1069" s="4" t="s">
        <v>2276</v>
      </c>
      <c r="H1069" s="4" t="s">
        <v>2276</v>
      </c>
      <c r="I1069" s="4" t="s">
        <v>2276</v>
      </c>
      <c r="J1069" s="4" t="s">
        <v>2276</v>
      </c>
      <c r="K1069" s="4" t="s">
        <v>2276</v>
      </c>
      <c r="L1069" s="4" t="s">
        <v>2276</v>
      </c>
      <c r="M1069" s="4" t="s">
        <v>2276</v>
      </c>
      <c r="N1069" s="4" t="s">
        <v>2276</v>
      </c>
      <c r="O1069" s="4" t="s">
        <v>2276</v>
      </c>
      <c r="P1069" s="4" t="s">
        <v>2276</v>
      </c>
      <c r="Q1069" s="4" t="s">
        <v>2276</v>
      </c>
      <c r="R1069" s="4" t="s">
        <v>2276</v>
      </c>
      <c r="S1069" s="4" t="s">
        <v>2276</v>
      </c>
      <c r="T1069" s="205"/>
    </row>
    <row r="1070" spans="1:20" ht="23.5" customHeight="1">
      <c r="A1070" s="19" t="s">
        <v>7167</v>
      </c>
      <c r="B1070" s="205" t="s">
        <v>2276</v>
      </c>
      <c r="C1070" s="205" t="s">
        <v>12</v>
      </c>
      <c r="D1070" s="11" t="s">
        <v>45</v>
      </c>
      <c r="E1070" s="205" t="s">
        <v>5801</v>
      </c>
      <c r="F1070" s="4" t="s">
        <v>2276</v>
      </c>
      <c r="G1070" s="4" t="s">
        <v>2276</v>
      </c>
      <c r="H1070" s="4" t="s">
        <v>2276</v>
      </c>
      <c r="I1070" s="4" t="s">
        <v>2276</v>
      </c>
      <c r="J1070" s="205" t="s">
        <v>2276</v>
      </c>
      <c r="K1070" s="205" t="s">
        <v>2276</v>
      </c>
      <c r="L1070" s="205" t="s">
        <v>2276</v>
      </c>
      <c r="M1070" s="205" t="s">
        <v>2276</v>
      </c>
      <c r="N1070" s="205" t="s">
        <v>2276</v>
      </c>
      <c r="O1070" s="205" t="s">
        <v>2276</v>
      </c>
      <c r="P1070" s="205" t="s">
        <v>2276</v>
      </c>
      <c r="Q1070" s="205" t="s">
        <v>2276</v>
      </c>
      <c r="R1070" s="21">
        <v>60</v>
      </c>
      <c r="S1070" s="205" t="s">
        <v>2276</v>
      </c>
      <c r="T1070" s="205"/>
    </row>
    <row r="1071" spans="1:20" ht="23.5" customHeight="1">
      <c r="A1071" s="19" t="s">
        <v>7187</v>
      </c>
      <c r="B1071" s="205" t="s">
        <v>2276</v>
      </c>
      <c r="C1071" s="205" t="s">
        <v>12</v>
      </c>
      <c r="D1071" s="11" t="s">
        <v>45</v>
      </c>
      <c r="E1071" s="205" t="s">
        <v>5801</v>
      </c>
      <c r="F1071" s="4" t="s">
        <v>2276</v>
      </c>
      <c r="G1071" s="4" t="s">
        <v>2276</v>
      </c>
      <c r="H1071" s="4" t="s">
        <v>2276</v>
      </c>
      <c r="I1071" s="4" t="s">
        <v>2276</v>
      </c>
      <c r="J1071" s="205" t="s">
        <v>2276</v>
      </c>
      <c r="K1071" s="205" t="s">
        <v>2276</v>
      </c>
      <c r="L1071" s="205" t="s">
        <v>2276</v>
      </c>
      <c r="M1071" s="205" t="s">
        <v>2276</v>
      </c>
      <c r="N1071" s="205" t="s">
        <v>2276</v>
      </c>
      <c r="O1071" s="205" t="s">
        <v>2276</v>
      </c>
      <c r="P1071" s="205" t="s">
        <v>2276</v>
      </c>
      <c r="Q1071" s="205" t="s">
        <v>2276</v>
      </c>
      <c r="R1071" s="205" t="s">
        <v>2276</v>
      </c>
      <c r="S1071" s="205" t="s">
        <v>2276</v>
      </c>
      <c r="T1071" s="205"/>
    </row>
    <row r="1072" spans="1:20" ht="23.5" customHeight="1">
      <c r="A1072" s="19" t="s">
        <v>7188</v>
      </c>
      <c r="B1072" s="205" t="s">
        <v>2276</v>
      </c>
      <c r="C1072" s="205" t="s">
        <v>12</v>
      </c>
      <c r="D1072" s="11" t="s">
        <v>45</v>
      </c>
      <c r="E1072" s="205" t="s">
        <v>5801</v>
      </c>
      <c r="F1072" s="4" t="s">
        <v>2276</v>
      </c>
      <c r="G1072" s="4" t="s">
        <v>2276</v>
      </c>
      <c r="H1072" s="4" t="s">
        <v>2276</v>
      </c>
      <c r="I1072" s="4" t="s">
        <v>2276</v>
      </c>
      <c r="J1072" s="205" t="s">
        <v>2276</v>
      </c>
      <c r="K1072" s="205" t="s">
        <v>2276</v>
      </c>
      <c r="L1072" s="205" t="s">
        <v>2276</v>
      </c>
      <c r="M1072" s="205" t="s">
        <v>2276</v>
      </c>
      <c r="N1072" s="205" t="s">
        <v>2276</v>
      </c>
      <c r="O1072" s="205" t="s">
        <v>2276</v>
      </c>
      <c r="P1072" s="205" t="s">
        <v>2276</v>
      </c>
      <c r="Q1072" s="205" t="s">
        <v>2276</v>
      </c>
      <c r="R1072" s="205" t="s">
        <v>2276</v>
      </c>
      <c r="S1072" s="205" t="s">
        <v>2276</v>
      </c>
      <c r="T1072" s="205"/>
    </row>
    <row r="1073" spans="1:20" ht="23.5" customHeight="1">
      <c r="A1073" s="19" t="s">
        <v>7189</v>
      </c>
      <c r="B1073" s="205" t="s">
        <v>2276</v>
      </c>
      <c r="C1073" s="205" t="s">
        <v>12</v>
      </c>
      <c r="D1073" s="11" t="s">
        <v>45</v>
      </c>
      <c r="E1073" s="205" t="s">
        <v>5801</v>
      </c>
      <c r="F1073" s="4" t="s">
        <v>2276</v>
      </c>
      <c r="G1073" s="4" t="s">
        <v>2276</v>
      </c>
      <c r="H1073" s="4" t="s">
        <v>2276</v>
      </c>
      <c r="I1073" s="4" t="s">
        <v>2276</v>
      </c>
      <c r="J1073" s="205" t="s">
        <v>2276</v>
      </c>
      <c r="K1073" s="205" t="s">
        <v>2276</v>
      </c>
      <c r="L1073" s="205" t="s">
        <v>2276</v>
      </c>
      <c r="M1073" s="205" t="s">
        <v>2276</v>
      </c>
      <c r="N1073" s="205" t="s">
        <v>2276</v>
      </c>
      <c r="O1073" s="205" t="s">
        <v>2276</v>
      </c>
      <c r="P1073" s="205" t="s">
        <v>2276</v>
      </c>
      <c r="Q1073" s="205" t="s">
        <v>2276</v>
      </c>
      <c r="R1073" s="205" t="s">
        <v>2276</v>
      </c>
      <c r="S1073" s="205" t="s">
        <v>2276</v>
      </c>
      <c r="T1073" s="205"/>
    </row>
    <row r="1074" spans="1:20" ht="23.5" customHeight="1">
      <c r="A1074" s="19" t="s">
        <v>7190</v>
      </c>
      <c r="B1074" s="205" t="s">
        <v>69</v>
      </c>
      <c r="C1074" s="205" t="s">
        <v>12</v>
      </c>
      <c r="D1074" s="11" t="s">
        <v>45</v>
      </c>
      <c r="E1074" s="205" t="s">
        <v>2276</v>
      </c>
      <c r="F1074" s="4" t="s">
        <v>2276</v>
      </c>
      <c r="G1074" s="4" t="s">
        <v>2276</v>
      </c>
      <c r="H1074" s="4" t="s">
        <v>2276</v>
      </c>
      <c r="I1074" s="4" t="s">
        <v>2276</v>
      </c>
      <c r="J1074" s="205" t="s">
        <v>2276</v>
      </c>
      <c r="K1074" s="205" t="s">
        <v>2276</v>
      </c>
      <c r="L1074" s="205" t="s">
        <v>2276</v>
      </c>
      <c r="M1074" s="205" t="s">
        <v>2276</v>
      </c>
      <c r="N1074" s="205" t="s">
        <v>2276</v>
      </c>
      <c r="O1074" s="205" t="s">
        <v>2276</v>
      </c>
      <c r="P1074" s="205" t="s">
        <v>2276</v>
      </c>
      <c r="Q1074" s="205" t="s">
        <v>2276</v>
      </c>
      <c r="R1074" s="205" t="s">
        <v>2276</v>
      </c>
      <c r="S1074" s="205" t="s">
        <v>2276</v>
      </c>
      <c r="T1074" s="205"/>
    </row>
    <row r="1075" spans="1:20" ht="23.5" customHeight="1">
      <c r="A1075" s="19" t="s">
        <v>7191</v>
      </c>
      <c r="B1075" s="205" t="s">
        <v>2276</v>
      </c>
      <c r="C1075" s="205" t="s">
        <v>12</v>
      </c>
      <c r="D1075" s="11" t="s">
        <v>45</v>
      </c>
      <c r="E1075" s="205" t="s">
        <v>2276</v>
      </c>
      <c r="F1075" s="4" t="s">
        <v>2276</v>
      </c>
      <c r="G1075" s="4" t="s">
        <v>2276</v>
      </c>
      <c r="H1075" s="4" t="s">
        <v>2276</v>
      </c>
      <c r="I1075" s="4" t="s">
        <v>2276</v>
      </c>
      <c r="J1075" s="205" t="s">
        <v>2276</v>
      </c>
      <c r="K1075" s="205" t="s">
        <v>2276</v>
      </c>
      <c r="L1075" s="205" t="s">
        <v>2276</v>
      </c>
      <c r="M1075" s="205" t="s">
        <v>2276</v>
      </c>
      <c r="N1075" s="205" t="s">
        <v>2276</v>
      </c>
      <c r="O1075" s="205" t="s">
        <v>2276</v>
      </c>
      <c r="P1075" s="205" t="s">
        <v>2276</v>
      </c>
      <c r="Q1075" s="205" t="s">
        <v>2276</v>
      </c>
      <c r="R1075" s="205" t="s">
        <v>2276</v>
      </c>
      <c r="S1075" s="205" t="s">
        <v>2276</v>
      </c>
      <c r="T1075" s="205"/>
    </row>
    <row r="1076" spans="1:20" ht="32.5" customHeight="1">
      <c r="A1076" s="19" t="s">
        <v>7192</v>
      </c>
      <c r="B1076" s="205" t="s">
        <v>2276</v>
      </c>
      <c r="C1076" s="205" t="s">
        <v>12</v>
      </c>
      <c r="D1076" s="11" t="s">
        <v>45</v>
      </c>
      <c r="E1076" s="205" t="s">
        <v>5801</v>
      </c>
      <c r="F1076" s="4" t="s">
        <v>397</v>
      </c>
      <c r="G1076" s="4" t="s">
        <v>2276</v>
      </c>
      <c r="H1076" s="4" t="s">
        <v>2276</v>
      </c>
      <c r="I1076" s="4" t="s">
        <v>2276</v>
      </c>
      <c r="J1076" s="205" t="s">
        <v>2276</v>
      </c>
      <c r="K1076" s="205" t="s">
        <v>2276</v>
      </c>
      <c r="L1076" s="205" t="s">
        <v>2276</v>
      </c>
      <c r="M1076" s="205" t="s">
        <v>2276</v>
      </c>
      <c r="N1076" s="205" t="s">
        <v>2276</v>
      </c>
      <c r="O1076" s="205" t="s">
        <v>2276</v>
      </c>
      <c r="P1076" s="205" t="s">
        <v>2276</v>
      </c>
      <c r="Q1076" s="205" t="s">
        <v>2276</v>
      </c>
      <c r="R1076" s="205" t="s">
        <v>2276</v>
      </c>
      <c r="S1076" s="205" t="s">
        <v>2276</v>
      </c>
      <c r="T1076" s="205" t="s">
        <v>7271</v>
      </c>
    </row>
    <row r="1077" spans="1:20" ht="32.5" customHeight="1">
      <c r="A1077" s="19" t="s">
        <v>7193</v>
      </c>
      <c r="B1077" s="205" t="s">
        <v>2276</v>
      </c>
      <c r="C1077" s="205" t="s">
        <v>12</v>
      </c>
      <c r="D1077" s="11" t="s">
        <v>45</v>
      </c>
      <c r="E1077" s="205" t="s">
        <v>5801</v>
      </c>
      <c r="F1077" s="4" t="s">
        <v>397</v>
      </c>
      <c r="G1077" s="4" t="s">
        <v>2276</v>
      </c>
      <c r="H1077" s="4" t="s">
        <v>2276</v>
      </c>
      <c r="I1077" s="4" t="s">
        <v>2276</v>
      </c>
      <c r="J1077" s="205" t="s">
        <v>2276</v>
      </c>
      <c r="K1077" s="205" t="s">
        <v>2276</v>
      </c>
      <c r="L1077" s="205" t="s">
        <v>2276</v>
      </c>
      <c r="M1077" s="205" t="s">
        <v>2276</v>
      </c>
      <c r="N1077" s="205" t="s">
        <v>2276</v>
      </c>
      <c r="O1077" s="205" t="s">
        <v>2276</v>
      </c>
      <c r="P1077" s="205" t="s">
        <v>2276</v>
      </c>
      <c r="Q1077" s="205" t="s">
        <v>2276</v>
      </c>
      <c r="R1077" s="205" t="s">
        <v>2276</v>
      </c>
      <c r="S1077" s="205" t="s">
        <v>2276</v>
      </c>
      <c r="T1077" s="205" t="s">
        <v>7271</v>
      </c>
    </row>
    <row r="1078" spans="1:20" ht="23.5" customHeight="1">
      <c r="A1078" s="19" t="s">
        <v>7194</v>
      </c>
      <c r="B1078" s="205" t="s">
        <v>2276</v>
      </c>
      <c r="C1078" s="205" t="s">
        <v>12</v>
      </c>
      <c r="D1078" s="11" t="s">
        <v>45</v>
      </c>
      <c r="E1078" s="205" t="s">
        <v>5801</v>
      </c>
      <c r="F1078" s="4" t="s">
        <v>2276</v>
      </c>
      <c r="G1078" s="4" t="s">
        <v>2276</v>
      </c>
      <c r="H1078" s="21">
        <f>300000/1500000</f>
        <v>0.2</v>
      </c>
      <c r="I1078" s="4" t="s">
        <v>2276</v>
      </c>
      <c r="J1078" s="205" t="s">
        <v>2276</v>
      </c>
      <c r="K1078" s="205" t="s">
        <v>2276</v>
      </c>
      <c r="L1078" s="205" t="s">
        <v>2276</v>
      </c>
      <c r="M1078" s="205" t="s">
        <v>2276</v>
      </c>
      <c r="N1078" s="205" t="s">
        <v>2276</v>
      </c>
      <c r="O1078" s="205" t="s">
        <v>2276</v>
      </c>
      <c r="P1078" s="205" t="s">
        <v>2276</v>
      </c>
      <c r="Q1078" s="205" t="s">
        <v>2276</v>
      </c>
      <c r="R1078" s="205" t="s">
        <v>2276</v>
      </c>
      <c r="S1078" s="205" t="s">
        <v>2276</v>
      </c>
      <c r="T1078" s="205"/>
    </row>
    <row r="1079" spans="1:20" ht="29" customHeight="1">
      <c r="A1079" s="19" t="s">
        <v>7195</v>
      </c>
      <c r="B1079" s="205" t="s">
        <v>2276</v>
      </c>
      <c r="C1079" s="205" t="s">
        <v>12</v>
      </c>
      <c r="D1079" s="11" t="s">
        <v>45</v>
      </c>
      <c r="E1079" s="205" t="s">
        <v>5801</v>
      </c>
      <c r="F1079" s="4" t="s">
        <v>3855</v>
      </c>
      <c r="G1079" s="4" t="s">
        <v>2276</v>
      </c>
      <c r="H1079" s="21">
        <f>16000/'Record info'!K1079/100</f>
        <v>0.08</v>
      </c>
      <c r="I1079" s="4" t="s">
        <v>2276</v>
      </c>
      <c r="J1079" s="205" t="s">
        <v>2276</v>
      </c>
      <c r="K1079" s="205" t="s">
        <v>2276</v>
      </c>
      <c r="L1079" s="205" t="s">
        <v>2276</v>
      </c>
      <c r="M1079" s="205" t="s">
        <v>2276</v>
      </c>
      <c r="N1079" s="205" t="s">
        <v>2276</v>
      </c>
      <c r="O1079" s="205" t="s">
        <v>2276</v>
      </c>
      <c r="P1079" s="205" t="s">
        <v>2276</v>
      </c>
      <c r="Q1079" s="205" t="s">
        <v>2276</v>
      </c>
      <c r="R1079" s="205" t="s">
        <v>2276</v>
      </c>
      <c r="S1079" s="205" t="s">
        <v>2276</v>
      </c>
      <c r="T1079" s="205"/>
    </row>
    <row r="1080" spans="1:20" ht="23.5" customHeight="1">
      <c r="A1080" s="19" t="s">
        <v>7196</v>
      </c>
      <c r="B1080" s="205" t="s">
        <v>70</v>
      </c>
      <c r="C1080" s="205" t="s">
        <v>2646</v>
      </c>
      <c r="D1080" s="11" t="s">
        <v>45</v>
      </c>
      <c r="E1080" s="205" t="s">
        <v>5801</v>
      </c>
      <c r="F1080" s="205" t="s">
        <v>2652</v>
      </c>
      <c r="G1080" s="205" t="s">
        <v>137</v>
      </c>
      <c r="H1080" s="21">
        <v>0.33</v>
      </c>
      <c r="I1080" s="4" t="s">
        <v>2276</v>
      </c>
      <c r="J1080" s="205" t="s">
        <v>2276</v>
      </c>
      <c r="K1080" s="205" t="s">
        <v>2276</v>
      </c>
      <c r="L1080" s="205" t="s">
        <v>2276</v>
      </c>
      <c r="M1080" s="205" t="s">
        <v>2276</v>
      </c>
      <c r="N1080" s="205" t="s">
        <v>2276</v>
      </c>
      <c r="O1080" s="205" t="s">
        <v>2276</v>
      </c>
      <c r="P1080" s="205" t="s">
        <v>2276</v>
      </c>
      <c r="Q1080" s="205" t="s">
        <v>2276</v>
      </c>
      <c r="R1080" s="205" t="s">
        <v>2276</v>
      </c>
      <c r="S1080" s="205" t="s">
        <v>2276</v>
      </c>
      <c r="T1080" s="205" t="s">
        <v>7272</v>
      </c>
    </row>
    <row r="1081" spans="1:20" ht="23.5" customHeight="1">
      <c r="A1081" s="19" t="s">
        <v>7197</v>
      </c>
      <c r="B1081" s="205" t="s">
        <v>32</v>
      </c>
      <c r="C1081" s="205" t="s">
        <v>12</v>
      </c>
      <c r="D1081" s="11" t="s">
        <v>45</v>
      </c>
      <c r="E1081" s="205" t="s">
        <v>5801</v>
      </c>
      <c r="F1081" s="4" t="s">
        <v>2276</v>
      </c>
      <c r="G1081" s="4" t="s">
        <v>2276</v>
      </c>
      <c r="H1081" s="4" t="s">
        <v>2276</v>
      </c>
      <c r="I1081" s="4" t="s">
        <v>2276</v>
      </c>
      <c r="J1081" s="205" t="s">
        <v>2276</v>
      </c>
      <c r="K1081" s="205" t="s">
        <v>2276</v>
      </c>
      <c r="L1081" s="205" t="s">
        <v>2276</v>
      </c>
      <c r="M1081" s="205" t="s">
        <v>2276</v>
      </c>
      <c r="N1081" s="205" t="s">
        <v>2276</v>
      </c>
      <c r="O1081" s="205" t="s">
        <v>2276</v>
      </c>
      <c r="P1081" s="205" t="s">
        <v>2276</v>
      </c>
      <c r="Q1081" s="205" t="s">
        <v>2276</v>
      </c>
      <c r="R1081" s="205" t="s">
        <v>2276</v>
      </c>
      <c r="S1081" s="205" t="s">
        <v>2276</v>
      </c>
      <c r="T1081" s="205"/>
    </row>
    <row r="1082" spans="1:20" ht="31.5" customHeight="1">
      <c r="A1082" s="19" t="s">
        <v>7198</v>
      </c>
      <c r="B1082" s="205" t="s">
        <v>70</v>
      </c>
      <c r="C1082" s="205" t="s">
        <v>12</v>
      </c>
      <c r="D1082" s="11" t="s">
        <v>45</v>
      </c>
      <c r="E1082" s="4" t="s">
        <v>3855</v>
      </c>
      <c r="F1082" s="4" t="s">
        <v>2276</v>
      </c>
      <c r="G1082" s="4" t="s">
        <v>2276</v>
      </c>
      <c r="H1082" s="4" t="s">
        <v>2276</v>
      </c>
      <c r="I1082" s="4" t="s">
        <v>2276</v>
      </c>
      <c r="J1082" s="205" t="s">
        <v>2276</v>
      </c>
      <c r="K1082" s="205" t="s">
        <v>2276</v>
      </c>
      <c r="L1082" s="205" t="s">
        <v>2276</v>
      </c>
      <c r="M1082" s="205" t="s">
        <v>2276</v>
      </c>
      <c r="N1082" s="205" t="s">
        <v>2276</v>
      </c>
      <c r="O1082" s="205" t="s">
        <v>2276</v>
      </c>
      <c r="P1082" s="205" t="s">
        <v>2276</v>
      </c>
      <c r="Q1082" s="205" t="s">
        <v>2276</v>
      </c>
      <c r="R1082" s="205" t="s">
        <v>2276</v>
      </c>
      <c r="S1082" s="205" t="s">
        <v>2276</v>
      </c>
      <c r="T1082" s="205"/>
    </row>
    <row r="1083" spans="1:20" ht="36.5" customHeight="1">
      <c r="A1083" s="19" t="s">
        <v>7199</v>
      </c>
      <c r="B1083" s="205" t="s">
        <v>32</v>
      </c>
      <c r="C1083" s="205" t="s">
        <v>12</v>
      </c>
      <c r="D1083" s="11" t="s">
        <v>45</v>
      </c>
      <c r="E1083" s="4" t="s">
        <v>2276</v>
      </c>
      <c r="F1083" s="4" t="s">
        <v>2276</v>
      </c>
      <c r="G1083" s="4" t="s">
        <v>2276</v>
      </c>
      <c r="H1083" s="4" t="s">
        <v>2276</v>
      </c>
      <c r="I1083" s="4" t="s">
        <v>2276</v>
      </c>
      <c r="J1083" s="205" t="s">
        <v>2276</v>
      </c>
      <c r="K1083" s="205" t="s">
        <v>2276</v>
      </c>
      <c r="L1083" s="205" t="s">
        <v>2276</v>
      </c>
      <c r="M1083" s="205" t="s">
        <v>2276</v>
      </c>
      <c r="N1083" s="205" t="s">
        <v>2276</v>
      </c>
      <c r="O1083" s="205" t="s">
        <v>2276</v>
      </c>
      <c r="P1083" s="205" t="s">
        <v>2276</v>
      </c>
      <c r="Q1083" s="205" t="s">
        <v>2276</v>
      </c>
      <c r="R1083" s="205" t="s">
        <v>2276</v>
      </c>
      <c r="S1083" s="205" t="s">
        <v>2276</v>
      </c>
      <c r="T1083" s="205"/>
    </row>
    <row r="1084" spans="1:20" ht="33" customHeight="1">
      <c r="A1084" s="19" t="s">
        <v>7200</v>
      </c>
      <c r="B1084" s="205" t="s">
        <v>32</v>
      </c>
      <c r="C1084" s="205" t="s">
        <v>12</v>
      </c>
      <c r="D1084" s="11" t="s">
        <v>45</v>
      </c>
      <c r="E1084" s="4" t="s">
        <v>3855</v>
      </c>
      <c r="F1084" s="205" t="s">
        <v>5801</v>
      </c>
      <c r="G1084" s="205" t="s">
        <v>84</v>
      </c>
      <c r="H1084" s="4" t="s">
        <v>2276</v>
      </c>
      <c r="I1084" s="4" t="s">
        <v>2276</v>
      </c>
      <c r="J1084" s="205" t="s">
        <v>2276</v>
      </c>
      <c r="K1084" s="205" t="s">
        <v>2276</v>
      </c>
      <c r="L1084" s="205" t="s">
        <v>2276</v>
      </c>
      <c r="M1084" s="205" t="s">
        <v>2276</v>
      </c>
      <c r="N1084" s="205" t="s">
        <v>2276</v>
      </c>
      <c r="O1084" s="205" t="s">
        <v>2276</v>
      </c>
      <c r="P1084" s="205" t="s">
        <v>2276</v>
      </c>
      <c r="Q1084" s="205" t="s">
        <v>2276</v>
      </c>
      <c r="R1084" s="205" t="s">
        <v>2276</v>
      </c>
      <c r="S1084" s="205" t="s">
        <v>2276</v>
      </c>
      <c r="T1084" s="205"/>
    </row>
    <row r="1085" spans="1:20" ht="35" customHeight="1">
      <c r="A1085" s="19" t="s">
        <v>7201</v>
      </c>
      <c r="B1085" s="205" t="s">
        <v>32</v>
      </c>
      <c r="C1085" s="205" t="s">
        <v>12</v>
      </c>
      <c r="D1085" s="11" t="s">
        <v>45</v>
      </c>
      <c r="E1085" s="4" t="s">
        <v>3855</v>
      </c>
      <c r="F1085" s="205" t="s">
        <v>5801</v>
      </c>
      <c r="G1085" s="205" t="s">
        <v>84</v>
      </c>
      <c r="H1085" s="4" t="s">
        <v>2276</v>
      </c>
      <c r="I1085" s="4" t="s">
        <v>2276</v>
      </c>
      <c r="J1085" s="205" t="s">
        <v>2276</v>
      </c>
      <c r="K1085" s="205" t="s">
        <v>2276</v>
      </c>
      <c r="L1085" s="205" t="s">
        <v>2276</v>
      </c>
      <c r="M1085" s="205" t="s">
        <v>2276</v>
      </c>
      <c r="N1085" s="205" t="s">
        <v>2276</v>
      </c>
      <c r="O1085" s="205" t="s">
        <v>2276</v>
      </c>
      <c r="P1085" s="205" t="s">
        <v>2276</v>
      </c>
      <c r="Q1085" s="205" t="s">
        <v>2276</v>
      </c>
      <c r="R1085" s="205" t="s">
        <v>2276</v>
      </c>
      <c r="S1085" s="205" t="s">
        <v>2276</v>
      </c>
      <c r="T1085" s="205"/>
    </row>
    <row r="1086" spans="1:20" ht="43" customHeight="1">
      <c r="A1086" s="19" t="s">
        <v>7202</v>
      </c>
      <c r="B1086" s="205" t="s">
        <v>70</v>
      </c>
      <c r="C1086" s="205" t="s">
        <v>12</v>
      </c>
      <c r="D1086" s="11" t="s">
        <v>45</v>
      </c>
      <c r="E1086" s="4" t="s">
        <v>3855</v>
      </c>
      <c r="F1086" s="205" t="s">
        <v>5801</v>
      </c>
      <c r="G1086" s="205" t="s">
        <v>137</v>
      </c>
      <c r="H1086" s="21">
        <v>0.45</v>
      </c>
      <c r="I1086" s="4" t="s">
        <v>2276</v>
      </c>
      <c r="J1086" s="205" t="s">
        <v>2276</v>
      </c>
      <c r="K1086" s="205" t="s">
        <v>2276</v>
      </c>
      <c r="L1086" s="205" t="s">
        <v>2276</v>
      </c>
      <c r="M1086" s="205" t="s">
        <v>2276</v>
      </c>
      <c r="N1086" s="205" t="s">
        <v>2276</v>
      </c>
      <c r="O1086" s="205" t="s">
        <v>2276</v>
      </c>
      <c r="P1086" s="205" t="s">
        <v>2276</v>
      </c>
      <c r="Q1086" s="205" t="s">
        <v>2276</v>
      </c>
      <c r="R1086" s="205" t="s">
        <v>2276</v>
      </c>
      <c r="S1086" s="205" t="s">
        <v>2276</v>
      </c>
      <c r="T1086" s="205"/>
    </row>
    <row r="1087" spans="1:20" ht="32" customHeight="1">
      <c r="A1087" s="19" t="s">
        <v>7203</v>
      </c>
      <c r="B1087" s="205" t="s">
        <v>2276</v>
      </c>
      <c r="C1087" s="205" t="s">
        <v>12</v>
      </c>
      <c r="D1087" s="11" t="s">
        <v>45</v>
      </c>
      <c r="E1087" s="205" t="s">
        <v>5801</v>
      </c>
      <c r="F1087" s="205" t="s">
        <v>137</v>
      </c>
      <c r="G1087" s="4" t="s">
        <v>2276</v>
      </c>
      <c r="H1087" s="21">
        <v>0.35</v>
      </c>
      <c r="I1087" s="4" t="s">
        <v>2276</v>
      </c>
      <c r="J1087" s="205" t="s">
        <v>2276</v>
      </c>
      <c r="K1087" s="205" t="s">
        <v>2276</v>
      </c>
      <c r="L1087" s="205" t="s">
        <v>2276</v>
      </c>
      <c r="M1087" s="205" t="s">
        <v>2276</v>
      </c>
      <c r="N1087" s="205" t="s">
        <v>2276</v>
      </c>
      <c r="O1087" s="205" t="s">
        <v>2276</v>
      </c>
      <c r="P1087" s="205" t="s">
        <v>2276</v>
      </c>
      <c r="Q1087" s="205" t="s">
        <v>2276</v>
      </c>
      <c r="R1087" s="205" t="s">
        <v>2276</v>
      </c>
      <c r="S1087" s="205" t="s">
        <v>2276</v>
      </c>
      <c r="T1087" s="205"/>
    </row>
    <row r="1088" spans="1:20" ht="26.5" customHeight="1">
      <c r="A1088" s="19" t="s">
        <v>7204</v>
      </c>
      <c r="B1088" s="205" t="s">
        <v>32</v>
      </c>
      <c r="C1088" s="205" t="s">
        <v>12</v>
      </c>
      <c r="D1088" s="11" t="s">
        <v>45</v>
      </c>
      <c r="E1088" s="205" t="s">
        <v>137</v>
      </c>
      <c r="F1088" s="205" t="s">
        <v>2647</v>
      </c>
      <c r="G1088" s="4" t="s">
        <v>2276</v>
      </c>
      <c r="H1088" s="21">
        <v>0.61</v>
      </c>
      <c r="I1088" s="4" t="s">
        <v>2276</v>
      </c>
      <c r="J1088" s="205" t="s">
        <v>2276</v>
      </c>
      <c r="K1088" s="205" t="s">
        <v>2276</v>
      </c>
      <c r="L1088" s="205" t="s">
        <v>2276</v>
      </c>
      <c r="M1088" s="205" t="s">
        <v>2276</v>
      </c>
      <c r="N1088" s="205" t="s">
        <v>2276</v>
      </c>
      <c r="O1088" s="205" t="s">
        <v>2276</v>
      </c>
      <c r="P1088" s="205" t="s">
        <v>2276</v>
      </c>
      <c r="Q1088" s="205" t="s">
        <v>2276</v>
      </c>
      <c r="R1088" s="205" t="s">
        <v>2276</v>
      </c>
      <c r="S1088" s="205" t="s">
        <v>2276</v>
      </c>
      <c r="T1088" s="205"/>
    </row>
    <row r="1089" spans="1:20" ht="23.5" customHeight="1">
      <c r="A1089" s="19" t="s">
        <v>7205</v>
      </c>
      <c r="B1089" s="205" t="s">
        <v>32</v>
      </c>
      <c r="C1089" s="205" t="s">
        <v>12</v>
      </c>
      <c r="D1089" s="11" t="s">
        <v>45</v>
      </c>
      <c r="E1089" s="205" t="s">
        <v>5801</v>
      </c>
      <c r="F1089" s="205"/>
      <c r="G1089" s="4" t="s">
        <v>2276</v>
      </c>
      <c r="H1089" s="21">
        <v>0.3</v>
      </c>
      <c r="I1089" s="4" t="s">
        <v>2276</v>
      </c>
      <c r="J1089" s="205" t="s">
        <v>2276</v>
      </c>
      <c r="K1089" s="205" t="s">
        <v>2276</v>
      </c>
      <c r="L1089" s="205" t="s">
        <v>2276</v>
      </c>
      <c r="M1089" s="205" t="s">
        <v>2276</v>
      </c>
      <c r="N1089" s="205" t="s">
        <v>2276</v>
      </c>
      <c r="O1089" s="205" t="s">
        <v>2276</v>
      </c>
      <c r="P1089" s="205" t="s">
        <v>2276</v>
      </c>
      <c r="Q1089" s="205" t="s">
        <v>2276</v>
      </c>
      <c r="R1089" s="205" t="s">
        <v>2276</v>
      </c>
      <c r="S1089" s="205" t="s">
        <v>2276</v>
      </c>
      <c r="T1089" s="205"/>
    </row>
    <row r="1090" spans="1:20" ht="33" customHeight="1">
      <c r="A1090" s="19" t="s">
        <v>7206</v>
      </c>
      <c r="B1090" s="205" t="s">
        <v>32</v>
      </c>
      <c r="C1090" s="205" t="s">
        <v>12</v>
      </c>
      <c r="D1090" s="11" t="s">
        <v>45</v>
      </c>
      <c r="E1090" s="205" t="s">
        <v>137</v>
      </c>
      <c r="F1090" s="4" t="s">
        <v>3855</v>
      </c>
      <c r="G1090" s="205" t="s">
        <v>5801</v>
      </c>
      <c r="H1090" s="21">
        <v>0.3</v>
      </c>
      <c r="I1090" s="4" t="s">
        <v>2276</v>
      </c>
      <c r="J1090" s="205" t="s">
        <v>2276</v>
      </c>
      <c r="K1090" s="205" t="s">
        <v>2276</v>
      </c>
      <c r="L1090" s="205" t="s">
        <v>2276</v>
      </c>
      <c r="M1090" s="205" t="s">
        <v>2276</v>
      </c>
      <c r="N1090" s="205" t="s">
        <v>2276</v>
      </c>
      <c r="O1090" s="205" t="s">
        <v>2276</v>
      </c>
      <c r="P1090" s="205" t="s">
        <v>2276</v>
      </c>
      <c r="Q1090" s="205" t="s">
        <v>2276</v>
      </c>
      <c r="R1090" s="205" t="s">
        <v>2276</v>
      </c>
      <c r="S1090" s="205" t="s">
        <v>2276</v>
      </c>
      <c r="T1090" s="205"/>
    </row>
    <row r="1091" spans="1:20" ht="23.5" customHeight="1">
      <c r="A1091" s="19" t="s">
        <v>7207</v>
      </c>
      <c r="B1091" s="205" t="s">
        <v>32</v>
      </c>
      <c r="C1091" s="205" t="s">
        <v>2645</v>
      </c>
      <c r="D1091" s="11" t="s">
        <v>45</v>
      </c>
      <c r="E1091" s="205" t="s">
        <v>137</v>
      </c>
      <c r="F1091" s="205" t="s">
        <v>84</v>
      </c>
      <c r="G1091" s="205" t="s">
        <v>2647</v>
      </c>
      <c r="H1091" s="21">
        <v>0.3</v>
      </c>
      <c r="I1091" s="4" t="s">
        <v>2276</v>
      </c>
      <c r="J1091" s="205" t="s">
        <v>2276</v>
      </c>
      <c r="K1091" s="205" t="s">
        <v>2276</v>
      </c>
      <c r="L1091" s="205" t="s">
        <v>2276</v>
      </c>
      <c r="M1091" s="205" t="s">
        <v>2276</v>
      </c>
      <c r="N1091" s="205" t="s">
        <v>2276</v>
      </c>
      <c r="O1091" s="205" t="s">
        <v>2276</v>
      </c>
      <c r="P1091" s="205" t="s">
        <v>2276</v>
      </c>
      <c r="Q1091" s="205" t="s">
        <v>2276</v>
      </c>
      <c r="R1091" s="205" t="s">
        <v>2276</v>
      </c>
      <c r="S1091" s="205" t="s">
        <v>2276</v>
      </c>
      <c r="T1091" s="205"/>
    </row>
    <row r="1092" spans="1:20" ht="23.5" customHeight="1">
      <c r="A1092" s="19" t="s">
        <v>7208</v>
      </c>
      <c r="B1092" s="205" t="s">
        <v>32</v>
      </c>
      <c r="C1092" s="205" t="s">
        <v>12</v>
      </c>
      <c r="D1092" s="11" t="s">
        <v>45</v>
      </c>
      <c r="E1092" s="205" t="s">
        <v>5801</v>
      </c>
      <c r="F1092" s="205" t="s">
        <v>2653</v>
      </c>
      <c r="G1092" s="205" t="s">
        <v>137</v>
      </c>
      <c r="H1092" s="21">
        <v>0.5</v>
      </c>
      <c r="I1092" s="4" t="s">
        <v>2276</v>
      </c>
      <c r="J1092" s="205" t="s">
        <v>2276</v>
      </c>
      <c r="K1092" s="205" t="s">
        <v>2276</v>
      </c>
      <c r="L1092" s="205" t="s">
        <v>2276</v>
      </c>
      <c r="M1092" s="205" t="s">
        <v>2276</v>
      </c>
      <c r="N1092" s="205" t="s">
        <v>2276</v>
      </c>
      <c r="O1092" s="21">
        <v>10</v>
      </c>
      <c r="P1092" s="205" t="s">
        <v>2276</v>
      </c>
      <c r="Q1092" s="205" t="s">
        <v>2276</v>
      </c>
      <c r="R1092" s="205" t="s">
        <v>2276</v>
      </c>
      <c r="S1092" s="205" t="s">
        <v>2276</v>
      </c>
      <c r="T1092" s="205"/>
    </row>
    <row r="1093" spans="1:20" ht="32" customHeight="1">
      <c r="A1093" s="19" t="s">
        <v>7209</v>
      </c>
      <c r="B1093" s="205" t="s">
        <v>32</v>
      </c>
      <c r="C1093" s="205" t="s">
        <v>12</v>
      </c>
      <c r="D1093" s="11" t="s">
        <v>45</v>
      </c>
      <c r="E1093" s="4" t="s">
        <v>396</v>
      </c>
      <c r="F1093" s="205" t="s">
        <v>2653</v>
      </c>
      <c r="G1093" s="205" t="s">
        <v>137</v>
      </c>
      <c r="H1093" s="4" t="s">
        <v>2276</v>
      </c>
      <c r="I1093" s="4" t="s">
        <v>2276</v>
      </c>
      <c r="J1093" s="205" t="s">
        <v>2276</v>
      </c>
      <c r="K1093" s="205" t="s">
        <v>2276</v>
      </c>
      <c r="L1093" s="205" t="s">
        <v>2276</v>
      </c>
      <c r="M1093" s="205" t="s">
        <v>2276</v>
      </c>
      <c r="N1093" s="205" t="s">
        <v>2276</v>
      </c>
      <c r="O1093" s="205" t="s">
        <v>2276</v>
      </c>
      <c r="P1093" s="205" t="s">
        <v>2276</v>
      </c>
      <c r="Q1093" s="205" t="s">
        <v>2276</v>
      </c>
      <c r="R1093" s="205" t="s">
        <v>2276</v>
      </c>
      <c r="S1093" s="205" t="s">
        <v>2276</v>
      </c>
      <c r="T1093" s="205"/>
    </row>
    <row r="1094" spans="1:20" ht="28" customHeight="1">
      <c r="A1094" s="19" t="s">
        <v>7210</v>
      </c>
      <c r="B1094" s="205" t="s">
        <v>32</v>
      </c>
      <c r="C1094" s="205" t="s">
        <v>12</v>
      </c>
      <c r="D1094" s="11" t="s">
        <v>45</v>
      </c>
      <c r="E1094" s="205" t="s">
        <v>137</v>
      </c>
      <c r="F1094" s="205" t="s">
        <v>2653</v>
      </c>
      <c r="G1094" s="205" t="s">
        <v>5801</v>
      </c>
      <c r="H1094" s="4" t="s">
        <v>2276</v>
      </c>
      <c r="I1094" s="4" t="s">
        <v>2276</v>
      </c>
      <c r="J1094" s="205" t="s">
        <v>2276</v>
      </c>
      <c r="K1094" s="205" t="s">
        <v>2276</v>
      </c>
      <c r="L1094" s="205" t="s">
        <v>2276</v>
      </c>
      <c r="M1094" s="205" t="s">
        <v>2276</v>
      </c>
      <c r="N1094" s="205" t="s">
        <v>2276</v>
      </c>
      <c r="O1094" s="205" t="s">
        <v>2276</v>
      </c>
      <c r="P1094" s="205" t="s">
        <v>2276</v>
      </c>
      <c r="Q1094" s="205" t="s">
        <v>2276</v>
      </c>
      <c r="R1094" s="205" t="s">
        <v>2276</v>
      </c>
      <c r="S1094" s="205" t="s">
        <v>2276</v>
      </c>
      <c r="T1094" s="205"/>
    </row>
    <row r="1095" spans="1:20" ht="23.5" customHeight="1">
      <c r="A1095" s="19" t="s">
        <v>7211</v>
      </c>
      <c r="B1095" s="205" t="s">
        <v>32</v>
      </c>
      <c r="C1095" s="205" t="s">
        <v>12</v>
      </c>
      <c r="D1095" s="11" t="s">
        <v>45</v>
      </c>
      <c r="E1095" s="205" t="s">
        <v>137</v>
      </c>
      <c r="F1095" s="4" t="s">
        <v>2276</v>
      </c>
      <c r="G1095" s="4" t="s">
        <v>2276</v>
      </c>
      <c r="H1095" s="4" t="s">
        <v>2276</v>
      </c>
      <c r="I1095" s="4" t="s">
        <v>2276</v>
      </c>
      <c r="J1095" s="205" t="s">
        <v>2276</v>
      </c>
      <c r="K1095" s="205" t="s">
        <v>2276</v>
      </c>
      <c r="L1095" s="205" t="s">
        <v>2276</v>
      </c>
      <c r="M1095" s="205" t="s">
        <v>2276</v>
      </c>
      <c r="N1095" s="205" t="s">
        <v>2276</v>
      </c>
      <c r="O1095" s="205" t="s">
        <v>2276</v>
      </c>
      <c r="P1095" s="205" t="s">
        <v>2276</v>
      </c>
      <c r="Q1095" s="205" t="s">
        <v>2276</v>
      </c>
      <c r="R1095" s="205" t="s">
        <v>2276</v>
      </c>
      <c r="S1095" s="205" t="s">
        <v>2276</v>
      </c>
      <c r="T1095" s="205"/>
    </row>
    <row r="1096" spans="1:20" ht="23.5" customHeight="1">
      <c r="A1096" s="19" t="s">
        <v>7212</v>
      </c>
      <c r="B1096" s="205" t="s">
        <v>32</v>
      </c>
      <c r="C1096" s="205" t="s">
        <v>12</v>
      </c>
      <c r="D1096" s="11" t="s">
        <v>45</v>
      </c>
      <c r="E1096" s="4" t="s">
        <v>2276</v>
      </c>
      <c r="F1096" s="4" t="s">
        <v>2276</v>
      </c>
      <c r="G1096" s="4" t="s">
        <v>2276</v>
      </c>
      <c r="H1096" s="4" t="s">
        <v>2276</v>
      </c>
      <c r="I1096" s="4" t="s">
        <v>2276</v>
      </c>
      <c r="J1096" s="205" t="s">
        <v>2276</v>
      </c>
      <c r="K1096" s="205" t="s">
        <v>2276</v>
      </c>
      <c r="L1096" s="205" t="s">
        <v>2276</v>
      </c>
      <c r="M1096" s="205" t="s">
        <v>2276</v>
      </c>
      <c r="N1096" s="205" t="s">
        <v>2276</v>
      </c>
      <c r="O1096" s="205" t="s">
        <v>2276</v>
      </c>
      <c r="P1096" s="205" t="s">
        <v>2276</v>
      </c>
      <c r="Q1096" s="205" t="s">
        <v>2276</v>
      </c>
      <c r="R1096" s="205" t="s">
        <v>2276</v>
      </c>
      <c r="S1096" s="205" t="s">
        <v>2276</v>
      </c>
      <c r="T1096" s="205"/>
    </row>
    <row r="1097" spans="1:20" ht="23.5" customHeight="1">
      <c r="A1097" s="19" t="s">
        <v>7213</v>
      </c>
      <c r="B1097" s="205" t="s">
        <v>32</v>
      </c>
      <c r="C1097" s="205" t="s">
        <v>12</v>
      </c>
      <c r="D1097" s="11" t="s">
        <v>45</v>
      </c>
      <c r="E1097" s="4" t="s">
        <v>2276</v>
      </c>
      <c r="F1097" s="4" t="s">
        <v>2276</v>
      </c>
      <c r="G1097" s="4" t="s">
        <v>2276</v>
      </c>
      <c r="H1097" s="4" t="s">
        <v>2276</v>
      </c>
      <c r="I1097" s="4" t="s">
        <v>2276</v>
      </c>
      <c r="J1097" s="205" t="s">
        <v>2276</v>
      </c>
      <c r="K1097" s="205" t="s">
        <v>2276</v>
      </c>
      <c r="L1097" s="205" t="s">
        <v>2276</v>
      </c>
      <c r="M1097" s="205" t="s">
        <v>2276</v>
      </c>
      <c r="N1097" s="205" t="s">
        <v>2276</v>
      </c>
      <c r="O1097" s="205" t="s">
        <v>2276</v>
      </c>
      <c r="P1097" s="205" t="s">
        <v>2276</v>
      </c>
      <c r="Q1097" s="205" t="s">
        <v>2276</v>
      </c>
      <c r="R1097" s="205" t="s">
        <v>2276</v>
      </c>
      <c r="S1097" s="205" t="s">
        <v>2276</v>
      </c>
      <c r="T1097" s="205"/>
    </row>
    <row r="1098" spans="1:20" ht="23.5" customHeight="1">
      <c r="A1098" s="19" t="s">
        <v>7214</v>
      </c>
      <c r="B1098" s="205" t="s">
        <v>32</v>
      </c>
      <c r="C1098" s="205" t="s">
        <v>12</v>
      </c>
      <c r="D1098" s="11" t="s">
        <v>45</v>
      </c>
      <c r="E1098" s="4" t="s">
        <v>2276</v>
      </c>
      <c r="F1098" s="4" t="s">
        <v>2276</v>
      </c>
      <c r="G1098" s="4" t="s">
        <v>2276</v>
      </c>
      <c r="H1098" s="4" t="s">
        <v>2276</v>
      </c>
      <c r="I1098" s="4" t="s">
        <v>2276</v>
      </c>
      <c r="J1098" s="205" t="s">
        <v>2276</v>
      </c>
      <c r="K1098" s="205" t="s">
        <v>2276</v>
      </c>
      <c r="L1098" s="205" t="s">
        <v>2276</v>
      </c>
      <c r="M1098" s="205" t="s">
        <v>2276</v>
      </c>
      <c r="N1098" s="205" t="s">
        <v>2276</v>
      </c>
      <c r="O1098" s="205" t="s">
        <v>2276</v>
      </c>
      <c r="P1098" s="205" t="s">
        <v>2276</v>
      </c>
      <c r="Q1098" s="205" t="s">
        <v>2276</v>
      </c>
      <c r="R1098" s="205" t="s">
        <v>2276</v>
      </c>
      <c r="S1098" s="205" t="s">
        <v>2276</v>
      </c>
      <c r="T1098" s="205"/>
    </row>
    <row r="1099" spans="1:20" ht="23.5" customHeight="1">
      <c r="A1099" s="19" t="s">
        <v>7215</v>
      </c>
      <c r="B1099" s="205" t="s">
        <v>32</v>
      </c>
      <c r="C1099" s="205" t="s">
        <v>12</v>
      </c>
      <c r="D1099" s="11" t="s">
        <v>45</v>
      </c>
      <c r="E1099" s="4" t="s">
        <v>2276</v>
      </c>
      <c r="F1099" s="4" t="s">
        <v>2276</v>
      </c>
      <c r="G1099" s="4" t="s">
        <v>2276</v>
      </c>
      <c r="H1099" s="4" t="s">
        <v>2276</v>
      </c>
      <c r="I1099" s="4" t="s">
        <v>2276</v>
      </c>
      <c r="J1099" s="205" t="s">
        <v>2276</v>
      </c>
      <c r="K1099" s="205" t="s">
        <v>2276</v>
      </c>
      <c r="L1099" s="205" t="s">
        <v>2276</v>
      </c>
      <c r="M1099" s="205" t="s">
        <v>2276</v>
      </c>
      <c r="N1099" s="205" t="s">
        <v>2276</v>
      </c>
      <c r="O1099" s="205" t="s">
        <v>2276</v>
      </c>
      <c r="P1099" s="205" t="s">
        <v>2276</v>
      </c>
      <c r="Q1099" s="205" t="s">
        <v>2276</v>
      </c>
      <c r="R1099" s="205" t="s">
        <v>2276</v>
      </c>
      <c r="S1099" s="205" t="s">
        <v>2276</v>
      </c>
      <c r="T1099" s="205"/>
    </row>
    <row r="1100" spans="1:20" ht="27" customHeight="1">
      <c r="A1100" s="19" t="s">
        <v>7236</v>
      </c>
      <c r="B1100" s="205" t="s">
        <v>32</v>
      </c>
      <c r="C1100" s="205" t="s">
        <v>12</v>
      </c>
      <c r="D1100" s="11" t="s">
        <v>45</v>
      </c>
      <c r="E1100" s="205" t="s">
        <v>137</v>
      </c>
      <c r="F1100" s="205" t="s">
        <v>5005</v>
      </c>
      <c r="G1100" s="4" t="s">
        <v>2276</v>
      </c>
      <c r="H1100" s="21">
        <v>0.26</v>
      </c>
      <c r="I1100" s="4" t="s">
        <v>2276</v>
      </c>
      <c r="J1100" s="205" t="s">
        <v>2276</v>
      </c>
      <c r="K1100" s="205" t="s">
        <v>2276</v>
      </c>
      <c r="L1100" s="205" t="s">
        <v>2276</v>
      </c>
      <c r="M1100" s="205" t="s">
        <v>2276</v>
      </c>
      <c r="N1100" s="205" t="s">
        <v>2276</v>
      </c>
      <c r="O1100" s="21">
        <v>21</v>
      </c>
      <c r="P1100" s="205" t="s">
        <v>2276</v>
      </c>
      <c r="Q1100" s="205" t="s">
        <v>2276</v>
      </c>
      <c r="R1100" s="205" t="s">
        <v>2276</v>
      </c>
      <c r="S1100" s="205" t="s">
        <v>2276</v>
      </c>
      <c r="T1100" s="205" t="s">
        <v>7292</v>
      </c>
    </row>
    <row r="1101" spans="1:20" ht="28" customHeight="1">
      <c r="A1101" s="19" t="s">
        <v>7237</v>
      </c>
      <c r="B1101" s="205" t="s">
        <v>32</v>
      </c>
      <c r="C1101" s="205" t="s">
        <v>12</v>
      </c>
      <c r="D1101" s="11" t="s">
        <v>45</v>
      </c>
      <c r="E1101" s="205" t="s">
        <v>137</v>
      </c>
      <c r="F1101" s="4" t="s">
        <v>2276</v>
      </c>
      <c r="G1101" s="4" t="s">
        <v>2276</v>
      </c>
      <c r="H1101" s="21">
        <v>0.35</v>
      </c>
      <c r="I1101" s="4" t="s">
        <v>2276</v>
      </c>
      <c r="J1101" s="205" t="s">
        <v>2276</v>
      </c>
      <c r="K1101" s="205" t="s">
        <v>2276</v>
      </c>
      <c r="L1101" s="205" t="s">
        <v>2276</v>
      </c>
      <c r="M1101" s="205" t="s">
        <v>2276</v>
      </c>
      <c r="N1101" s="205" t="s">
        <v>2276</v>
      </c>
      <c r="O1101" s="21">
        <v>44</v>
      </c>
      <c r="P1101" s="205" t="s">
        <v>2276</v>
      </c>
      <c r="Q1101" s="205" t="s">
        <v>2276</v>
      </c>
      <c r="R1101" s="205" t="s">
        <v>2276</v>
      </c>
      <c r="S1101" s="205" t="s">
        <v>2276</v>
      </c>
      <c r="T1101" s="205" t="s">
        <v>7292</v>
      </c>
    </row>
    <row r="1102" spans="1:20" ht="29" customHeight="1">
      <c r="A1102" s="19" t="s">
        <v>7238</v>
      </c>
      <c r="B1102" s="205" t="s">
        <v>32</v>
      </c>
      <c r="C1102" s="205" t="s">
        <v>12</v>
      </c>
      <c r="D1102" s="11" t="s">
        <v>45</v>
      </c>
      <c r="E1102" s="4" t="s">
        <v>2276</v>
      </c>
      <c r="F1102" s="4" t="s">
        <v>2276</v>
      </c>
      <c r="G1102" s="4" t="s">
        <v>2276</v>
      </c>
      <c r="H1102" s="21">
        <v>0.75</v>
      </c>
      <c r="I1102" s="4" t="s">
        <v>2276</v>
      </c>
      <c r="J1102" s="205" t="s">
        <v>2276</v>
      </c>
      <c r="K1102" s="205" t="s">
        <v>2276</v>
      </c>
      <c r="L1102" s="205" t="s">
        <v>2276</v>
      </c>
      <c r="M1102" s="205" t="s">
        <v>2276</v>
      </c>
      <c r="N1102" s="205" t="s">
        <v>2276</v>
      </c>
      <c r="O1102" s="21">
        <v>35</v>
      </c>
      <c r="P1102" s="205" t="s">
        <v>2276</v>
      </c>
      <c r="Q1102" s="205" t="s">
        <v>2276</v>
      </c>
      <c r="R1102" s="205" t="s">
        <v>2276</v>
      </c>
      <c r="S1102" s="205" t="s">
        <v>2276</v>
      </c>
      <c r="T1102" s="205" t="s">
        <v>7292</v>
      </c>
    </row>
    <row r="1103" spans="1:20" ht="32.5" customHeight="1">
      <c r="A1103" s="19" t="s">
        <v>7239</v>
      </c>
      <c r="B1103" s="205" t="s">
        <v>2276</v>
      </c>
      <c r="C1103" s="205" t="s">
        <v>12</v>
      </c>
      <c r="D1103" s="11" t="s">
        <v>45</v>
      </c>
      <c r="E1103" s="205" t="s">
        <v>137</v>
      </c>
      <c r="F1103" s="4" t="s">
        <v>3855</v>
      </c>
      <c r="G1103" s="4" t="s">
        <v>2276</v>
      </c>
      <c r="H1103" s="21">
        <v>0.89</v>
      </c>
      <c r="I1103" s="4" t="s">
        <v>2276</v>
      </c>
      <c r="J1103" s="205" t="s">
        <v>2276</v>
      </c>
      <c r="K1103" s="205" t="s">
        <v>2276</v>
      </c>
      <c r="L1103" s="205" t="s">
        <v>2276</v>
      </c>
      <c r="M1103" s="205" t="s">
        <v>2276</v>
      </c>
      <c r="N1103" s="205" t="s">
        <v>2276</v>
      </c>
      <c r="O1103" s="21">
        <v>26</v>
      </c>
      <c r="P1103" s="205" t="s">
        <v>2276</v>
      </c>
      <c r="Q1103" s="205" t="s">
        <v>2276</v>
      </c>
      <c r="R1103" s="205" t="s">
        <v>2276</v>
      </c>
      <c r="S1103" s="205" t="s">
        <v>2276</v>
      </c>
      <c r="T1103" s="205" t="s">
        <v>7292</v>
      </c>
    </row>
    <row r="1104" spans="1:20" ht="32" customHeight="1">
      <c r="A1104" s="19" t="s">
        <v>7240</v>
      </c>
      <c r="B1104" s="205" t="s">
        <v>1197</v>
      </c>
      <c r="C1104" s="205" t="s">
        <v>12</v>
      </c>
      <c r="D1104" s="11" t="s">
        <v>45</v>
      </c>
      <c r="E1104" s="4" t="s">
        <v>3855</v>
      </c>
      <c r="F1104" s="4" t="s">
        <v>2276</v>
      </c>
      <c r="G1104" s="4" t="s">
        <v>2276</v>
      </c>
      <c r="H1104" s="21">
        <v>1.1000000000000001</v>
      </c>
      <c r="I1104" s="4" t="s">
        <v>2276</v>
      </c>
      <c r="J1104" s="205" t="s">
        <v>2276</v>
      </c>
      <c r="K1104" s="205" t="s">
        <v>2276</v>
      </c>
      <c r="L1104" s="205" t="s">
        <v>2276</v>
      </c>
      <c r="M1104" s="205" t="s">
        <v>2276</v>
      </c>
      <c r="N1104" s="205" t="s">
        <v>2276</v>
      </c>
      <c r="O1104" s="21">
        <v>26</v>
      </c>
      <c r="P1104" s="205" t="s">
        <v>2276</v>
      </c>
      <c r="Q1104" s="205" t="s">
        <v>2276</v>
      </c>
      <c r="R1104" s="205" t="s">
        <v>2276</v>
      </c>
      <c r="S1104" s="205" t="s">
        <v>2276</v>
      </c>
      <c r="T1104" s="205" t="s">
        <v>7292</v>
      </c>
    </row>
    <row r="1105" spans="1:20" ht="29" customHeight="1">
      <c r="A1105" s="19" t="s">
        <v>7241</v>
      </c>
      <c r="B1105" s="205" t="s">
        <v>2258</v>
      </c>
      <c r="C1105" s="205" t="s">
        <v>12</v>
      </c>
      <c r="D1105" s="11" t="s">
        <v>45</v>
      </c>
      <c r="E1105" s="4" t="s">
        <v>2276</v>
      </c>
      <c r="F1105" s="4" t="s">
        <v>2276</v>
      </c>
      <c r="G1105" s="4" t="s">
        <v>2276</v>
      </c>
      <c r="H1105" s="21">
        <v>0.9</v>
      </c>
      <c r="I1105" s="4" t="s">
        <v>2276</v>
      </c>
      <c r="J1105" s="205" t="s">
        <v>2276</v>
      </c>
      <c r="K1105" s="205" t="s">
        <v>2276</v>
      </c>
      <c r="L1105" s="205" t="s">
        <v>2276</v>
      </c>
      <c r="M1105" s="205" t="s">
        <v>2276</v>
      </c>
      <c r="N1105" s="205" t="s">
        <v>2276</v>
      </c>
      <c r="O1105" s="21">
        <v>64</v>
      </c>
      <c r="P1105" s="205" t="s">
        <v>2276</v>
      </c>
      <c r="Q1105" s="205" t="s">
        <v>2276</v>
      </c>
      <c r="R1105" s="205" t="s">
        <v>2276</v>
      </c>
      <c r="S1105" s="205" t="s">
        <v>2276</v>
      </c>
      <c r="T1105" s="205" t="s">
        <v>7292</v>
      </c>
    </row>
    <row r="1106" spans="1:20" ht="28" customHeight="1">
      <c r="A1106" s="19" t="s">
        <v>7242</v>
      </c>
      <c r="B1106" s="205" t="s">
        <v>32</v>
      </c>
      <c r="C1106" s="205" t="s">
        <v>12</v>
      </c>
      <c r="D1106" s="11" t="s">
        <v>45</v>
      </c>
      <c r="E1106" s="4" t="s">
        <v>2276</v>
      </c>
      <c r="F1106" s="4" t="s">
        <v>2276</v>
      </c>
      <c r="G1106" s="4" t="s">
        <v>2276</v>
      </c>
      <c r="H1106" s="21">
        <v>0.84</v>
      </c>
      <c r="I1106" s="4" t="s">
        <v>2276</v>
      </c>
      <c r="J1106" s="205" t="s">
        <v>2276</v>
      </c>
      <c r="K1106" s="205" t="s">
        <v>2276</v>
      </c>
      <c r="L1106" s="205" t="s">
        <v>2276</v>
      </c>
      <c r="M1106" s="205" t="s">
        <v>2276</v>
      </c>
      <c r="N1106" s="205" t="s">
        <v>2276</v>
      </c>
      <c r="O1106" s="21">
        <v>40</v>
      </c>
      <c r="P1106" s="205" t="s">
        <v>2276</v>
      </c>
      <c r="Q1106" s="205" t="s">
        <v>2276</v>
      </c>
      <c r="R1106" s="205" t="s">
        <v>2276</v>
      </c>
      <c r="S1106" s="205" t="s">
        <v>2276</v>
      </c>
      <c r="T1106" s="205" t="s">
        <v>7292</v>
      </c>
    </row>
    <row r="1107" spans="1:20" ht="23.5" customHeight="1">
      <c r="A1107" s="19" t="s">
        <v>7243</v>
      </c>
      <c r="B1107" s="205" t="s">
        <v>69</v>
      </c>
      <c r="C1107" s="205" t="s">
        <v>12</v>
      </c>
      <c r="D1107" s="11" t="s">
        <v>45</v>
      </c>
      <c r="E1107" s="205" t="s">
        <v>5801</v>
      </c>
      <c r="F1107" s="4" t="s">
        <v>2276</v>
      </c>
      <c r="G1107" s="4" t="s">
        <v>2276</v>
      </c>
      <c r="H1107" s="21">
        <v>0.2</v>
      </c>
      <c r="I1107" s="4" t="s">
        <v>2276</v>
      </c>
      <c r="J1107" s="205" t="s">
        <v>2276</v>
      </c>
      <c r="K1107" s="205" t="s">
        <v>2276</v>
      </c>
      <c r="L1107" s="205" t="s">
        <v>2276</v>
      </c>
      <c r="M1107" s="205" t="s">
        <v>2276</v>
      </c>
      <c r="N1107" s="205" t="s">
        <v>2276</v>
      </c>
      <c r="O1107" s="21">
        <v>35</v>
      </c>
      <c r="P1107" s="205" t="s">
        <v>2276</v>
      </c>
      <c r="Q1107" s="205" t="s">
        <v>2276</v>
      </c>
      <c r="R1107" s="205" t="s">
        <v>2276</v>
      </c>
      <c r="S1107" s="205" t="s">
        <v>2276</v>
      </c>
      <c r="T1107" s="205" t="s">
        <v>7292</v>
      </c>
    </row>
    <row r="1108" spans="1:20" ht="36.5" customHeight="1">
      <c r="A1108" s="19" t="s">
        <v>7244</v>
      </c>
      <c r="B1108" s="205" t="s">
        <v>2276</v>
      </c>
      <c r="C1108" s="205" t="s">
        <v>12</v>
      </c>
      <c r="D1108" s="11" t="s">
        <v>45</v>
      </c>
      <c r="E1108" s="205" t="s">
        <v>5005</v>
      </c>
      <c r="F1108" s="4" t="s">
        <v>3855</v>
      </c>
      <c r="G1108" s="4" t="s">
        <v>2276</v>
      </c>
      <c r="H1108" s="21">
        <v>1.6</v>
      </c>
      <c r="I1108" s="4" t="s">
        <v>2276</v>
      </c>
      <c r="J1108" s="205" t="s">
        <v>2276</v>
      </c>
      <c r="K1108" s="205" t="s">
        <v>2276</v>
      </c>
      <c r="L1108" s="205" t="s">
        <v>2276</v>
      </c>
      <c r="M1108" s="205" t="s">
        <v>2276</v>
      </c>
      <c r="N1108" s="205" t="s">
        <v>2276</v>
      </c>
      <c r="O1108" s="21">
        <v>46</v>
      </c>
      <c r="P1108" s="205" t="s">
        <v>2276</v>
      </c>
      <c r="Q1108" s="205" t="s">
        <v>2276</v>
      </c>
      <c r="R1108" s="205" t="s">
        <v>2276</v>
      </c>
      <c r="S1108" s="205" t="s">
        <v>2276</v>
      </c>
      <c r="T1108" s="205" t="s">
        <v>7292</v>
      </c>
    </row>
    <row r="1109" spans="1:20" ht="35" customHeight="1">
      <c r="A1109" s="19" t="s">
        <v>7245</v>
      </c>
      <c r="B1109" s="205" t="s">
        <v>2258</v>
      </c>
      <c r="C1109" s="205" t="s">
        <v>12</v>
      </c>
      <c r="D1109" s="11" t="s">
        <v>45</v>
      </c>
      <c r="E1109" s="205" t="s">
        <v>5005</v>
      </c>
      <c r="F1109" s="4" t="s">
        <v>3855</v>
      </c>
      <c r="G1109" s="4" t="s">
        <v>2276</v>
      </c>
      <c r="H1109" s="21">
        <v>0.38</v>
      </c>
      <c r="I1109" s="4" t="s">
        <v>2276</v>
      </c>
      <c r="J1109" s="205" t="s">
        <v>2276</v>
      </c>
      <c r="K1109" s="205" t="s">
        <v>2276</v>
      </c>
      <c r="L1109" s="205" t="s">
        <v>2276</v>
      </c>
      <c r="M1109" s="205" t="s">
        <v>2276</v>
      </c>
      <c r="N1109" s="205" t="s">
        <v>2276</v>
      </c>
      <c r="O1109" s="21">
        <v>46</v>
      </c>
      <c r="P1109" s="205" t="s">
        <v>2276</v>
      </c>
      <c r="Q1109" s="205" t="s">
        <v>2276</v>
      </c>
      <c r="R1109" s="205" t="s">
        <v>2276</v>
      </c>
      <c r="S1109" s="205" t="s">
        <v>2276</v>
      </c>
      <c r="T1109" s="205" t="s">
        <v>7292</v>
      </c>
    </row>
    <row r="1110" spans="1:20" ht="25" customHeight="1">
      <c r="A1110" s="19" t="s">
        <v>7306</v>
      </c>
      <c r="B1110" s="205" t="s">
        <v>2276</v>
      </c>
      <c r="C1110" s="205" t="s">
        <v>2276</v>
      </c>
      <c r="D1110" s="205" t="s">
        <v>2649</v>
      </c>
      <c r="E1110" s="205" t="s">
        <v>137</v>
      </c>
      <c r="F1110" s="205" t="s">
        <v>2276</v>
      </c>
      <c r="G1110" s="205" t="s">
        <v>2276</v>
      </c>
      <c r="H1110" s="205" t="s">
        <v>2276</v>
      </c>
      <c r="I1110" s="205" t="s">
        <v>2276</v>
      </c>
      <c r="J1110" s="205" t="s">
        <v>2276</v>
      </c>
      <c r="K1110" s="205" t="s">
        <v>2276</v>
      </c>
      <c r="L1110" s="205" t="s">
        <v>2276</v>
      </c>
      <c r="M1110" s="205" t="s">
        <v>2276</v>
      </c>
      <c r="N1110" s="205" t="s">
        <v>2276</v>
      </c>
      <c r="O1110" s="205" t="s">
        <v>2276</v>
      </c>
      <c r="P1110" s="205" t="s">
        <v>2276</v>
      </c>
      <c r="Q1110" s="205" t="s">
        <v>2276</v>
      </c>
      <c r="R1110" s="205" t="s">
        <v>2276</v>
      </c>
      <c r="S1110" s="205" t="s">
        <v>2276</v>
      </c>
      <c r="T1110" s="205"/>
    </row>
    <row r="1111" spans="1:20" ht="28" customHeight="1">
      <c r="A1111" s="19" t="s">
        <v>7307</v>
      </c>
      <c r="B1111" s="205" t="s">
        <v>2276</v>
      </c>
      <c r="C1111" s="205" t="s">
        <v>2645</v>
      </c>
      <c r="D1111" s="205" t="s">
        <v>2649</v>
      </c>
      <c r="E1111" s="205" t="s">
        <v>137</v>
      </c>
      <c r="F1111" s="205" t="s">
        <v>2276</v>
      </c>
      <c r="G1111" s="205" t="s">
        <v>2276</v>
      </c>
      <c r="H1111" s="205" t="s">
        <v>2276</v>
      </c>
      <c r="I1111" s="205" t="s">
        <v>2276</v>
      </c>
      <c r="J1111" s="205" t="s">
        <v>2276</v>
      </c>
      <c r="K1111" s="205" t="s">
        <v>2276</v>
      </c>
      <c r="L1111" s="205" t="s">
        <v>2276</v>
      </c>
      <c r="M1111" s="205" t="s">
        <v>2276</v>
      </c>
      <c r="N1111" s="205" t="s">
        <v>2276</v>
      </c>
      <c r="O1111" s="205" t="s">
        <v>2276</v>
      </c>
      <c r="P1111" s="205" t="s">
        <v>2276</v>
      </c>
      <c r="Q1111" s="205" t="s">
        <v>2276</v>
      </c>
      <c r="R1111" s="205" t="s">
        <v>2276</v>
      </c>
      <c r="S1111" s="205" t="s">
        <v>2276</v>
      </c>
      <c r="T1111" s="205"/>
    </row>
    <row r="1112" spans="1:20" ht="25" customHeight="1">
      <c r="A1112" s="19" t="s">
        <v>7308</v>
      </c>
      <c r="B1112" s="205" t="s">
        <v>2276</v>
      </c>
      <c r="C1112" s="205" t="s">
        <v>2646</v>
      </c>
      <c r="D1112" s="205" t="s">
        <v>137</v>
      </c>
      <c r="E1112" s="205" t="s">
        <v>45</v>
      </c>
      <c r="F1112" s="205" t="s">
        <v>2276</v>
      </c>
      <c r="G1112" s="205" t="s">
        <v>2276</v>
      </c>
      <c r="H1112" s="205" t="s">
        <v>2276</v>
      </c>
      <c r="I1112" s="205" t="s">
        <v>2276</v>
      </c>
      <c r="J1112" s="205" t="s">
        <v>2276</v>
      </c>
      <c r="K1112" s="205" t="s">
        <v>2276</v>
      </c>
      <c r="L1112" s="205" t="s">
        <v>2276</v>
      </c>
      <c r="M1112" s="205" t="s">
        <v>2276</v>
      </c>
      <c r="N1112" s="205" t="s">
        <v>2276</v>
      </c>
      <c r="O1112" s="205" t="s">
        <v>2276</v>
      </c>
      <c r="P1112" s="205" t="s">
        <v>2276</v>
      </c>
      <c r="Q1112" s="205" t="s">
        <v>2276</v>
      </c>
      <c r="R1112" s="205" t="s">
        <v>2276</v>
      </c>
      <c r="S1112" s="205" t="s">
        <v>2276</v>
      </c>
      <c r="T1112" s="205"/>
    </row>
    <row r="1113" spans="1:20" ht="25" customHeight="1">
      <c r="A1113" s="19" t="s">
        <v>7309</v>
      </c>
      <c r="B1113" s="205" t="s">
        <v>2276</v>
      </c>
      <c r="C1113" s="205" t="s">
        <v>2646</v>
      </c>
      <c r="D1113" s="205" t="s">
        <v>137</v>
      </c>
      <c r="E1113" s="205" t="s">
        <v>45</v>
      </c>
      <c r="F1113" s="205" t="s">
        <v>2276</v>
      </c>
      <c r="G1113" s="205" t="s">
        <v>2276</v>
      </c>
      <c r="H1113" s="205" t="s">
        <v>2276</v>
      </c>
      <c r="I1113" s="205" t="s">
        <v>2276</v>
      </c>
      <c r="J1113" s="205" t="s">
        <v>2276</v>
      </c>
      <c r="K1113" s="205" t="s">
        <v>2276</v>
      </c>
      <c r="L1113" s="205" t="s">
        <v>2276</v>
      </c>
      <c r="M1113" s="205" t="s">
        <v>2276</v>
      </c>
      <c r="N1113" s="205" t="s">
        <v>2276</v>
      </c>
      <c r="O1113" s="205" t="s">
        <v>2276</v>
      </c>
      <c r="P1113" s="205" t="s">
        <v>2276</v>
      </c>
      <c r="Q1113" s="205" t="s">
        <v>2276</v>
      </c>
      <c r="R1113" s="205" t="s">
        <v>2276</v>
      </c>
      <c r="S1113" s="205" t="s">
        <v>2276</v>
      </c>
      <c r="T1113" s="205"/>
    </row>
    <row r="1114" spans="1:20" ht="25" customHeight="1">
      <c r="A1114" s="19" t="s">
        <v>7310</v>
      </c>
      <c r="B1114" s="205" t="s">
        <v>2276</v>
      </c>
      <c r="C1114" s="205" t="s">
        <v>2646</v>
      </c>
      <c r="D1114" s="205" t="s">
        <v>137</v>
      </c>
      <c r="E1114" s="205" t="s">
        <v>45</v>
      </c>
      <c r="F1114" s="205" t="s">
        <v>2276</v>
      </c>
      <c r="G1114" s="205" t="s">
        <v>2276</v>
      </c>
      <c r="H1114" s="205" t="s">
        <v>2276</v>
      </c>
      <c r="I1114" s="205" t="s">
        <v>2276</v>
      </c>
      <c r="J1114" s="205" t="s">
        <v>2276</v>
      </c>
      <c r="K1114" s="205" t="s">
        <v>2276</v>
      </c>
      <c r="L1114" s="205" t="s">
        <v>2276</v>
      </c>
      <c r="M1114" s="205" t="s">
        <v>2276</v>
      </c>
      <c r="N1114" s="205" t="s">
        <v>2276</v>
      </c>
      <c r="O1114" s="205" t="s">
        <v>2276</v>
      </c>
      <c r="P1114" s="205" t="s">
        <v>2276</v>
      </c>
      <c r="Q1114" s="205" t="s">
        <v>2276</v>
      </c>
      <c r="R1114" s="205" t="s">
        <v>2276</v>
      </c>
      <c r="S1114" s="205" t="s">
        <v>2276</v>
      </c>
      <c r="T1114" s="205"/>
    </row>
    <row r="1115" spans="1:20" ht="41.5" customHeight="1">
      <c r="A1115" s="19" t="s">
        <v>7340</v>
      </c>
      <c r="B1115" s="205" t="s">
        <v>2276</v>
      </c>
      <c r="C1115" s="205" t="s">
        <v>2276</v>
      </c>
      <c r="D1115" s="205" t="s">
        <v>3209</v>
      </c>
      <c r="E1115" s="205" t="s">
        <v>2276</v>
      </c>
      <c r="F1115" s="205" t="s">
        <v>2276</v>
      </c>
      <c r="G1115" s="205" t="s">
        <v>2276</v>
      </c>
      <c r="H1115" s="205" t="s">
        <v>2276</v>
      </c>
      <c r="I1115" s="205" t="s">
        <v>2276</v>
      </c>
      <c r="J1115" s="205" t="s">
        <v>2276</v>
      </c>
      <c r="K1115" s="205" t="s">
        <v>2276</v>
      </c>
      <c r="L1115" s="205" t="s">
        <v>2276</v>
      </c>
      <c r="M1115" s="205" t="s">
        <v>2276</v>
      </c>
      <c r="N1115" s="205" t="s">
        <v>2276</v>
      </c>
      <c r="O1115" s="205" t="s">
        <v>2276</v>
      </c>
      <c r="P1115" s="205" t="s">
        <v>2276</v>
      </c>
      <c r="Q1115" s="205" t="s">
        <v>2276</v>
      </c>
      <c r="R1115" s="205" t="s">
        <v>2276</v>
      </c>
      <c r="S1115" s="205" t="s">
        <v>2276</v>
      </c>
      <c r="T1115" s="4" t="s">
        <v>7706</v>
      </c>
    </row>
    <row r="1116" spans="1:20" ht="41.5" customHeight="1">
      <c r="A1116" s="19" t="s">
        <v>7353</v>
      </c>
      <c r="B1116" s="205" t="s">
        <v>2276</v>
      </c>
      <c r="C1116" s="205" t="s">
        <v>2276</v>
      </c>
      <c r="D1116" s="205" t="s">
        <v>3209</v>
      </c>
      <c r="E1116" s="205" t="s">
        <v>2276</v>
      </c>
      <c r="F1116" s="205" t="s">
        <v>2276</v>
      </c>
      <c r="G1116" s="205" t="s">
        <v>2276</v>
      </c>
      <c r="H1116" s="205" t="s">
        <v>2276</v>
      </c>
      <c r="I1116" s="205" t="s">
        <v>2276</v>
      </c>
      <c r="J1116" s="205" t="s">
        <v>2276</v>
      </c>
      <c r="K1116" s="205" t="s">
        <v>2276</v>
      </c>
      <c r="L1116" s="205" t="s">
        <v>2276</v>
      </c>
      <c r="M1116" s="205" t="s">
        <v>2276</v>
      </c>
      <c r="N1116" s="205" t="s">
        <v>2276</v>
      </c>
      <c r="O1116" s="205" t="s">
        <v>2276</v>
      </c>
      <c r="P1116" s="205" t="s">
        <v>2276</v>
      </c>
      <c r="Q1116" s="205" t="s">
        <v>2276</v>
      </c>
      <c r="R1116" s="205" t="s">
        <v>2276</v>
      </c>
      <c r="S1116" s="205" t="s">
        <v>2276</v>
      </c>
      <c r="T1116" s="4" t="s">
        <v>7706</v>
      </c>
    </row>
    <row r="1117" spans="1:20" ht="41.5" customHeight="1">
      <c r="A1117" s="19" t="s">
        <v>7354</v>
      </c>
      <c r="B1117" s="205" t="s">
        <v>2276</v>
      </c>
      <c r="C1117" s="205" t="s">
        <v>2276</v>
      </c>
      <c r="D1117" s="205" t="s">
        <v>3209</v>
      </c>
      <c r="E1117" s="205" t="s">
        <v>2276</v>
      </c>
      <c r="F1117" s="205" t="s">
        <v>2276</v>
      </c>
      <c r="G1117" s="205" t="s">
        <v>2276</v>
      </c>
      <c r="H1117" s="205" t="s">
        <v>2276</v>
      </c>
      <c r="I1117" s="205" t="s">
        <v>2276</v>
      </c>
      <c r="J1117" s="205" t="s">
        <v>2276</v>
      </c>
      <c r="K1117" s="205" t="s">
        <v>2276</v>
      </c>
      <c r="L1117" s="205" t="s">
        <v>2276</v>
      </c>
      <c r="M1117" s="205" t="s">
        <v>2276</v>
      </c>
      <c r="N1117" s="205" t="s">
        <v>2276</v>
      </c>
      <c r="O1117" s="205" t="s">
        <v>2276</v>
      </c>
      <c r="P1117" s="205" t="s">
        <v>2276</v>
      </c>
      <c r="Q1117" s="205" t="s">
        <v>2276</v>
      </c>
      <c r="R1117" s="205" t="s">
        <v>2276</v>
      </c>
      <c r="S1117" s="205" t="s">
        <v>2276</v>
      </c>
      <c r="T1117" s="4" t="s">
        <v>7706</v>
      </c>
    </row>
    <row r="1118" spans="1:20" ht="41.5" customHeight="1">
      <c r="A1118" s="19" t="s">
        <v>7355</v>
      </c>
      <c r="B1118" s="205" t="s">
        <v>2276</v>
      </c>
      <c r="C1118" s="205" t="s">
        <v>2276</v>
      </c>
      <c r="D1118" s="205" t="s">
        <v>3209</v>
      </c>
      <c r="E1118" s="205" t="s">
        <v>2276</v>
      </c>
      <c r="F1118" s="205" t="s">
        <v>2276</v>
      </c>
      <c r="G1118" s="205" t="s">
        <v>2276</v>
      </c>
      <c r="H1118" s="205" t="s">
        <v>2276</v>
      </c>
      <c r="I1118" s="205" t="s">
        <v>2276</v>
      </c>
      <c r="J1118" s="205" t="s">
        <v>2276</v>
      </c>
      <c r="K1118" s="205" t="s">
        <v>2276</v>
      </c>
      <c r="L1118" s="205" t="s">
        <v>2276</v>
      </c>
      <c r="M1118" s="205" t="s">
        <v>2276</v>
      </c>
      <c r="N1118" s="205" t="s">
        <v>2276</v>
      </c>
      <c r="O1118" s="205" t="s">
        <v>2276</v>
      </c>
      <c r="P1118" s="205" t="s">
        <v>2276</v>
      </c>
      <c r="Q1118" s="205" t="s">
        <v>2276</v>
      </c>
      <c r="R1118" s="205" t="s">
        <v>2276</v>
      </c>
      <c r="S1118" s="205" t="s">
        <v>2276</v>
      </c>
      <c r="T1118" s="4" t="s">
        <v>7706</v>
      </c>
    </row>
    <row r="1119" spans="1:20" ht="41.5" customHeight="1">
      <c r="A1119" s="19" t="s">
        <v>7356</v>
      </c>
      <c r="B1119" s="205" t="s">
        <v>2276</v>
      </c>
      <c r="C1119" s="205" t="s">
        <v>2276</v>
      </c>
      <c r="D1119" s="205" t="s">
        <v>3209</v>
      </c>
      <c r="E1119" s="205" t="s">
        <v>2276</v>
      </c>
      <c r="F1119" s="205" t="s">
        <v>2276</v>
      </c>
      <c r="G1119" s="205" t="s">
        <v>2276</v>
      </c>
      <c r="H1119" s="205" t="s">
        <v>2276</v>
      </c>
      <c r="I1119" s="205" t="s">
        <v>2276</v>
      </c>
      <c r="J1119" s="205" t="s">
        <v>2276</v>
      </c>
      <c r="K1119" s="205" t="s">
        <v>2276</v>
      </c>
      <c r="L1119" s="205" t="s">
        <v>2276</v>
      </c>
      <c r="M1119" s="205" t="s">
        <v>2276</v>
      </c>
      <c r="N1119" s="205" t="s">
        <v>2276</v>
      </c>
      <c r="O1119" s="205" t="s">
        <v>2276</v>
      </c>
      <c r="P1119" s="205" t="s">
        <v>2276</v>
      </c>
      <c r="Q1119" s="205" t="s">
        <v>2276</v>
      </c>
      <c r="R1119" s="205" t="s">
        <v>2276</v>
      </c>
      <c r="S1119" s="205" t="s">
        <v>2276</v>
      </c>
      <c r="T1119" s="4" t="s">
        <v>7706</v>
      </c>
    </row>
    <row r="1120" spans="1:20" ht="41.5" customHeight="1">
      <c r="A1120" s="19" t="s">
        <v>7357</v>
      </c>
      <c r="B1120" s="205" t="s">
        <v>2276</v>
      </c>
      <c r="C1120" s="205" t="s">
        <v>2276</v>
      </c>
      <c r="D1120" s="205" t="s">
        <v>3209</v>
      </c>
      <c r="E1120" s="205" t="s">
        <v>2276</v>
      </c>
      <c r="F1120" s="205" t="s">
        <v>2276</v>
      </c>
      <c r="G1120" s="205" t="s">
        <v>2276</v>
      </c>
      <c r="H1120" s="205" t="s">
        <v>2276</v>
      </c>
      <c r="I1120" s="205" t="s">
        <v>2276</v>
      </c>
      <c r="J1120" s="205" t="s">
        <v>2276</v>
      </c>
      <c r="K1120" s="205" t="s">
        <v>2276</v>
      </c>
      <c r="L1120" s="205" t="s">
        <v>2276</v>
      </c>
      <c r="M1120" s="205" t="s">
        <v>2276</v>
      </c>
      <c r="N1120" s="205" t="s">
        <v>2276</v>
      </c>
      <c r="O1120" s="205" t="s">
        <v>2276</v>
      </c>
      <c r="P1120" s="205" t="s">
        <v>2276</v>
      </c>
      <c r="Q1120" s="205" t="s">
        <v>2276</v>
      </c>
      <c r="R1120" s="205" t="s">
        <v>2276</v>
      </c>
      <c r="S1120" s="205" t="s">
        <v>2276</v>
      </c>
      <c r="T1120" s="4" t="s">
        <v>7706</v>
      </c>
    </row>
    <row r="1121" spans="1:20" ht="41.5" customHeight="1">
      <c r="A1121" s="19" t="s">
        <v>7358</v>
      </c>
      <c r="B1121" s="205" t="s">
        <v>2276</v>
      </c>
      <c r="C1121" s="205" t="s">
        <v>2276</v>
      </c>
      <c r="D1121" s="205" t="s">
        <v>3209</v>
      </c>
      <c r="E1121" s="205" t="s">
        <v>2276</v>
      </c>
      <c r="F1121" s="205" t="s">
        <v>2276</v>
      </c>
      <c r="G1121" s="205" t="s">
        <v>2276</v>
      </c>
      <c r="H1121" s="205" t="s">
        <v>2276</v>
      </c>
      <c r="I1121" s="205" t="s">
        <v>2276</v>
      </c>
      <c r="J1121" s="205" t="s">
        <v>2276</v>
      </c>
      <c r="K1121" s="205" t="s">
        <v>2276</v>
      </c>
      <c r="L1121" s="205" t="s">
        <v>2276</v>
      </c>
      <c r="M1121" s="205" t="s">
        <v>2276</v>
      </c>
      <c r="N1121" s="205" t="s">
        <v>2276</v>
      </c>
      <c r="O1121" s="205" t="s">
        <v>2276</v>
      </c>
      <c r="P1121" s="205" t="s">
        <v>2276</v>
      </c>
      <c r="Q1121" s="205" t="s">
        <v>2276</v>
      </c>
      <c r="R1121" s="205" t="s">
        <v>2276</v>
      </c>
      <c r="S1121" s="205" t="s">
        <v>2276</v>
      </c>
      <c r="T1121" s="4" t="s">
        <v>7706</v>
      </c>
    </row>
    <row r="1122" spans="1:20" ht="41.5" customHeight="1">
      <c r="A1122" s="19" t="s">
        <v>7359</v>
      </c>
      <c r="B1122" s="205" t="s">
        <v>2276</v>
      </c>
      <c r="C1122" s="205" t="s">
        <v>2276</v>
      </c>
      <c r="D1122" s="205" t="s">
        <v>3209</v>
      </c>
      <c r="E1122" s="205" t="s">
        <v>2276</v>
      </c>
      <c r="F1122" s="205" t="s">
        <v>2276</v>
      </c>
      <c r="G1122" s="205" t="s">
        <v>2276</v>
      </c>
      <c r="H1122" s="205" t="s">
        <v>2276</v>
      </c>
      <c r="I1122" s="205" t="s">
        <v>2276</v>
      </c>
      <c r="J1122" s="205" t="s">
        <v>2276</v>
      </c>
      <c r="K1122" s="205" t="s">
        <v>2276</v>
      </c>
      <c r="L1122" s="205" t="s">
        <v>2276</v>
      </c>
      <c r="M1122" s="205" t="s">
        <v>2276</v>
      </c>
      <c r="N1122" s="205" t="s">
        <v>2276</v>
      </c>
      <c r="O1122" s="205" t="s">
        <v>2276</v>
      </c>
      <c r="P1122" s="205" t="s">
        <v>2276</v>
      </c>
      <c r="Q1122" s="205" t="s">
        <v>2276</v>
      </c>
      <c r="R1122" s="205" t="s">
        <v>2276</v>
      </c>
      <c r="S1122" s="205" t="s">
        <v>2276</v>
      </c>
      <c r="T1122" s="4" t="s">
        <v>7706</v>
      </c>
    </row>
    <row r="1123" spans="1:20" ht="41.5" customHeight="1">
      <c r="A1123" s="19" t="s">
        <v>7360</v>
      </c>
      <c r="B1123" s="205" t="s">
        <v>2276</v>
      </c>
      <c r="C1123" s="205" t="s">
        <v>2646</v>
      </c>
      <c r="D1123" s="205" t="s">
        <v>3209</v>
      </c>
      <c r="E1123" s="205" t="s">
        <v>2276</v>
      </c>
      <c r="F1123" s="205" t="s">
        <v>2276</v>
      </c>
      <c r="G1123" s="205" t="s">
        <v>2276</v>
      </c>
      <c r="H1123" s="205" t="s">
        <v>2276</v>
      </c>
      <c r="I1123" s="205" t="s">
        <v>2276</v>
      </c>
      <c r="J1123" s="205" t="s">
        <v>2276</v>
      </c>
      <c r="K1123" s="205" t="s">
        <v>2276</v>
      </c>
      <c r="L1123" s="205" t="s">
        <v>2276</v>
      </c>
      <c r="M1123" s="205" t="s">
        <v>2276</v>
      </c>
      <c r="N1123" s="205" t="s">
        <v>2276</v>
      </c>
      <c r="O1123" s="205" t="s">
        <v>2276</v>
      </c>
      <c r="P1123" s="205" t="s">
        <v>2276</v>
      </c>
      <c r="Q1123" s="205" t="s">
        <v>2276</v>
      </c>
      <c r="R1123" s="205" t="s">
        <v>2276</v>
      </c>
      <c r="S1123" s="205" t="s">
        <v>2276</v>
      </c>
      <c r="T1123" s="4" t="s">
        <v>7706</v>
      </c>
    </row>
    <row r="1124" spans="1:20" ht="41.5" customHeight="1">
      <c r="A1124" s="19" t="s">
        <v>7361</v>
      </c>
      <c r="B1124" s="205" t="s">
        <v>2276</v>
      </c>
      <c r="C1124" s="205" t="s">
        <v>2646</v>
      </c>
      <c r="D1124" s="205" t="s">
        <v>3209</v>
      </c>
      <c r="E1124" s="205" t="s">
        <v>2276</v>
      </c>
      <c r="F1124" s="205" t="s">
        <v>2276</v>
      </c>
      <c r="G1124" s="205" t="s">
        <v>2276</v>
      </c>
      <c r="H1124" s="205" t="s">
        <v>2276</v>
      </c>
      <c r="I1124" s="205" t="s">
        <v>2276</v>
      </c>
      <c r="J1124" s="205" t="s">
        <v>2276</v>
      </c>
      <c r="K1124" s="205" t="s">
        <v>2276</v>
      </c>
      <c r="L1124" s="205" t="s">
        <v>2276</v>
      </c>
      <c r="M1124" s="205" t="s">
        <v>2276</v>
      </c>
      <c r="N1124" s="205" t="s">
        <v>2276</v>
      </c>
      <c r="O1124" s="205" t="s">
        <v>2276</v>
      </c>
      <c r="P1124" s="205" t="s">
        <v>2276</v>
      </c>
      <c r="Q1124" s="205" t="s">
        <v>2276</v>
      </c>
      <c r="R1124" s="205" t="s">
        <v>2276</v>
      </c>
      <c r="S1124" s="205" t="s">
        <v>2276</v>
      </c>
      <c r="T1124" s="4" t="s">
        <v>7706</v>
      </c>
    </row>
    <row r="1125" spans="1:20" ht="41.5" customHeight="1">
      <c r="A1125" s="19" t="s">
        <v>7362</v>
      </c>
      <c r="B1125" s="205" t="s">
        <v>2276</v>
      </c>
      <c r="C1125" s="205" t="s">
        <v>2646</v>
      </c>
      <c r="D1125" s="205" t="s">
        <v>3209</v>
      </c>
      <c r="E1125" s="205" t="s">
        <v>2276</v>
      </c>
      <c r="F1125" s="205" t="s">
        <v>2276</v>
      </c>
      <c r="G1125" s="205" t="s">
        <v>2276</v>
      </c>
      <c r="H1125" s="205" t="s">
        <v>2276</v>
      </c>
      <c r="I1125" s="205" t="s">
        <v>2276</v>
      </c>
      <c r="J1125" s="205" t="s">
        <v>2276</v>
      </c>
      <c r="K1125" s="205" t="s">
        <v>2276</v>
      </c>
      <c r="L1125" s="205" t="s">
        <v>2276</v>
      </c>
      <c r="M1125" s="205" t="s">
        <v>2276</v>
      </c>
      <c r="N1125" s="205" t="s">
        <v>2276</v>
      </c>
      <c r="O1125" s="205" t="s">
        <v>2276</v>
      </c>
      <c r="P1125" s="205" t="s">
        <v>2276</v>
      </c>
      <c r="Q1125" s="205" t="s">
        <v>2276</v>
      </c>
      <c r="R1125" s="205" t="s">
        <v>2276</v>
      </c>
      <c r="S1125" s="205" t="s">
        <v>2276</v>
      </c>
      <c r="T1125" s="4" t="s">
        <v>7706</v>
      </c>
    </row>
    <row r="1126" spans="1:20" ht="41.5" customHeight="1">
      <c r="A1126" s="19" t="s">
        <v>7363</v>
      </c>
      <c r="B1126" s="205" t="s">
        <v>2276</v>
      </c>
      <c r="C1126" s="205" t="s">
        <v>2646</v>
      </c>
      <c r="D1126" s="205" t="s">
        <v>3209</v>
      </c>
      <c r="E1126" s="205" t="s">
        <v>2276</v>
      </c>
      <c r="F1126" s="205" t="s">
        <v>2276</v>
      </c>
      <c r="G1126" s="205" t="s">
        <v>2276</v>
      </c>
      <c r="H1126" s="205" t="s">
        <v>2276</v>
      </c>
      <c r="I1126" s="205" t="s">
        <v>2276</v>
      </c>
      <c r="J1126" s="205" t="s">
        <v>2276</v>
      </c>
      <c r="K1126" s="205" t="s">
        <v>2276</v>
      </c>
      <c r="L1126" s="205" t="s">
        <v>2276</v>
      </c>
      <c r="M1126" s="205" t="s">
        <v>2276</v>
      </c>
      <c r="N1126" s="205" t="s">
        <v>2276</v>
      </c>
      <c r="O1126" s="205" t="s">
        <v>2276</v>
      </c>
      <c r="P1126" s="205" t="s">
        <v>2276</v>
      </c>
      <c r="Q1126" s="205" t="s">
        <v>2276</v>
      </c>
      <c r="R1126" s="205" t="s">
        <v>2276</v>
      </c>
      <c r="S1126" s="205" t="s">
        <v>2276</v>
      </c>
      <c r="T1126" s="4" t="s">
        <v>7706</v>
      </c>
    </row>
    <row r="1127" spans="1:20" ht="41.5" customHeight="1">
      <c r="A1127" s="19" t="s">
        <v>7364</v>
      </c>
      <c r="B1127" s="205" t="s">
        <v>2276</v>
      </c>
      <c r="C1127" s="205" t="s">
        <v>2646</v>
      </c>
      <c r="D1127" s="205" t="s">
        <v>3209</v>
      </c>
      <c r="E1127" s="205" t="s">
        <v>2276</v>
      </c>
      <c r="F1127" s="205" t="s">
        <v>2276</v>
      </c>
      <c r="G1127" s="205" t="s">
        <v>2276</v>
      </c>
      <c r="H1127" s="205" t="s">
        <v>2276</v>
      </c>
      <c r="I1127" s="205" t="s">
        <v>2276</v>
      </c>
      <c r="J1127" s="205" t="s">
        <v>2276</v>
      </c>
      <c r="K1127" s="205" t="s">
        <v>2276</v>
      </c>
      <c r="L1127" s="205" t="s">
        <v>2276</v>
      </c>
      <c r="M1127" s="205" t="s">
        <v>2276</v>
      </c>
      <c r="N1127" s="205" t="s">
        <v>2276</v>
      </c>
      <c r="O1127" s="205" t="s">
        <v>2276</v>
      </c>
      <c r="P1127" s="205" t="s">
        <v>2276</v>
      </c>
      <c r="Q1127" s="205" t="s">
        <v>2276</v>
      </c>
      <c r="R1127" s="205" t="s">
        <v>2276</v>
      </c>
      <c r="S1127" s="205" t="s">
        <v>2276</v>
      </c>
      <c r="T1127" s="4" t="s">
        <v>7706</v>
      </c>
    </row>
    <row r="1128" spans="1:20" ht="41.5" customHeight="1">
      <c r="A1128" s="19" t="s">
        <v>7365</v>
      </c>
      <c r="B1128" s="205" t="s">
        <v>2276</v>
      </c>
      <c r="C1128" s="205" t="s">
        <v>2276</v>
      </c>
      <c r="D1128" s="205" t="s">
        <v>3209</v>
      </c>
      <c r="E1128" s="205" t="s">
        <v>2276</v>
      </c>
      <c r="F1128" s="205" t="s">
        <v>2276</v>
      </c>
      <c r="G1128" s="205" t="s">
        <v>2276</v>
      </c>
      <c r="H1128" s="205" t="s">
        <v>2276</v>
      </c>
      <c r="I1128" s="205" t="s">
        <v>2276</v>
      </c>
      <c r="J1128" s="205" t="s">
        <v>2276</v>
      </c>
      <c r="K1128" s="205" t="s">
        <v>2276</v>
      </c>
      <c r="L1128" s="205" t="s">
        <v>2276</v>
      </c>
      <c r="M1128" s="205" t="s">
        <v>2276</v>
      </c>
      <c r="N1128" s="205" t="s">
        <v>2276</v>
      </c>
      <c r="O1128" s="205" t="s">
        <v>2276</v>
      </c>
      <c r="P1128" s="205" t="s">
        <v>2276</v>
      </c>
      <c r="Q1128" s="205" t="s">
        <v>2276</v>
      </c>
      <c r="R1128" s="205" t="s">
        <v>2276</v>
      </c>
      <c r="S1128" s="205" t="s">
        <v>2276</v>
      </c>
      <c r="T1128" s="4" t="s">
        <v>7706</v>
      </c>
    </row>
    <row r="1129" spans="1:20" ht="41.5" customHeight="1">
      <c r="A1129" s="19" t="s">
        <v>7451</v>
      </c>
      <c r="B1129" s="205" t="s">
        <v>2276</v>
      </c>
      <c r="C1129" s="205" t="s">
        <v>2276</v>
      </c>
      <c r="D1129" s="205" t="s">
        <v>3209</v>
      </c>
      <c r="E1129" s="205" t="s">
        <v>2276</v>
      </c>
      <c r="F1129" s="205" t="s">
        <v>2276</v>
      </c>
      <c r="G1129" s="205" t="s">
        <v>2276</v>
      </c>
      <c r="H1129" s="205" t="s">
        <v>2276</v>
      </c>
      <c r="I1129" s="205" t="s">
        <v>2276</v>
      </c>
      <c r="J1129" s="205" t="s">
        <v>2276</v>
      </c>
      <c r="K1129" s="205" t="s">
        <v>2276</v>
      </c>
      <c r="L1129" s="205" t="s">
        <v>2276</v>
      </c>
      <c r="M1129" s="205" t="s">
        <v>2276</v>
      </c>
      <c r="N1129" s="205" t="s">
        <v>2276</v>
      </c>
      <c r="O1129" s="205" t="s">
        <v>2276</v>
      </c>
      <c r="P1129" s="205" t="s">
        <v>2276</v>
      </c>
      <c r="Q1129" s="205" t="s">
        <v>2276</v>
      </c>
      <c r="R1129" s="205" t="s">
        <v>2276</v>
      </c>
      <c r="S1129" s="205" t="s">
        <v>2276</v>
      </c>
      <c r="T1129" s="4" t="s">
        <v>7706</v>
      </c>
    </row>
    <row r="1130" spans="1:20" ht="41.5" customHeight="1">
      <c r="A1130" s="19" t="s">
        <v>7452</v>
      </c>
      <c r="B1130" s="205" t="s">
        <v>2276</v>
      </c>
      <c r="C1130" s="205" t="s">
        <v>2276</v>
      </c>
      <c r="D1130" s="205" t="s">
        <v>3209</v>
      </c>
      <c r="E1130" s="205" t="s">
        <v>2276</v>
      </c>
      <c r="F1130" s="205" t="s">
        <v>2276</v>
      </c>
      <c r="G1130" s="205" t="s">
        <v>2276</v>
      </c>
      <c r="H1130" s="205" t="s">
        <v>2276</v>
      </c>
      <c r="I1130" s="205" t="s">
        <v>2276</v>
      </c>
      <c r="J1130" s="205" t="s">
        <v>2276</v>
      </c>
      <c r="K1130" s="205" t="s">
        <v>2276</v>
      </c>
      <c r="L1130" s="205" t="s">
        <v>2276</v>
      </c>
      <c r="M1130" s="205" t="s">
        <v>2276</v>
      </c>
      <c r="N1130" s="205" t="s">
        <v>2276</v>
      </c>
      <c r="O1130" s="205" t="s">
        <v>2276</v>
      </c>
      <c r="P1130" s="205" t="s">
        <v>2276</v>
      </c>
      <c r="Q1130" s="205" t="s">
        <v>2276</v>
      </c>
      <c r="R1130" s="205" t="s">
        <v>2276</v>
      </c>
      <c r="S1130" s="205" t="s">
        <v>2276</v>
      </c>
      <c r="T1130" s="4" t="s">
        <v>7706</v>
      </c>
    </row>
    <row r="1131" spans="1:20" ht="41.5" customHeight="1">
      <c r="A1131" s="19" t="s">
        <v>7453</v>
      </c>
      <c r="B1131" s="205" t="s">
        <v>2276</v>
      </c>
      <c r="C1131" s="205" t="s">
        <v>2276</v>
      </c>
      <c r="D1131" s="205" t="s">
        <v>3209</v>
      </c>
      <c r="E1131" s="205" t="s">
        <v>2276</v>
      </c>
      <c r="F1131" s="205" t="s">
        <v>2276</v>
      </c>
      <c r="G1131" s="205" t="s">
        <v>2276</v>
      </c>
      <c r="H1131" s="205" t="s">
        <v>2276</v>
      </c>
      <c r="I1131" s="205" t="s">
        <v>2276</v>
      </c>
      <c r="J1131" s="205" t="s">
        <v>2276</v>
      </c>
      <c r="K1131" s="205" t="s">
        <v>2276</v>
      </c>
      <c r="L1131" s="205" t="s">
        <v>2276</v>
      </c>
      <c r="M1131" s="205" t="s">
        <v>2276</v>
      </c>
      <c r="N1131" s="205" t="s">
        <v>2276</v>
      </c>
      <c r="O1131" s="205" t="s">
        <v>2276</v>
      </c>
      <c r="P1131" s="205" t="s">
        <v>2276</v>
      </c>
      <c r="Q1131" s="205" t="s">
        <v>2276</v>
      </c>
      <c r="R1131" s="205" t="s">
        <v>2276</v>
      </c>
      <c r="S1131" s="205" t="s">
        <v>2276</v>
      </c>
      <c r="T1131" s="4" t="s">
        <v>7706</v>
      </c>
    </row>
    <row r="1132" spans="1:20" ht="41.5" customHeight="1">
      <c r="A1132" s="19" t="s">
        <v>7454</v>
      </c>
      <c r="B1132" s="205" t="s">
        <v>2276</v>
      </c>
      <c r="C1132" s="205" t="s">
        <v>2276</v>
      </c>
      <c r="D1132" s="205" t="s">
        <v>3209</v>
      </c>
      <c r="E1132" s="205" t="s">
        <v>2276</v>
      </c>
      <c r="F1132" s="205" t="s">
        <v>2276</v>
      </c>
      <c r="G1132" s="205" t="s">
        <v>2276</v>
      </c>
      <c r="H1132" s="205" t="s">
        <v>2276</v>
      </c>
      <c r="I1132" s="205" t="s">
        <v>2276</v>
      </c>
      <c r="J1132" s="205" t="s">
        <v>2276</v>
      </c>
      <c r="K1132" s="205" t="s">
        <v>2276</v>
      </c>
      <c r="L1132" s="205" t="s">
        <v>2276</v>
      </c>
      <c r="M1132" s="205" t="s">
        <v>2276</v>
      </c>
      <c r="N1132" s="205" t="s">
        <v>2276</v>
      </c>
      <c r="O1132" s="205" t="s">
        <v>2276</v>
      </c>
      <c r="P1132" s="205" t="s">
        <v>2276</v>
      </c>
      <c r="Q1132" s="205" t="s">
        <v>2276</v>
      </c>
      <c r="R1132" s="205" t="s">
        <v>2276</v>
      </c>
      <c r="S1132" s="205" t="s">
        <v>2276</v>
      </c>
      <c r="T1132" s="4" t="s">
        <v>7706</v>
      </c>
    </row>
    <row r="1133" spans="1:20" ht="41.5" customHeight="1">
      <c r="A1133" s="19" t="s">
        <v>7455</v>
      </c>
      <c r="B1133" s="205" t="s">
        <v>2276</v>
      </c>
      <c r="C1133" s="205" t="s">
        <v>2276</v>
      </c>
      <c r="D1133" s="205" t="s">
        <v>3209</v>
      </c>
      <c r="E1133" s="205" t="s">
        <v>2276</v>
      </c>
      <c r="F1133" s="205" t="s">
        <v>2276</v>
      </c>
      <c r="G1133" s="205" t="s">
        <v>2276</v>
      </c>
      <c r="H1133" s="205" t="s">
        <v>2276</v>
      </c>
      <c r="I1133" s="205" t="s">
        <v>2276</v>
      </c>
      <c r="J1133" s="205" t="s">
        <v>2276</v>
      </c>
      <c r="K1133" s="205" t="s">
        <v>2276</v>
      </c>
      <c r="L1133" s="205" t="s">
        <v>2276</v>
      </c>
      <c r="M1133" s="205" t="s">
        <v>2276</v>
      </c>
      <c r="N1133" s="205" t="s">
        <v>2276</v>
      </c>
      <c r="O1133" s="205" t="s">
        <v>2276</v>
      </c>
      <c r="P1133" s="205" t="s">
        <v>2276</v>
      </c>
      <c r="Q1133" s="205" t="s">
        <v>2276</v>
      </c>
      <c r="R1133" s="205" t="s">
        <v>2276</v>
      </c>
      <c r="S1133" s="205" t="s">
        <v>2276</v>
      </c>
      <c r="T1133" s="4" t="s">
        <v>7706</v>
      </c>
    </row>
    <row r="1134" spans="1:20" ht="41.5" customHeight="1">
      <c r="A1134" s="19" t="s">
        <v>7456</v>
      </c>
      <c r="B1134" s="205" t="s">
        <v>2276</v>
      </c>
      <c r="C1134" s="205" t="s">
        <v>2276</v>
      </c>
      <c r="D1134" s="205" t="s">
        <v>3209</v>
      </c>
      <c r="E1134" s="205" t="s">
        <v>2276</v>
      </c>
      <c r="F1134" s="205" t="s">
        <v>2276</v>
      </c>
      <c r="G1134" s="205" t="s">
        <v>2276</v>
      </c>
      <c r="H1134" s="205" t="s">
        <v>2276</v>
      </c>
      <c r="I1134" s="205" t="s">
        <v>2276</v>
      </c>
      <c r="J1134" s="205" t="s">
        <v>2276</v>
      </c>
      <c r="K1134" s="205" t="s">
        <v>2276</v>
      </c>
      <c r="L1134" s="205" t="s">
        <v>2276</v>
      </c>
      <c r="M1134" s="205" t="s">
        <v>2276</v>
      </c>
      <c r="N1134" s="205" t="s">
        <v>2276</v>
      </c>
      <c r="O1134" s="205" t="s">
        <v>2276</v>
      </c>
      <c r="P1134" s="205" t="s">
        <v>2276</v>
      </c>
      <c r="Q1134" s="205" t="s">
        <v>2276</v>
      </c>
      <c r="R1134" s="205" t="s">
        <v>2276</v>
      </c>
      <c r="S1134" s="205" t="s">
        <v>2276</v>
      </c>
      <c r="T1134" s="4" t="s">
        <v>7706</v>
      </c>
    </row>
    <row r="1135" spans="1:20" ht="41.5" customHeight="1">
      <c r="A1135" s="19" t="s">
        <v>7457</v>
      </c>
      <c r="B1135" s="205" t="s">
        <v>2276</v>
      </c>
      <c r="C1135" s="205" t="s">
        <v>2276</v>
      </c>
      <c r="D1135" s="205" t="s">
        <v>3209</v>
      </c>
      <c r="E1135" s="205" t="s">
        <v>2276</v>
      </c>
      <c r="F1135" s="205" t="s">
        <v>2276</v>
      </c>
      <c r="G1135" s="205" t="s">
        <v>2276</v>
      </c>
      <c r="H1135" s="205" t="s">
        <v>2276</v>
      </c>
      <c r="I1135" s="205" t="s">
        <v>2276</v>
      </c>
      <c r="J1135" s="205" t="s">
        <v>2276</v>
      </c>
      <c r="K1135" s="205" t="s">
        <v>2276</v>
      </c>
      <c r="L1135" s="205" t="s">
        <v>2276</v>
      </c>
      <c r="M1135" s="205" t="s">
        <v>2276</v>
      </c>
      <c r="N1135" s="205" t="s">
        <v>2276</v>
      </c>
      <c r="O1135" s="205" t="s">
        <v>2276</v>
      </c>
      <c r="P1135" s="205" t="s">
        <v>2276</v>
      </c>
      <c r="Q1135" s="205" t="s">
        <v>2276</v>
      </c>
      <c r="R1135" s="205" t="s">
        <v>2276</v>
      </c>
      <c r="S1135" s="205" t="s">
        <v>2276</v>
      </c>
      <c r="T1135" s="4" t="s">
        <v>7706</v>
      </c>
    </row>
    <row r="1136" spans="1:20" ht="41.5" customHeight="1">
      <c r="A1136" s="19" t="s">
        <v>7458</v>
      </c>
      <c r="B1136" s="205" t="s">
        <v>2276</v>
      </c>
      <c r="C1136" s="205" t="s">
        <v>2276</v>
      </c>
      <c r="D1136" s="205" t="s">
        <v>3209</v>
      </c>
      <c r="E1136" s="205" t="s">
        <v>2276</v>
      </c>
      <c r="F1136" s="205" t="s">
        <v>2276</v>
      </c>
      <c r="G1136" s="205" t="s">
        <v>2276</v>
      </c>
      <c r="H1136" s="205" t="s">
        <v>2276</v>
      </c>
      <c r="I1136" s="205" t="s">
        <v>2276</v>
      </c>
      <c r="J1136" s="205" t="s">
        <v>2276</v>
      </c>
      <c r="K1136" s="205" t="s">
        <v>2276</v>
      </c>
      <c r="L1136" s="205" t="s">
        <v>2276</v>
      </c>
      <c r="M1136" s="205" t="s">
        <v>2276</v>
      </c>
      <c r="N1136" s="205" t="s">
        <v>2276</v>
      </c>
      <c r="O1136" s="205" t="s">
        <v>2276</v>
      </c>
      <c r="P1136" s="205" t="s">
        <v>2276</v>
      </c>
      <c r="Q1136" s="205" t="s">
        <v>2276</v>
      </c>
      <c r="R1136" s="205" t="s">
        <v>2276</v>
      </c>
      <c r="S1136" s="205" t="s">
        <v>2276</v>
      </c>
      <c r="T1136" s="4" t="s">
        <v>7706</v>
      </c>
    </row>
    <row r="1137" spans="1:20" ht="41.5" customHeight="1">
      <c r="A1137" s="19" t="s">
        <v>7459</v>
      </c>
      <c r="B1137" s="205" t="s">
        <v>2276</v>
      </c>
      <c r="C1137" s="205" t="s">
        <v>2276</v>
      </c>
      <c r="D1137" s="205" t="s">
        <v>3209</v>
      </c>
      <c r="E1137" s="205" t="s">
        <v>2276</v>
      </c>
      <c r="F1137" s="205" t="s">
        <v>2276</v>
      </c>
      <c r="G1137" s="205" t="s">
        <v>2276</v>
      </c>
      <c r="H1137" s="205" t="s">
        <v>2276</v>
      </c>
      <c r="I1137" s="205" t="s">
        <v>2276</v>
      </c>
      <c r="J1137" s="205" t="s">
        <v>2276</v>
      </c>
      <c r="K1137" s="205" t="s">
        <v>2276</v>
      </c>
      <c r="L1137" s="205" t="s">
        <v>2276</v>
      </c>
      <c r="M1137" s="205" t="s">
        <v>2276</v>
      </c>
      <c r="N1137" s="205" t="s">
        <v>2276</v>
      </c>
      <c r="O1137" s="205" t="s">
        <v>2276</v>
      </c>
      <c r="P1137" s="205" t="s">
        <v>2276</v>
      </c>
      <c r="Q1137" s="205" t="s">
        <v>2276</v>
      </c>
      <c r="R1137" s="205" t="s">
        <v>2276</v>
      </c>
      <c r="S1137" s="205" t="s">
        <v>2276</v>
      </c>
      <c r="T1137" s="4" t="s">
        <v>7706</v>
      </c>
    </row>
    <row r="1138" spans="1:20" ht="41.5" customHeight="1">
      <c r="A1138" s="19" t="s">
        <v>7460</v>
      </c>
      <c r="B1138" s="205" t="s">
        <v>2276</v>
      </c>
      <c r="C1138" s="205" t="s">
        <v>2276</v>
      </c>
      <c r="D1138" s="205" t="s">
        <v>3209</v>
      </c>
      <c r="E1138" s="205" t="s">
        <v>2276</v>
      </c>
      <c r="F1138" s="205" t="s">
        <v>2276</v>
      </c>
      <c r="G1138" s="205" t="s">
        <v>2276</v>
      </c>
      <c r="H1138" s="205" t="s">
        <v>2276</v>
      </c>
      <c r="I1138" s="205" t="s">
        <v>2276</v>
      </c>
      <c r="J1138" s="205" t="s">
        <v>2276</v>
      </c>
      <c r="K1138" s="205" t="s">
        <v>2276</v>
      </c>
      <c r="L1138" s="205" t="s">
        <v>2276</v>
      </c>
      <c r="M1138" s="205" t="s">
        <v>2276</v>
      </c>
      <c r="N1138" s="205" t="s">
        <v>2276</v>
      </c>
      <c r="O1138" s="205" t="s">
        <v>2276</v>
      </c>
      <c r="P1138" s="205" t="s">
        <v>2276</v>
      </c>
      <c r="Q1138" s="205" t="s">
        <v>2276</v>
      </c>
      <c r="R1138" s="205" t="s">
        <v>2276</v>
      </c>
      <c r="S1138" s="205" t="s">
        <v>2276</v>
      </c>
      <c r="T1138" s="4" t="s">
        <v>7706</v>
      </c>
    </row>
    <row r="1139" spans="1:20" ht="41.5" customHeight="1">
      <c r="A1139" s="19" t="s">
        <v>7461</v>
      </c>
      <c r="B1139" s="205" t="s">
        <v>2276</v>
      </c>
      <c r="C1139" s="205" t="s">
        <v>2276</v>
      </c>
      <c r="D1139" s="205" t="s">
        <v>3209</v>
      </c>
      <c r="E1139" s="205" t="s">
        <v>2276</v>
      </c>
      <c r="F1139" s="205" t="s">
        <v>2276</v>
      </c>
      <c r="G1139" s="205" t="s">
        <v>2276</v>
      </c>
      <c r="H1139" s="205" t="s">
        <v>2276</v>
      </c>
      <c r="I1139" s="205" t="s">
        <v>2276</v>
      </c>
      <c r="J1139" s="205" t="s">
        <v>2276</v>
      </c>
      <c r="K1139" s="205" t="s">
        <v>2276</v>
      </c>
      <c r="L1139" s="205" t="s">
        <v>2276</v>
      </c>
      <c r="M1139" s="205" t="s">
        <v>2276</v>
      </c>
      <c r="N1139" s="205" t="s">
        <v>2276</v>
      </c>
      <c r="O1139" s="205" t="s">
        <v>2276</v>
      </c>
      <c r="P1139" s="205" t="s">
        <v>2276</v>
      </c>
      <c r="Q1139" s="205" t="s">
        <v>2276</v>
      </c>
      <c r="R1139" s="205" t="s">
        <v>2276</v>
      </c>
      <c r="S1139" s="205" t="s">
        <v>2276</v>
      </c>
      <c r="T1139" s="4" t="s">
        <v>7706</v>
      </c>
    </row>
    <row r="1140" spans="1:20" ht="41.5" customHeight="1">
      <c r="A1140" s="19" t="s">
        <v>7462</v>
      </c>
      <c r="B1140" s="205" t="s">
        <v>2276</v>
      </c>
      <c r="C1140" s="205" t="s">
        <v>2276</v>
      </c>
      <c r="D1140" s="205" t="s">
        <v>3209</v>
      </c>
      <c r="E1140" s="205" t="s">
        <v>2276</v>
      </c>
      <c r="F1140" s="205" t="s">
        <v>2276</v>
      </c>
      <c r="G1140" s="205" t="s">
        <v>2276</v>
      </c>
      <c r="H1140" s="205" t="s">
        <v>2276</v>
      </c>
      <c r="I1140" s="205" t="s">
        <v>2276</v>
      </c>
      <c r="J1140" s="205" t="s">
        <v>2276</v>
      </c>
      <c r="K1140" s="205" t="s">
        <v>2276</v>
      </c>
      <c r="L1140" s="205" t="s">
        <v>2276</v>
      </c>
      <c r="M1140" s="205" t="s">
        <v>2276</v>
      </c>
      <c r="N1140" s="205" t="s">
        <v>2276</v>
      </c>
      <c r="O1140" s="205" t="s">
        <v>2276</v>
      </c>
      <c r="P1140" s="205" t="s">
        <v>2276</v>
      </c>
      <c r="Q1140" s="205" t="s">
        <v>2276</v>
      </c>
      <c r="R1140" s="205" t="s">
        <v>2276</v>
      </c>
      <c r="S1140" s="205" t="s">
        <v>2276</v>
      </c>
      <c r="T1140" s="4" t="s">
        <v>7706</v>
      </c>
    </row>
    <row r="1141" spans="1:20" ht="41.5" customHeight="1">
      <c r="A1141" s="19" t="s">
        <v>7463</v>
      </c>
      <c r="B1141" s="205" t="s">
        <v>2276</v>
      </c>
      <c r="C1141" s="205" t="s">
        <v>2276</v>
      </c>
      <c r="D1141" s="205" t="s">
        <v>3209</v>
      </c>
      <c r="E1141" s="205" t="s">
        <v>2276</v>
      </c>
      <c r="F1141" s="205" t="s">
        <v>2276</v>
      </c>
      <c r="G1141" s="205" t="s">
        <v>2276</v>
      </c>
      <c r="H1141" s="205" t="s">
        <v>2276</v>
      </c>
      <c r="I1141" s="205" t="s">
        <v>2276</v>
      </c>
      <c r="J1141" s="205" t="s">
        <v>2276</v>
      </c>
      <c r="K1141" s="205" t="s">
        <v>2276</v>
      </c>
      <c r="L1141" s="205" t="s">
        <v>2276</v>
      </c>
      <c r="M1141" s="205" t="s">
        <v>2276</v>
      </c>
      <c r="N1141" s="205" t="s">
        <v>2276</v>
      </c>
      <c r="O1141" s="205" t="s">
        <v>2276</v>
      </c>
      <c r="P1141" s="205" t="s">
        <v>2276</v>
      </c>
      <c r="Q1141" s="205" t="s">
        <v>2276</v>
      </c>
      <c r="R1141" s="205" t="s">
        <v>2276</v>
      </c>
      <c r="S1141" s="205" t="s">
        <v>2276</v>
      </c>
      <c r="T1141" s="4" t="s">
        <v>7706</v>
      </c>
    </row>
    <row r="1142" spans="1:20" ht="41.5" customHeight="1">
      <c r="A1142" s="19" t="s">
        <v>7464</v>
      </c>
      <c r="B1142" s="205" t="s">
        <v>2276</v>
      </c>
      <c r="C1142" s="205" t="s">
        <v>2276</v>
      </c>
      <c r="D1142" s="205" t="s">
        <v>3209</v>
      </c>
      <c r="E1142" s="205" t="s">
        <v>2276</v>
      </c>
      <c r="F1142" s="205" t="s">
        <v>2276</v>
      </c>
      <c r="G1142" s="205" t="s">
        <v>2276</v>
      </c>
      <c r="H1142" s="205" t="s">
        <v>2276</v>
      </c>
      <c r="I1142" s="205" t="s">
        <v>2276</v>
      </c>
      <c r="J1142" s="205" t="s">
        <v>2276</v>
      </c>
      <c r="K1142" s="205" t="s">
        <v>2276</v>
      </c>
      <c r="L1142" s="205" t="s">
        <v>2276</v>
      </c>
      <c r="M1142" s="205" t="s">
        <v>2276</v>
      </c>
      <c r="N1142" s="205" t="s">
        <v>2276</v>
      </c>
      <c r="O1142" s="205" t="s">
        <v>2276</v>
      </c>
      <c r="P1142" s="205" t="s">
        <v>2276</v>
      </c>
      <c r="Q1142" s="205" t="s">
        <v>2276</v>
      </c>
      <c r="R1142" s="205" t="s">
        <v>2276</v>
      </c>
      <c r="S1142" s="205" t="s">
        <v>2276</v>
      </c>
      <c r="T1142" s="4" t="s">
        <v>7706</v>
      </c>
    </row>
    <row r="1143" spans="1:20" ht="41.5" customHeight="1">
      <c r="A1143" s="19" t="s">
        <v>7465</v>
      </c>
      <c r="B1143" s="205" t="s">
        <v>2276</v>
      </c>
      <c r="C1143" s="205" t="s">
        <v>2276</v>
      </c>
      <c r="D1143" s="205" t="s">
        <v>3209</v>
      </c>
      <c r="E1143" s="205" t="s">
        <v>2276</v>
      </c>
      <c r="F1143" s="205" t="s">
        <v>2276</v>
      </c>
      <c r="G1143" s="205" t="s">
        <v>2276</v>
      </c>
      <c r="H1143" s="205" t="s">
        <v>2276</v>
      </c>
      <c r="I1143" s="205" t="s">
        <v>2276</v>
      </c>
      <c r="J1143" s="205" t="s">
        <v>2276</v>
      </c>
      <c r="K1143" s="205" t="s">
        <v>2276</v>
      </c>
      <c r="L1143" s="205" t="s">
        <v>2276</v>
      </c>
      <c r="M1143" s="205" t="s">
        <v>2276</v>
      </c>
      <c r="N1143" s="205" t="s">
        <v>2276</v>
      </c>
      <c r="O1143" s="205" t="s">
        <v>2276</v>
      </c>
      <c r="P1143" s="205" t="s">
        <v>2276</v>
      </c>
      <c r="Q1143" s="205" t="s">
        <v>2276</v>
      </c>
      <c r="R1143" s="205" t="s">
        <v>2276</v>
      </c>
      <c r="S1143" s="205" t="s">
        <v>2276</v>
      </c>
      <c r="T1143" s="4" t="s">
        <v>7706</v>
      </c>
    </row>
    <row r="1144" spans="1:20" ht="41.5" customHeight="1">
      <c r="A1144" s="19" t="s">
        <v>7466</v>
      </c>
      <c r="B1144" s="205" t="s">
        <v>2276</v>
      </c>
      <c r="C1144" s="205" t="s">
        <v>2276</v>
      </c>
      <c r="D1144" s="205" t="s">
        <v>3209</v>
      </c>
      <c r="E1144" s="205" t="s">
        <v>2276</v>
      </c>
      <c r="F1144" s="205" t="s">
        <v>2276</v>
      </c>
      <c r="G1144" s="205" t="s">
        <v>2276</v>
      </c>
      <c r="H1144" s="205" t="s">
        <v>2276</v>
      </c>
      <c r="I1144" s="205" t="s">
        <v>2276</v>
      </c>
      <c r="J1144" s="205" t="s">
        <v>2276</v>
      </c>
      <c r="K1144" s="205" t="s">
        <v>2276</v>
      </c>
      <c r="L1144" s="205" t="s">
        <v>2276</v>
      </c>
      <c r="M1144" s="205" t="s">
        <v>2276</v>
      </c>
      <c r="N1144" s="205" t="s">
        <v>2276</v>
      </c>
      <c r="O1144" s="205" t="s">
        <v>2276</v>
      </c>
      <c r="P1144" s="205" t="s">
        <v>2276</v>
      </c>
      <c r="Q1144" s="205" t="s">
        <v>2276</v>
      </c>
      <c r="R1144" s="205" t="s">
        <v>2276</v>
      </c>
      <c r="S1144" s="205" t="s">
        <v>2276</v>
      </c>
      <c r="T1144" s="4" t="s">
        <v>7706</v>
      </c>
    </row>
    <row r="1145" spans="1:20" ht="41.5" customHeight="1">
      <c r="A1145" s="19" t="s">
        <v>7467</v>
      </c>
      <c r="B1145" s="205" t="s">
        <v>2276</v>
      </c>
      <c r="C1145" s="205" t="s">
        <v>2276</v>
      </c>
      <c r="D1145" s="205" t="s">
        <v>3209</v>
      </c>
      <c r="E1145" s="205" t="s">
        <v>2276</v>
      </c>
      <c r="F1145" s="205" t="s">
        <v>2276</v>
      </c>
      <c r="G1145" s="205" t="s">
        <v>2276</v>
      </c>
      <c r="H1145" s="205" t="s">
        <v>2276</v>
      </c>
      <c r="I1145" s="205" t="s">
        <v>2276</v>
      </c>
      <c r="J1145" s="205" t="s">
        <v>2276</v>
      </c>
      <c r="K1145" s="205" t="s">
        <v>2276</v>
      </c>
      <c r="L1145" s="205" t="s">
        <v>2276</v>
      </c>
      <c r="M1145" s="205" t="s">
        <v>2276</v>
      </c>
      <c r="N1145" s="205" t="s">
        <v>2276</v>
      </c>
      <c r="O1145" s="205" t="s">
        <v>2276</v>
      </c>
      <c r="P1145" s="205" t="s">
        <v>2276</v>
      </c>
      <c r="Q1145" s="205" t="s">
        <v>2276</v>
      </c>
      <c r="R1145" s="205" t="s">
        <v>2276</v>
      </c>
      <c r="S1145" s="205" t="s">
        <v>2276</v>
      </c>
      <c r="T1145" s="4" t="s">
        <v>7706</v>
      </c>
    </row>
    <row r="1146" spans="1:20" ht="41.5" customHeight="1">
      <c r="A1146" s="19" t="s">
        <v>7666</v>
      </c>
      <c r="B1146" s="205" t="s">
        <v>2276</v>
      </c>
      <c r="C1146" s="205" t="s">
        <v>2276</v>
      </c>
      <c r="D1146" s="205" t="s">
        <v>3209</v>
      </c>
      <c r="E1146" s="205" t="s">
        <v>2276</v>
      </c>
      <c r="F1146" s="205" t="s">
        <v>2276</v>
      </c>
      <c r="G1146" s="205" t="s">
        <v>2276</v>
      </c>
      <c r="H1146" s="205" t="s">
        <v>2276</v>
      </c>
      <c r="I1146" s="205" t="s">
        <v>2276</v>
      </c>
      <c r="J1146" s="205" t="s">
        <v>2276</v>
      </c>
      <c r="K1146" s="205" t="s">
        <v>2276</v>
      </c>
      <c r="L1146" s="205" t="s">
        <v>2276</v>
      </c>
      <c r="M1146" s="205" t="s">
        <v>2276</v>
      </c>
      <c r="N1146" s="205" t="s">
        <v>2276</v>
      </c>
      <c r="O1146" s="205" t="s">
        <v>2276</v>
      </c>
      <c r="P1146" s="205" t="s">
        <v>2276</v>
      </c>
      <c r="Q1146" s="205" t="s">
        <v>2276</v>
      </c>
      <c r="R1146" s="205" t="s">
        <v>2276</v>
      </c>
      <c r="S1146" s="205" t="s">
        <v>2276</v>
      </c>
      <c r="T1146" s="4" t="s">
        <v>7706</v>
      </c>
    </row>
    <row r="1147" spans="1:20" ht="41.5" customHeight="1">
      <c r="A1147" s="19" t="s">
        <v>7688</v>
      </c>
      <c r="B1147" s="205" t="s">
        <v>2276</v>
      </c>
      <c r="C1147" s="205" t="s">
        <v>2276</v>
      </c>
      <c r="D1147" s="205" t="s">
        <v>3209</v>
      </c>
      <c r="E1147" s="205" t="s">
        <v>2276</v>
      </c>
      <c r="F1147" s="205" t="s">
        <v>2276</v>
      </c>
      <c r="G1147" s="205" t="s">
        <v>2276</v>
      </c>
      <c r="H1147" s="205" t="s">
        <v>2276</v>
      </c>
      <c r="I1147" s="205" t="s">
        <v>2276</v>
      </c>
      <c r="J1147" s="205" t="s">
        <v>2276</v>
      </c>
      <c r="K1147" s="205" t="s">
        <v>2276</v>
      </c>
      <c r="L1147" s="205" t="s">
        <v>2276</v>
      </c>
      <c r="M1147" s="205" t="s">
        <v>2276</v>
      </c>
      <c r="N1147" s="205" t="s">
        <v>2276</v>
      </c>
      <c r="O1147" s="205" t="s">
        <v>2276</v>
      </c>
      <c r="P1147" s="205" t="s">
        <v>2276</v>
      </c>
      <c r="Q1147" s="205" t="s">
        <v>2276</v>
      </c>
      <c r="R1147" s="205" t="s">
        <v>2276</v>
      </c>
      <c r="S1147" s="205" t="s">
        <v>2276</v>
      </c>
      <c r="T1147" s="4" t="s">
        <v>7706</v>
      </c>
    </row>
    <row r="1148" spans="1:20" ht="41.5" customHeight="1">
      <c r="A1148" s="19" t="s">
        <v>7691</v>
      </c>
      <c r="B1148" s="205" t="s">
        <v>2276</v>
      </c>
      <c r="C1148" s="205" t="s">
        <v>2276</v>
      </c>
      <c r="D1148" s="205" t="s">
        <v>3209</v>
      </c>
      <c r="E1148" s="205" t="s">
        <v>2276</v>
      </c>
      <c r="F1148" s="205" t="s">
        <v>2276</v>
      </c>
      <c r="G1148" s="205" t="s">
        <v>2276</v>
      </c>
      <c r="H1148" s="205" t="s">
        <v>2276</v>
      </c>
      <c r="I1148" s="205" t="s">
        <v>2276</v>
      </c>
      <c r="J1148" s="205" t="s">
        <v>2276</v>
      </c>
      <c r="K1148" s="205" t="s">
        <v>2276</v>
      </c>
      <c r="L1148" s="205" t="s">
        <v>2276</v>
      </c>
      <c r="M1148" s="205" t="s">
        <v>2276</v>
      </c>
      <c r="N1148" s="205" t="s">
        <v>2276</v>
      </c>
      <c r="O1148" s="205" t="s">
        <v>2276</v>
      </c>
      <c r="P1148" s="205" t="s">
        <v>2276</v>
      </c>
      <c r="Q1148" s="205" t="s">
        <v>2276</v>
      </c>
      <c r="R1148" s="205" t="s">
        <v>2276</v>
      </c>
      <c r="S1148" s="205" t="s">
        <v>2276</v>
      </c>
      <c r="T1148" s="4" t="s">
        <v>7706</v>
      </c>
    </row>
    <row r="1149" spans="1:20" ht="41.5" customHeight="1">
      <c r="A1149" s="19" t="s">
        <v>7692</v>
      </c>
      <c r="B1149" s="205" t="s">
        <v>2276</v>
      </c>
      <c r="C1149" s="205" t="s">
        <v>2276</v>
      </c>
      <c r="D1149" s="205" t="s">
        <v>3209</v>
      </c>
      <c r="E1149" s="205" t="s">
        <v>2276</v>
      </c>
      <c r="F1149" s="205" t="s">
        <v>2276</v>
      </c>
      <c r="G1149" s="205" t="s">
        <v>2276</v>
      </c>
      <c r="H1149" s="205" t="s">
        <v>2276</v>
      </c>
      <c r="I1149" s="205" t="s">
        <v>2276</v>
      </c>
      <c r="J1149" s="205" t="s">
        <v>2276</v>
      </c>
      <c r="K1149" s="205" t="s">
        <v>2276</v>
      </c>
      <c r="L1149" s="205" t="s">
        <v>2276</v>
      </c>
      <c r="M1149" s="205" t="s">
        <v>2276</v>
      </c>
      <c r="N1149" s="205" t="s">
        <v>2276</v>
      </c>
      <c r="O1149" s="205" t="s">
        <v>2276</v>
      </c>
      <c r="P1149" s="205" t="s">
        <v>2276</v>
      </c>
      <c r="Q1149" s="205" t="s">
        <v>2276</v>
      </c>
      <c r="R1149" s="205" t="s">
        <v>2276</v>
      </c>
      <c r="S1149" s="205" t="s">
        <v>2276</v>
      </c>
      <c r="T1149" s="4" t="s">
        <v>7706</v>
      </c>
    </row>
    <row r="1150" spans="1:20" ht="37" customHeight="1">
      <c r="A1150" s="55" t="s">
        <v>7715</v>
      </c>
      <c r="B1150" s="4" t="s">
        <v>1197</v>
      </c>
      <c r="C1150" s="205" t="s">
        <v>2645</v>
      </c>
      <c r="D1150" s="165" t="s">
        <v>3209</v>
      </c>
      <c r="E1150" s="205" t="s">
        <v>2276</v>
      </c>
      <c r="F1150" s="205" t="s">
        <v>2276</v>
      </c>
      <c r="G1150" s="205" t="s">
        <v>2276</v>
      </c>
      <c r="H1150" s="205" t="s">
        <v>2276</v>
      </c>
      <c r="I1150" s="205" t="s">
        <v>2276</v>
      </c>
      <c r="J1150" s="205" t="s">
        <v>2276</v>
      </c>
      <c r="K1150" s="4" t="s">
        <v>534</v>
      </c>
      <c r="L1150" s="205" t="s">
        <v>2276</v>
      </c>
      <c r="M1150" s="205" t="s">
        <v>2276</v>
      </c>
      <c r="N1150" s="205" t="s">
        <v>2276</v>
      </c>
      <c r="O1150" s="205" t="s">
        <v>2276</v>
      </c>
      <c r="P1150" s="205" t="s">
        <v>2276</v>
      </c>
      <c r="Q1150" s="205" t="s">
        <v>2276</v>
      </c>
      <c r="R1150" s="205" t="s">
        <v>2276</v>
      </c>
      <c r="S1150" s="205" t="s">
        <v>2276</v>
      </c>
      <c r="T1150" s="4" t="s">
        <v>7850</v>
      </c>
    </row>
    <row r="1151" spans="1:20" ht="37" customHeight="1">
      <c r="A1151" s="19" t="s">
        <v>7716</v>
      </c>
      <c r="B1151" s="4" t="s">
        <v>1197</v>
      </c>
      <c r="C1151" s="205" t="s">
        <v>2645</v>
      </c>
      <c r="D1151" s="165" t="s">
        <v>3209</v>
      </c>
      <c r="E1151" s="205" t="s">
        <v>2276</v>
      </c>
      <c r="F1151" s="205" t="s">
        <v>2276</v>
      </c>
      <c r="G1151" s="205" t="s">
        <v>2276</v>
      </c>
      <c r="H1151" s="205" t="s">
        <v>2276</v>
      </c>
      <c r="I1151" s="205" t="s">
        <v>2276</v>
      </c>
      <c r="J1151" s="205" t="s">
        <v>2276</v>
      </c>
      <c r="K1151" s="205" t="s">
        <v>2276</v>
      </c>
      <c r="L1151" s="205" t="s">
        <v>2276</v>
      </c>
      <c r="M1151" s="205" t="s">
        <v>2276</v>
      </c>
      <c r="N1151" s="205" t="s">
        <v>2276</v>
      </c>
      <c r="O1151" s="205" t="s">
        <v>2276</v>
      </c>
      <c r="P1151" s="205" t="s">
        <v>2276</v>
      </c>
      <c r="Q1151" s="205" t="s">
        <v>2276</v>
      </c>
      <c r="R1151" s="205" t="s">
        <v>2276</v>
      </c>
      <c r="S1151" s="205" t="s">
        <v>2276</v>
      </c>
      <c r="T1151" s="205" t="s">
        <v>7848</v>
      </c>
    </row>
    <row r="1152" spans="1:20" ht="37" customHeight="1">
      <c r="A1152" s="19" t="s">
        <v>7717</v>
      </c>
      <c r="B1152" s="4" t="s">
        <v>1197</v>
      </c>
      <c r="C1152" s="205" t="s">
        <v>2645</v>
      </c>
      <c r="D1152" s="165" t="s">
        <v>3209</v>
      </c>
      <c r="E1152" s="205" t="s">
        <v>2276</v>
      </c>
      <c r="F1152" s="205" t="s">
        <v>2276</v>
      </c>
      <c r="G1152" s="205" t="s">
        <v>2276</v>
      </c>
      <c r="H1152" s="205" t="s">
        <v>2276</v>
      </c>
      <c r="I1152" s="205" t="s">
        <v>2276</v>
      </c>
      <c r="J1152" s="205" t="s">
        <v>2276</v>
      </c>
      <c r="K1152" s="205" t="s">
        <v>2276</v>
      </c>
      <c r="L1152" s="205" t="s">
        <v>2276</v>
      </c>
      <c r="M1152" s="205" t="s">
        <v>2276</v>
      </c>
      <c r="N1152" s="205" t="s">
        <v>2276</v>
      </c>
      <c r="O1152" s="205" t="s">
        <v>2276</v>
      </c>
      <c r="P1152" s="205" t="s">
        <v>2276</v>
      </c>
      <c r="Q1152" s="205" t="s">
        <v>2276</v>
      </c>
      <c r="R1152" s="205" t="s">
        <v>2276</v>
      </c>
      <c r="S1152" s="205" t="s">
        <v>2276</v>
      </c>
      <c r="T1152" s="205" t="s">
        <v>7848</v>
      </c>
    </row>
    <row r="1153" spans="1:20" ht="37" customHeight="1">
      <c r="A1153" s="19" t="s">
        <v>7718</v>
      </c>
      <c r="B1153" s="4" t="s">
        <v>1197</v>
      </c>
      <c r="C1153" s="205" t="s">
        <v>2645</v>
      </c>
      <c r="D1153" s="165" t="s">
        <v>3209</v>
      </c>
      <c r="E1153" s="205" t="s">
        <v>2276</v>
      </c>
      <c r="F1153" s="205" t="s">
        <v>2276</v>
      </c>
      <c r="G1153" s="205" t="s">
        <v>2276</v>
      </c>
      <c r="H1153" s="205" t="s">
        <v>2276</v>
      </c>
      <c r="I1153" s="205" t="s">
        <v>2276</v>
      </c>
      <c r="J1153" s="205" t="s">
        <v>2276</v>
      </c>
      <c r="K1153" s="205" t="s">
        <v>2276</v>
      </c>
      <c r="L1153" s="205" t="s">
        <v>2276</v>
      </c>
      <c r="M1153" s="205" t="s">
        <v>2276</v>
      </c>
      <c r="N1153" s="205" t="s">
        <v>2276</v>
      </c>
      <c r="O1153" s="205" t="s">
        <v>2276</v>
      </c>
      <c r="P1153" s="205" t="s">
        <v>2276</v>
      </c>
      <c r="Q1153" s="205" t="s">
        <v>2276</v>
      </c>
      <c r="R1153" s="205" t="s">
        <v>2276</v>
      </c>
      <c r="S1153" s="205" t="s">
        <v>2276</v>
      </c>
      <c r="T1153" s="205" t="s">
        <v>7848</v>
      </c>
    </row>
    <row r="1154" spans="1:20" ht="37" customHeight="1">
      <c r="A1154" s="19" t="s">
        <v>7719</v>
      </c>
      <c r="B1154" s="4" t="s">
        <v>1197</v>
      </c>
      <c r="C1154" s="205" t="s">
        <v>2645</v>
      </c>
      <c r="D1154" s="165" t="s">
        <v>3209</v>
      </c>
      <c r="E1154" s="205" t="s">
        <v>2276</v>
      </c>
      <c r="F1154" s="205" t="s">
        <v>2276</v>
      </c>
      <c r="G1154" s="205" t="s">
        <v>2276</v>
      </c>
      <c r="H1154" s="205" t="s">
        <v>2276</v>
      </c>
      <c r="I1154" s="205" t="s">
        <v>2276</v>
      </c>
      <c r="J1154" s="205" t="s">
        <v>2276</v>
      </c>
      <c r="K1154" s="205" t="s">
        <v>2276</v>
      </c>
      <c r="L1154" s="205" t="s">
        <v>2276</v>
      </c>
      <c r="M1154" s="205" t="s">
        <v>2276</v>
      </c>
      <c r="N1154" s="205" t="s">
        <v>2276</v>
      </c>
      <c r="O1154" s="205" t="s">
        <v>2276</v>
      </c>
      <c r="P1154" s="205" t="s">
        <v>2276</v>
      </c>
      <c r="Q1154" s="205" t="s">
        <v>2276</v>
      </c>
      <c r="R1154" s="205" t="s">
        <v>2276</v>
      </c>
      <c r="S1154" s="205" t="s">
        <v>2276</v>
      </c>
      <c r="T1154" s="205" t="s">
        <v>7848</v>
      </c>
    </row>
    <row r="1155" spans="1:20" ht="37" customHeight="1">
      <c r="A1155" s="19" t="s">
        <v>7720</v>
      </c>
      <c r="B1155" s="4" t="s">
        <v>1197</v>
      </c>
      <c r="C1155" s="205" t="s">
        <v>2645</v>
      </c>
      <c r="D1155" s="165" t="s">
        <v>3209</v>
      </c>
      <c r="E1155" s="205" t="s">
        <v>2276</v>
      </c>
      <c r="F1155" s="205" t="s">
        <v>2276</v>
      </c>
      <c r="G1155" s="205" t="s">
        <v>2276</v>
      </c>
      <c r="H1155" s="205" t="s">
        <v>2276</v>
      </c>
      <c r="I1155" s="205" t="s">
        <v>2276</v>
      </c>
      <c r="J1155" s="205" t="s">
        <v>2276</v>
      </c>
      <c r="K1155" s="205" t="s">
        <v>2276</v>
      </c>
      <c r="L1155" s="205" t="s">
        <v>2276</v>
      </c>
      <c r="M1155" s="205" t="s">
        <v>2276</v>
      </c>
      <c r="N1155" s="205" t="s">
        <v>2276</v>
      </c>
      <c r="O1155" s="205" t="s">
        <v>2276</v>
      </c>
      <c r="P1155" s="205" t="s">
        <v>2276</v>
      </c>
      <c r="Q1155" s="205" t="s">
        <v>2276</v>
      </c>
      <c r="R1155" s="205" t="s">
        <v>2276</v>
      </c>
      <c r="S1155" s="205" t="s">
        <v>2276</v>
      </c>
      <c r="T1155" s="205" t="s">
        <v>7848</v>
      </c>
    </row>
    <row r="1156" spans="1:20" ht="37" customHeight="1">
      <c r="A1156" s="19" t="s">
        <v>7721</v>
      </c>
      <c r="B1156" s="4" t="s">
        <v>1197</v>
      </c>
      <c r="C1156" s="205" t="s">
        <v>2645</v>
      </c>
      <c r="D1156" s="165" t="s">
        <v>3209</v>
      </c>
      <c r="E1156" s="205" t="s">
        <v>2276</v>
      </c>
      <c r="F1156" s="205" t="s">
        <v>2276</v>
      </c>
      <c r="G1156" s="205" t="s">
        <v>2276</v>
      </c>
      <c r="H1156" s="205" t="s">
        <v>2276</v>
      </c>
      <c r="I1156" s="205" t="s">
        <v>2276</v>
      </c>
      <c r="J1156" s="205" t="s">
        <v>2276</v>
      </c>
      <c r="K1156" s="205" t="s">
        <v>2276</v>
      </c>
      <c r="L1156" s="205" t="s">
        <v>2276</v>
      </c>
      <c r="M1156" s="205" t="s">
        <v>2276</v>
      </c>
      <c r="N1156" s="205" t="s">
        <v>2276</v>
      </c>
      <c r="O1156" s="205" t="s">
        <v>2276</v>
      </c>
      <c r="P1156" s="205" t="s">
        <v>2276</v>
      </c>
      <c r="Q1156" s="205" t="s">
        <v>2276</v>
      </c>
      <c r="R1156" s="205" t="s">
        <v>2276</v>
      </c>
      <c r="S1156" s="205" t="s">
        <v>2276</v>
      </c>
      <c r="T1156" s="205" t="s">
        <v>7848</v>
      </c>
    </row>
    <row r="1157" spans="1:20" ht="37" customHeight="1">
      <c r="A1157" s="19" t="s">
        <v>7722</v>
      </c>
      <c r="B1157" s="4" t="s">
        <v>1197</v>
      </c>
      <c r="C1157" s="205" t="s">
        <v>2645</v>
      </c>
      <c r="D1157" s="165" t="s">
        <v>3209</v>
      </c>
      <c r="E1157" s="205" t="s">
        <v>2276</v>
      </c>
      <c r="F1157" s="205" t="s">
        <v>2276</v>
      </c>
      <c r="G1157" s="205" t="s">
        <v>2276</v>
      </c>
      <c r="H1157" s="205" t="s">
        <v>2276</v>
      </c>
      <c r="I1157" s="205" t="s">
        <v>2276</v>
      </c>
      <c r="J1157" s="205" t="s">
        <v>2276</v>
      </c>
      <c r="K1157" s="205" t="s">
        <v>2276</v>
      </c>
      <c r="L1157" s="205" t="s">
        <v>2276</v>
      </c>
      <c r="M1157" s="205" t="s">
        <v>2276</v>
      </c>
      <c r="N1157" s="205" t="s">
        <v>2276</v>
      </c>
      <c r="O1157" s="205" t="s">
        <v>2276</v>
      </c>
      <c r="P1157" s="205" t="s">
        <v>2276</v>
      </c>
      <c r="Q1157" s="205" t="s">
        <v>2276</v>
      </c>
      <c r="R1157" s="205" t="s">
        <v>2276</v>
      </c>
      <c r="S1157" s="205" t="s">
        <v>2276</v>
      </c>
      <c r="T1157" s="205" t="s">
        <v>7848</v>
      </c>
    </row>
    <row r="1158" spans="1:20" ht="37" customHeight="1">
      <c r="A1158" s="19" t="s">
        <v>7723</v>
      </c>
      <c r="B1158" s="4" t="s">
        <v>1197</v>
      </c>
      <c r="C1158" s="205" t="s">
        <v>2645</v>
      </c>
      <c r="D1158" s="165" t="s">
        <v>3209</v>
      </c>
      <c r="E1158" s="205" t="s">
        <v>2276</v>
      </c>
      <c r="F1158" s="205" t="s">
        <v>2276</v>
      </c>
      <c r="G1158" s="205" t="s">
        <v>2276</v>
      </c>
      <c r="H1158" s="205" t="s">
        <v>2276</v>
      </c>
      <c r="I1158" s="205" t="s">
        <v>2276</v>
      </c>
      <c r="J1158" s="205" t="s">
        <v>2276</v>
      </c>
      <c r="K1158" s="205" t="s">
        <v>2276</v>
      </c>
      <c r="L1158" s="205" t="s">
        <v>2276</v>
      </c>
      <c r="M1158" s="205" t="s">
        <v>2276</v>
      </c>
      <c r="N1158" s="205" t="s">
        <v>2276</v>
      </c>
      <c r="O1158" s="205" t="s">
        <v>2276</v>
      </c>
      <c r="P1158" s="205" t="s">
        <v>2276</v>
      </c>
      <c r="Q1158" s="205" t="s">
        <v>2276</v>
      </c>
      <c r="R1158" s="205" t="s">
        <v>2276</v>
      </c>
      <c r="S1158" s="205" t="s">
        <v>2276</v>
      </c>
      <c r="T1158" s="205" t="s">
        <v>7848</v>
      </c>
    </row>
    <row r="1159" spans="1:20" ht="37" customHeight="1">
      <c r="A1159" s="19" t="s">
        <v>7724</v>
      </c>
      <c r="B1159" s="4" t="s">
        <v>1197</v>
      </c>
      <c r="C1159" s="205" t="s">
        <v>2645</v>
      </c>
      <c r="D1159" s="165" t="s">
        <v>3209</v>
      </c>
      <c r="E1159" s="205" t="s">
        <v>2276</v>
      </c>
      <c r="F1159" s="205" t="s">
        <v>2276</v>
      </c>
      <c r="G1159" s="205" t="s">
        <v>2276</v>
      </c>
      <c r="H1159" s="205" t="s">
        <v>2276</v>
      </c>
      <c r="I1159" s="205" t="s">
        <v>2276</v>
      </c>
      <c r="J1159" s="205" t="s">
        <v>2276</v>
      </c>
      <c r="K1159" s="205" t="s">
        <v>2276</v>
      </c>
      <c r="L1159" s="205" t="s">
        <v>2276</v>
      </c>
      <c r="M1159" s="205" t="s">
        <v>2276</v>
      </c>
      <c r="N1159" s="205" t="s">
        <v>2276</v>
      </c>
      <c r="O1159" s="205" t="s">
        <v>2276</v>
      </c>
      <c r="P1159" s="205" t="s">
        <v>2276</v>
      </c>
      <c r="Q1159" s="205" t="s">
        <v>2276</v>
      </c>
      <c r="R1159" s="205" t="s">
        <v>2276</v>
      </c>
      <c r="S1159" s="205" t="s">
        <v>2276</v>
      </c>
      <c r="T1159" s="205" t="s">
        <v>7848</v>
      </c>
    </row>
    <row r="1160" spans="1:20" ht="37" customHeight="1">
      <c r="A1160" s="19" t="s">
        <v>7725</v>
      </c>
      <c r="B1160" s="4" t="s">
        <v>1197</v>
      </c>
      <c r="C1160" s="205" t="s">
        <v>2645</v>
      </c>
      <c r="D1160" s="165" t="s">
        <v>3209</v>
      </c>
      <c r="E1160" s="205" t="s">
        <v>2276</v>
      </c>
      <c r="F1160" s="205" t="s">
        <v>2276</v>
      </c>
      <c r="G1160" s="205" t="s">
        <v>2276</v>
      </c>
      <c r="H1160" s="205" t="s">
        <v>2276</v>
      </c>
      <c r="I1160" s="205" t="s">
        <v>2276</v>
      </c>
      <c r="J1160" s="205" t="s">
        <v>2276</v>
      </c>
      <c r="K1160" s="205" t="s">
        <v>2276</v>
      </c>
      <c r="L1160" s="205" t="s">
        <v>2276</v>
      </c>
      <c r="M1160" s="205" t="s">
        <v>2276</v>
      </c>
      <c r="N1160" s="205" t="s">
        <v>2276</v>
      </c>
      <c r="O1160" s="205" t="s">
        <v>2276</v>
      </c>
      <c r="P1160" s="205" t="s">
        <v>2276</v>
      </c>
      <c r="Q1160" s="205" t="s">
        <v>2276</v>
      </c>
      <c r="R1160" s="205" t="s">
        <v>2276</v>
      </c>
      <c r="S1160" s="205" t="s">
        <v>2276</v>
      </c>
      <c r="T1160" s="205" t="s">
        <v>7848</v>
      </c>
    </row>
    <row r="1161" spans="1:20" ht="37" customHeight="1">
      <c r="A1161" s="19" t="s">
        <v>7726</v>
      </c>
      <c r="B1161" s="4" t="s">
        <v>1197</v>
      </c>
      <c r="C1161" s="205" t="s">
        <v>2645</v>
      </c>
      <c r="D1161" s="165" t="s">
        <v>3209</v>
      </c>
      <c r="E1161" s="205" t="s">
        <v>2276</v>
      </c>
      <c r="F1161" s="205" t="s">
        <v>2276</v>
      </c>
      <c r="G1161" s="205" t="s">
        <v>2276</v>
      </c>
      <c r="H1161" s="205" t="s">
        <v>2276</v>
      </c>
      <c r="I1161" s="205" t="s">
        <v>2276</v>
      </c>
      <c r="J1161" s="205" t="s">
        <v>2276</v>
      </c>
      <c r="K1161" s="205" t="s">
        <v>2276</v>
      </c>
      <c r="L1161" s="205" t="s">
        <v>2276</v>
      </c>
      <c r="M1161" s="205" t="s">
        <v>2276</v>
      </c>
      <c r="N1161" s="205" t="s">
        <v>2276</v>
      </c>
      <c r="O1161" s="205" t="s">
        <v>2276</v>
      </c>
      <c r="P1161" s="205" t="s">
        <v>2276</v>
      </c>
      <c r="Q1161" s="205" t="s">
        <v>2276</v>
      </c>
      <c r="R1161" s="205" t="s">
        <v>2276</v>
      </c>
      <c r="S1161" s="205" t="s">
        <v>2276</v>
      </c>
      <c r="T1161" s="205" t="s">
        <v>7848</v>
      </c>
    </row>
    <row r="1162" spans="1:20" ht="37" customHeight="1">
      <c r="A1162" s="19" t="s">
        <v>7727</v>
      </c>
      <c r="B1162" s="4" t="s">
        <v>1197</v>
      </c>
      <c r="C1162" s="205" t="s">
        <v>2645</v>
      </c>
      <c r="D1162" s="165" t="s">
        <v>3209</v>
      </c>
      <c r="E1162" s="205" t="s">
        <v>2276</v>
      </c>
      <c r="F1162" s="205" t="s">
        <v>2276</v>
      </c>
      <c r="G1162" s="205" t="s">
        <v>2276</v>
      </c>
      <c r="H1162" s="205" t="s">
        <v>2276</v>
      </c>
      <c r="I1162" s="205" t="s">
        <v>2276</v>
      </c>
      <c r="J1162" s="205" t="s">
        <v>2276</v>
      </c>
      <c r="K1162" s="205" t="s">
        <v>2276</v>
      </c>
      <c r="L1162" s="205" t="s">
        <v>2276</v>
      </c>
      <c r="M1162" s="205" t="s">
        <v>2276</v>
      </c>
      <c r="N1162" s="205" t="s">
        <v>2276</v>
      </c>
      <c r="O1162" s="205" t="s">
        <v>2276</v>
      </c>
      <c r="P1162" s="205" t="s">
        <v>2276</v>
      </c>
      <c r="Q1162" s="205" t="s">
        <v>2276</v>
      </c>
      <c r="R1162" s="205" t="s">
        <v>2276</v>
      </c>
      <c r="S1162" s="205" t="s">
        <v>2276</v>
      </c>
      <c r="T1162" s="205" t="s">
        <v>7848</v>
      </c>
    </row>
    <row r="1163" spans="1:20" ht="37" customHeight="1">
      <c r="A1163" s="19" t="s">
        <v>7728</v>
      </c>
      <c r="B1163" s="4" t="s">
        <v>1197</v>
      </c>
      <c r="C1163" s="205" t="s">
        <v>2645</v>
      </c>
      <c r="D1163" s="165" t="s">
        <v>3209</v>
      </c>
      <c r="E1163" s="205" t="s">
        <v>2276</v>
      </c>
      <c r="F1163" s="205" t="s">
        <v>2276</v>
      </c>
      <c r="G1163" s="205" t="s">
        <v>2276</v>
      </c>
      <c r="H1163" s="205" t="s">
        <v>2276</v>
      </c>
      <c r="I1163" s="205" t="s">
        <v>2276</v>
      </c>
      <c r="J1163" s="205" t="s">
        <v>2276</v>
      </c>
      <c r="K1163" s="205" t="s">
        <v>2276</v>
      </c>
      <c r="L1163" s="205" t="s">
        <v>2276</v>
      </c>
      <c r="M1163" s="205" t="s">
        <v>2276</v>
      </c>
      <c r="N1163" s="205" t="s">
        <v>2276</v>
      </c>
      <c r="O1163" s="205" t="s">
        <v>2276</v>
      </c>
      <c r="P1163" s="205" t="s">
        <v>2276</v>
      </c>
      <c r="Q1163" s="205" t="s">
        <v>2276</v>
      </c>
      <c r="R1163" s="205" t="s">
        <v>2276</v>
      </c>
      <c r="S1163" s="205" t="s">
        <v>2276</v>
      </c>
      <c r="T1163" s="205" t="s">
        <v>7848</v>
      </c>
    </row>
    <row r="1164" spans="1:20" ht="37" customHeight="1">
      <c r="A1164" s="19" t="s">
        <v>7729</v>
      </c>
      <c r="B1164" s="4" t="s">
        <v>1197</v>
      </c>
      <c r="C1164" s="205" t="s">
        <v>2645</v>
      </c>
      <c r="D1164" s="165" t="s">
        <v>3209</v>
      </c>
      <c r="E1164" s="205" t="s">
        <v>2276</v>
      </c>
      <c r="F1164" s="205" t="s">
        <v>2276</v>
      </c>
      <c r="G1164" s="205" t="s">
        <v>2276</v>
      </c>
      <c r="H1164" s="205" t="s">
        <v>2276</v>
      </c>
      <c r="I1164" s="205" t="s">
        <v>2276</v>
      </c>
      <c r="J1164" s="205" t="s">
        <v>2276</v>
      </c>
      <c r="K1164" s="205" t="s">
        <v>2276</v>
      </c>
      <c r="L1164" s="205" t="s">
        <v>2276</v>
      </c>
      <c r="M1164" s="205" t="s">
        <v>2276</v>
      </c>
      <c r="N1164" s="205" t="s">
        <v>2276</v>
      </c>
      <c r="O1164" s="205" t="s">
        <v>2276</v>
      </c>
      <c r="P1164" s="205" t="s">
        <v>2276</v>
      </c>
      <c r="Q1164" s="205" t="s">
        <v>2276</v>
      </c>
      <c r="R1164" s="205" t="s">
        <v>2276</v>
      </c>
      <c r="S1164" s="205" t="s">
        <v>2276</v>
      </c>
      <c r="T1164" s="205" t="s">
        <v>7848</v>
      </c>
    </row>
    <row r="1165" spans="1:20" ht="37" customHeight="1">
      <c r="A1165" s="19" t="s">
        <v>7730</v>
      </c>
      <c r="B1165" s="4" t="s">
        <v>1197</v>
      </c>
      <c r="C1165" s="205" t="s">
        <v>2645</v>
      </c>
      <c r="D1165" s="165" t="s">
        <v>3209</v>
      </c>
      <c r="E1165" s="205" t="s">
        <v>2276</v>
      </c>
      <c r="F1165" s="205" t="s">
        <v>2276</v>
      </c>
      <c r="G1165" s="205" t="s">
        <v>2276</v>
      </c>
      <c r="H1165" s="205" t="s">
        <v>2276</v>
      </c>
      <c r="I1165" s="205" t="s">
        <v>2276</v>
      </c>
      <c r="J1165" s="205" t="s">
        <v>2276</v>
      </c>
      <c r="K1165" s="205" t="s">
        <v>2276</v>
      </c>
      <c r="L1165" s="205" t="s">
        <v>2276</v>
      </c>
      <c r="M1165" s="205" t="s">
        <v>2276</v>
      </c>
      <c r="N1165" s="205" t="s">
        <v>2276</v>
      </c>
      <c r="O1165" s="205" t="s">
        <v>2276</v>
      </c>
      <c r="P1165" s="205" t="s">
        <v>2276</v>
      </c>
      <c r="Q1165" s="205" t="s">
        <v>2276</v>
      </c>
      <c r="R1165" s="205" t="s">
        <v>2276</v>
      </c>
      <c r="S1165" s="205" t="s">
        <v>2276</v>
      </c>
      <c r="T1165" s="205" t="s">
        <v>7848</v>
      </c>
    </row>
    <row r="1166" spans="1:20" ht="37" customHeight="1">
      <c r="A1166" s="19" t="s">
        <v>7731</v>
      </c>
      <c r="B1166" s="4" t="s">
        <v>1197</v>
      </c>
      <c r="C1166" s="205" t="s">
        <v>2645</v>
      </c>
      <c r="D1166" s="165" t="s">
        <v>3209</v>
      </c>
      <c r="E1166" s="205" t="s">
        <v>2276</v>
      </c>
      <c r="F1166" s="205" t="s">
        <v>2276</v>
      </c>
      <c r="G1166" s="205" t="s">
        <v>2276</v>
      </c>
      <c r="H1166" s="205" t="s">
        <v>2276</v>
      </c>
      <c r="I1166" s="205" t="s">
        <v>2276</v>
      </c>
      <c r="J1166" s="205" t="s">
        <v>2276</v>
      </c>
      <c r="K1166" s="205" t="s">
        <v>2276</v>
      </c>
      <c r="L1166" s="205" t="s">
        <v>2276</v>
      </c>
      <c r="M1166" s="205" t="s">
        <v>2276</v>
      </c>
      <c r="N1166" s="205" t="s">
        <v>2276</v>
      </c>
      <c r="O1166" s="205" t="s">
        <v>2276</v>
      </c>
      <c r="P1166" s="205" t="s">
        <v>2276</v>
      </c>
      <c r="Q1166" s="205" t="s">
        <v>2276</v>
      </c>
      <c r="R1166" s="205" t="s">
        <v>2276</v>
      </c>
      <c r="S1166" s="205" t="s">
        <v>2276</v>
      </c>
      <c r="T1166" s="205" t="s">
        <v>7848</v>
      </c>
    </row>
    <row r="1167" spans="1:20" ht="37" customHeight="1">
      <c r="A1167" s="19" t="s">
        <v>7732</v>
      </c>
      <c r="B1167" s="4" t="s">
        <v>1197</v>
      </c>
      <c r="C1167" s="205" t="s">
        <v>2645</v>
      </c>
      <c r="D1167" s="165" t="s">
        <v>3209</v>
      </c>
      <c r="E1167" s="205" t="s">
        <v>2276</v>
      </c>
      <c r="F1167" s="205" t="s">
        <v>2276</v>
      </c>
      <c r="G1167" s="205" t="s">
        <v>2276</v>
      </c>
      <c r="H1167" s="205" t="s">
        <v>2276</v>
      </c>
      <c r="I1167" s="205" t="s">
        <v>2276</v>
      </c>
      <c r="J1167" s="205" t="s">
        <v>2276</v>
      </c>
      <c r="K1167" s="205" t="s">
        <v>2276</v>
      </c>
      <c r="L1167" s="205" t="s">
        <v>2276</v>
      </c>
      <c r="M1167" s="205" t="s">
        <v>2276</v>
      </c>
      <c r="N1167" s="205" t="s">
        <v>2276</v>
      </c>
      <c r="O1167" s="205" t="s">
        <v>2276</v>
      </c>
      <c r="P1167" s="205" t="s">
        <v>2276</v>
      </c>
      <c r="Q1167" s="205" t="s">
        <v>2276</v>
      </c>
      <c r="R1167" s="205" t="s">
        <v>2276</v>
      </c>
      <c r="S1167" s="205" t="s">
        <v>2276</v>
      </c>
      <c r="T1167" s="205" t="s">
        <v>7848</v>
      </c>
    </row>
    <row r="1168" spans="1:20" ht="37" customHeight="1">
      <c r="A1168" s="19" t="s">
        <v>7733</v>
      </c>
      <c r="B1168" s="4" t="s">
        <v>1197</v>
      </c>
      <c r="C1168" s="205" t="s">
        <v>2645</v>
      </c>
      <c r="D1168" s="165" t="s">
        <v>3209</v>
      </c>
      <c r="E1168" s="205" t="s">
        <v>2276</v>
      </c>
      <c r="F1168" s="205" t="s">
        <v>2276</v>
      </c>
      <c r="G1168" s="205" t="s">
        <v>2276</v>
      </c>
      <c r="H1168" s="205" t="s">
        <v>2276</v>
      </c>
      <c r="I1168" s="205" t="s">
        <v>2276</v>
      </c>
      <c r="J1168" s="205" t="s">
        <v>2276</v>
      </c>
      <c r="K1168" s="205" t="s">
        <v>2276</v>
      </c>
      <c r="L1168" s="205" t="s">
        <v>2276</v>
      </c>
      <c r="M1168" s="205" t="s">
        <v>2276</v>
      </c>
      <c r="N1168" s="205" t="s">
        <v>2276</v>
      </c>
      <c r="O1168" s="205" t="s">
        <v>2276</v>
      </c>
      <c r="P1168" s="205" t="s">
        <v>2276</v>
      </c>
      <c r="Q1168" s="205" t="s">
        <v>2276</v>
      </c>
      <c r="R1168" s="205" t="s">
        <v>2276</v>
      </c>
      <c r="S1168" s="205" t="s">
        <v>2276</v>
      </c>
      <c r="T1168" s="205" t="s">
        <v>7848</v>
      </c>
    </row>
    <row r="1169" spans="1:20" ht="37" customHeight="1">
      <c r="A1169" s="19" t="s">
        <v>7734</v>
      </c>
      <c r="B1169" s="4" t="s">
        <v>1197</v>
      </c>
      <c r="C1169" s="205" t="s">
        <v>2645</v>
      </c>
      <c r="D1169" s="165" t="s">
        <v>3209</v>
      </c>
      <c r="E1169" s="205" t="s">
        <v>2276</v>
      </c>
      <c r="F1169" s="205" t="s">
        <v>2276</v>
      </c>
      <c r="G1169" s="205" t="s">
        <v>2276</v>
      </c>
      <c r="H1169" s="205" t="s">
        <v>2276</v>
      </c>
      <c r="I1169" s="205" t="s">
        <v>2276</v>
      </c>
      <c r="J1169" s="205" t="s">
        <v>2276</v>
      </c>
      <c r="K1169" s="205" t="s">
        <v>2276</v>
      </c>
      <c r="L1169" s="205" t="s">
        <v>2276</v>
      </c>
      <c r="M1169" s="205" t="s">
        <v>2276</v>
      </c>
      <c r="N1169" s="205" t="s">
        <v>2276</v>
      </c>
      <c r="O1169" s="205" t="s">
        <v>2276</v>
      </c>
      <c r="P1169" s="205" t="s">
        <v>2276</v>
      </c>
      <c r="Q1169" s="205" t="s">
        <v>2276</v>
      </c>
      <c r="R1169" s="205" t="s">
        <v>2276</v>
      </c>
      <c r="S1169" s="205" t="s">
        <v>2276</v>
      </c>
      <c r="T1169" s="205" t="s">
        <v>7848</v>
      </c>
    </row>
    <row r="1170" spans="1:20" ht="37" customHeight="1">
      <c r="A1170" s="19" t="s">
        <v>7735</v>
      </c>
      <c r="B1170" s="4" t="s">
        <v>1197</v>
      </c>
      <c r="C1170" s="205" t="s">
        <v>2645</v>
      </c>
      <c r="D1170" s="165" t="s">
        <v>3209</v>
      </c>
      <c r="E1170" s="205" t="s">
        <v>2276</v>
      </c>
      <c r="F1170" s="205" t="s">
        <v>2276</v>
      </c>
      <c r="G1170" s="205" t="s">
        <v>2276</v>
      </c>
      <c r="H1170" s="205" t="s">
        <v>2276</v>
      </c>
      <c r="I1170" s="205" t="s">
        <v>2276</v>
      </c>
      <c r="J1170" s="205" t="s">
        <v>2276</v>
      </c>
      <c r="K1170" s="205" t="s">
        <v>2276</v>
      </c>
      <c r="L1170" s="205" t="s">
        <v>2276</v>
      </c>
      <c r="M1170" s="205" t="s">
        <v>2276</v>
      </c>
      <c r="N1170" s="205" t="s">
        <v>2276</v>
      </c>
      <c r="O1170" s="205" t="s">
        <v>2276</v>
      </c>
      <c r="P1170" s="205" t="s">
        <v>2276</v>
      </c>
      <c r="Q1170" s="205" t="s">
        <v>2276</v>
      </c>
      <c r="R1170" s="205" t="s">
        <v>2276</v>
      </c>
      <c r="S1170" s="205" t="s">
        <v>2276</v>
      </c>
      <c r="T1170" s="205" t="s">
        <v>7848</v>
      </c>
    </row>
    <row r="1171" spans="1:20" ht="37" customHeight="1">
      <c r="A1171" s="19" t="s">
        <v>7736</v>
      </c>
      <c r="B1171" s="4" t="s">
        <v>1197</v>
      </c>
      <c r="C1171" s="205" t="s">
        <v>2645</v>
      </c>
      <c r="D1171" s="165" t="s">
        <v>3209</v>
      </c>
      <c r="E1171" s="205" t="s">
        <v>2276</v>
      </c>
      <c r="F1171" s="205" t="s">
        <v>2276</v>
      </c>
      <c r="G1171" s="205" t="s">
        <v>2276</v>
      </c>
      <c r="H1171" s="205" t="s">
        <v>2276</v>
      </c>
      <c r="I1171" s="205" t="s">
        <v>2276</v>
      </c>
      <c r="J1171" s="205" t="s">
        <v>2276</v>
      </c>
      <c r="K1171" s="205" t="s">
        <v>2276</v>
      </c>
      <c r="L1171" s="205" t="s">
        <v>2276</v>
      </c>
      <c r="M1171" s="205" t="s">
        <v>2276</v>
      </c>
      <c r="N1171" s="205" t="s">
        <v>2276</v>
      </c>
      <c r="O1171" s="205" t="s">
        <v>2276</v>
      </c>
      <c r="P1171" s="205" t="s">
        <v>2276</v>
      </c>
      <c r="Q1171" s="205" t="s">
        <v>2276</v>
      </c>
      <c r="R1171" s="205" t="s">
        <v>2276</v>
      </c>
      <c r="S1171" s="205" t="s">
        <v>2276</v>
      </c>
      <c r="T1171" s="205" t="s">
        <v>7848</v>
      </c>
    </row>
    <row r="1172" spans="1:20" ht="37" customHeight="1">
      <c r="A1172" s="19" t="s">
        <v>7737</v>
      </c>
      <c r="B1172" s="4" t="s">
        <v>1197</v>
      </c>
      <c r="C1172" s="205" t="s">
        <v>2645</v>
      </c>
      <c r="D1172" s="165" t="s">
        <v>3209</v>
      </c>
      <c r="E1172" s="205" t="s">
        <v>2276</v>
      </c>
      <c r="F1172" s="205" t="s">
        <v>2276</v>
      </c>
      <c r="G1172" s="205" t="s">
        <v>2276</v>
      </c>
      <c r="H1172" s="205" t="s">
        <v>2276</v>
      </c>
      <c r="I1172" s="205" t="s">
        <v>2276</v>
      </c>
      <c r="J1172" s="205" t="s">
        <v>2276</v>
      </c>
      <c r="K1172" s="205" t="s">
        <v>2276</v>
      </c>
      <c r="L1172" s="205" t="s">
        <v>2276</v>
      </c>
      <c r="M1172" s="205" t="s">
        <v>2276</v>
      </c>
      <c r="N1172" s="205" t="s">
        <v>2276</v>
      </c>
      <c r="O1172" s="205" t="s">
        <v>2276</v>
      </c>
      <c r="P1172" s="205" t="s">
        <v>2276</v>
      </c>
      <c r="Q1172" s="205" t="s">
        <v>2276</v>
      </c>
      <c r="R1172" s="205" t="s">
        <v>2276</v>
      </c>
      <c r="S1172" s="205" t="s">
        <v>2276</v>
      </c>
      <c r="T1172" s="205" t="s">
        <v>7848</v>
      </c>
    </row>
    <row r="1173" spans="1:20" ht="37" customHeight="1">
      <c r="A1173" s="19" t="s">
        <v>7738</v>
      </c>
      <c r="B1173" s="4" t="s">
        <v>1197</v>
      </c>
      <c r="C1173" s="205" t="s">
        <v>2645</v>
      </c>
      <c r="D1173" s="165" t="s">
        <v>3209</v>
      </c>
      <c r="E1173" s="205" t="s">
        <v>2276</v>
      </c>
      <c r="F1173" s="205" t="s">
        <v>2276</v>
      </c>
      <c r="G1173" s="205" t="s">
        <v>2276</v>
      </c>
      <c r="H1173" s="205" t="s">
        <v>2276</v>
      </c>
      <c r="I1173" s="205" t="s">
        <v>2276</v>
      </c>
      <c r="J1173" s="205" t="s">
        <v>2276</v>
      </c>
      <c r="K1173" s="205" t="s">
        <v>2276</v>
      </c>
      <c r="L1173" s="205" t="s">
        <v>2276</v>
      </c>
      <c r="M1173" s="205" t="s">
        <v>2276</v>
      </c>
      <c r="N1173" s="205" t="s">
        <v>2276</v>
      </c>
      <c r="O1173" s="205" t="s">
        <v>2276</v>
      </c>
      <c r="P1173" s="205" t="s">
        <v>2276</v>
      </c>
      <c r="Q1173" s="205" t="s">
        <v>2276</v>
      </c>
      <c r="R1173" s="205" t="s">
        <v>2276</v>
      </c>
      <c r="S1173" s="205" t="s">
        <v>2276</v>
      </c>
      <c r="T1173" s="205" t="s">
        <v>7848</v>
      </c>
    </row>
    <row r="1174" spans="1:20" ht="37" customHeight="1">
      <c r="A1174" s="19" t="s">
        <v>7739</v>
      </c>
      <c r="B1174" s="4" t="s">
        <v>1197</v>
      </c>
      <c r="C1174" s="205" t="s">
        <v>2645</v>
      </c>
      <c r="D1174" s="165" t="s">
        <v>3209</v>
      </c>
      <c r="E1174" s="205" t="s">
        <v>2276</v>
      </c>
      <c r="F1174" s="205" t="s">
        <v>2276</v>
      </c>
      <c r="G1174" s="205" t="s">
        <v>2276</v>
      </c>
      <c r="H1174" s="205" t="s">
        <v>2276</v>
      </c>
      <c r="I1174" s="205" t="s">
        <v>2276</v>
      </c>
      <c r="J1174" s="205" t="s">
        <v>2276</v>
      </c>
      <c r="K1174" s="205" t="s">
        <v>2276</v>
      </c>
      <c r="L1174" s="205" t="s">
        <v>2276</v>
      </c>
      <c r="M1174" s="205" t="s">
        <v>2276</v>
      </c>
      <c r="N1174" s="205" t="s">
        <v>2276</v>
      </c>
      <c r="O1174" s="205" t="s">
        <v>2276</v>
      </c>
      <c r="P1174" s="205" t="s">
        <v>2276</v>
      </c>
      <c r="Q1174" s="205" t="s">
        <v>2276</v>
      </c>
      <c r="R1174" s="205" t="s">
        <v>2276</v>
      </c>
      <c r="S1174" s="205" t="s">
        <v>2276</v>
      </c>
      <c r="T1174" s="205" t="s">
        <v>7848</v>
      </c>
    </row>
    <row r="1175" spans="1:20" ht="37" customHeight="1">
      <c r="A1175" s="19" t="s">
        <v>7740</v>
      </c>
      <c r="B1175" s="4" t="s">
        <v>1197</v>
      </c>
      <c r="C1175" s="205" t="s">
        <v>2645</v>
      </c>
      <c r="D1175" s="165" t="s">
        <v>3209</v>
      </c>
      <c r="E1175" s="205" t="s">
        <v>2276</v>
      </c>
      <c r="F1175" s="205" t="s">
        <v>2276</v>
      </c>
      <c r="G1175" s="205" t="s">
        <v>2276</v>
      </c>
      <c r="H1175" s="205" t="s">
        <v>2276</v>
      </c>
      <c r="I1175" s="205" t="s">
        <v>2276</v>
      </c>
      <c r="J1175" s="205" t="s">
        <v>2276</v>
      </c>
      <c r="K1175" s="205" t="s">
        <v>2276</v>
      </c>
      <c r="L1175" s="205" t="s">
        <v>2276</v>
      </c>
      <c r="M1175" s="205" t="s">
        <v>2276</v>
      </c>
      <c r="N1175" s="205" t="s">
        <v>2276</v>
      </c>
      <c r="O1175" s="205" t="s">
        <v>2276</v>
      </c>
      <c r="P1175" s="205" t="s">
        <v>2276</v>
      </c>
      <c r="Q1175" s="205" t="s">
        <v>2276</v>
      </c>
      <c r="R1175" s="205" t="s">
        <v>2276</v>
      </c>
      <c r="S1175" s="205" t="s">
        <v>2276</v>
      </c>
      <c r="T1175" s="205" t="s">
        <v>7848</v>
      </c>
    </row>
    <row r="1176" spans="1:20" ht="37" customHeight="1">
      <c r="A1176" s="19" t="s">
        <v>7741</v>
      </c>
      <c r="B1176" s="4" t="s">
        <v>1197</v>
      </c>
      <c r="C1176" s="205" t="s">
        <v>2645</v>
      </c>
      <c r="D1176" s="165" t="s">
        <v>3209</v>
      </c>
      <c r="E1176" s="205" t="s">
        <v>2276</v>
      </c>
      <c r="F1176" s="205" t="s">
        <v>2276</v>
      </c>
      <c r="G1176" s="205" t="s">
        <v>2276</v>
      </c>
      <c r="H1176" s="205" t="s">
        <v>2276</v>
      </c>
      <c r="I1176" s="205" t="s">
        <v>2276</v>
      </c>
      <c r="J1176" s="205" t="s">
        <v>2276</v>
      </c>
      <c r="K1176" s="205" t="s">
        <v>2276</v>
      </c>
      <c r="L1176" s="205" t="s">
        <v>2276</v>
      </c>
      <c r="M1176" s="205" t="s">
        <v>2276</v>
      </c>
      <c r="N1176" s="205" t="s">
        <v>2276</v>
      </c>
      <c r="O1176" s="205" t="s">
        <v>2276</v>
      </c>
      <c r="P1176" s="205" t="s">
        <v>2276</v>
      </c>
      <c r="Q1176" s="205" t="s">
        <v>2276</v>
      </c>
      <c r="R1176" s="205" t="s">
        <v>2276</v>
      </c>
      <c r="S1176" s="205" t="s">
        <v>2276</v>
      </c>
      <c r="T1176" s="205" t="s">
        <v>7848</v>
      </c>
    </row>
    <row r="1177" spans="1:20" ht="37" customHeight="1">
      <c r="A1177" s="19" t="s">
        <v>7742</v>
      </c>
      <c r="B1177" s="4" t="s">
        <v>1197</v>
      </c>
      <c r="C1177" s="205" t="s">
        <v>2645</v>
      </c>
      <c r="D1177" s="165" t="s">
        <v>3209</v>
      </c>
      <c r="E1177" s="205" t="s">
        <v>2276</v>
      </c>
      <c r="F1177" s="205" t="s">
        <v>2276</v>
      </c>
      <c r="G1177" s="205" t="s">
        <v>2276</v>
      </c>
      <c r="H1177" s="205" t="s">
        <v>2276</v>
      </c>
      <c r="I1177" s="205" t="s">
        <v>2276</v>
      </c>
      <c r="J1177" s="205" t="s">
        <v>2276</v>
      </c>
      <c r="K1177" s="205" t="s">
        <v>2276</v>
      </c>
      <c r="L1177" s="205" t="s">
        <v>2276</v>
      </c>
      <c r="M1177" s="205" t="s">
        <v>2276</v>
      </c>
      <c r="N1177" s="205" t="s">
        <v>2276</v>
      </c>
      <c r="O1177" s="205" t="s">
        <v>2276</v>
      </c>
      <c r="P1177" s="205" t="s">
        <v>2276</v>
      </c>
      <c r="Q1177" s="205" t="s">
        <v>2276</v>
      </c>
      <c r="R1177" s="205" t="s">
        <v>2276</v>
      </c>
      <c r="S1177" s="205" t="s">
        <v>2276</v>
      </c>
      <c r="T1177" s="205" t="s">
        <v>7848</v>
      </c>
    </row>
    <row r="1178" spans="1:20" ht="37" customHeight="1">
      <c r="A1178" s="19" t="s">
        <v>7743</v>
      </c>
      <c r="B1178" s="4" t="s">
        <v>1197</v>
      </c>
      <c r="C1178" s="205" t="s">
        <v>2645</v>
      </c>
      <c r="D1178" s="165" t="s">
        <v>3209</v>
      </c>
      <c r="E1178" s="205" t="s">
        <v>2276</v>
      </c>
      <c r="F1178" s="205" t="s">
        <v>2276</v>
      </c>
      <c r="G1178" s="205" t="s">
        <v>2276</v>
      </c>
      <c r="H1178" s="205" t="s">
        <v>2276</v>
      </c>
      <c r="I1178" s="205" t="s">
        <v>2276</v>
      </c>
      <c r="J1178" s="205" t="s">
        <v>2276</v>
      </c>
      <c r="K1178" s="205" t="s">
        <v>2276</v>
      </c>
      <c r="L1178" s="205" t="s">
        <v>2276</v>
      </c>
      <c r="M1178" s="205" t="s">
        <v>2276</v>
      </c>
      <c r="N1178" s="205" t="s">
        <v>2276</v>
      </c>
      <c r="O1178" s="205" t="s">
        <v>2276</v>
      </c>
      <c r="P1178" s="205" t="s">
        <v>2276</v>
      </c>
      <c r="Q1178" s="205" t="s">
        <v>2276</v>
      </c>
      <c r="R1178" s="205" t="s">
        <v>2276</v>
      </c>
      <c r="S1178" s="205" t="s">
        <v>2276</v>
      </c>
      <c r="T1178" s="205" t="s">
        <v>7848</v>
      </c>
    </row>
    <row r="1179" spans="1:20" ht="37" customHeight="1">
      <c r="A1179" s="19" t="s">
        <v>7744</v>
      </c>
      <c r="B1179" s="4" t="s">
        <v>1197</v>
      </c>
      <c r="C1179" s="205" t="s">
        <v>2645</v>
      </c>
      <c r="D1179" s="165" t="s">
        <v>3209</v>
      </c>
      <c r="E1179" s="205" t="s">
        <v>2276</v>
      </c>
      <c r="F1179" s="205" t="s">
        <v>2276</v>
      </c>
      <c r="G1179" s="205" t="s">
        <v>2276</v>
      </c>
      <c r="H1179" s="205" t="s">
        <v>2276</v>
      </c>
      <c r="I1179" s="205" t="s">
        <v>2276</v>
      </c>
      <c r="J1179" s="205" t="s">
        <v>2276</v>
      </c>
      <c r="K1179" s="205" t="s">
        <v>2276</v>
      </c>
      <c r="L1179" s="205" t="s">
        <v>2276</v>
      </c>
      <c r="M1179" s="205" t="s">
        <v>2276</v>
      </c>
      <c r="N1179" s="205" t="s">
        <v>2276</v>
      </c>
      <c r="O1179" s="205" t="s">
        <v>2276</v>
      </c>
      <c r="P1179" s="205" t="s">
        <v>2276</v>
      </c>
      <c r="Q1179" s="205" t="s">
        <v>2276</v>
      </c>
      <c r="R1179" s="205" t="s">
        <v>2276</v>
      </c>
      <c r="S1179" s="205" t="s">
        <v>2276</v>
      </c>
      <c r="T1179" s="205" t="s">
        <v>7848</v>
      </c>
    </row>
    <row r="1180" spans="1:20" ht="37" customHeight="1">
      <c r="A1180" s="19" t="s">
        <v>7745</v>
      </c>
      <c r="B1180" s="4" t="s">
        <v>1197</v>
      </c>
      <c r="C1180" s="205" t="s">
        <v>2645</v>
      </c>
      <c r="D1180" s="165" t="s">
        <v>3209</v>
      </c>
      <c r="E1180" s="205" t="s">
        <v>2276</v>
      </c>
      <c r="F1180" s="205" t="s">
        <v>2276</v>
      </c>
      <c r="G1180" s="205" t="s">
        <v>2276</v>
      </c>
      <c r="H1180" s="205" t="s">
        <v>2276</v>
      </c>
      <c r="I1180" s="205" t="s">
        <v>2276</v>
      </c>
      <c r="J1180" s="205" t="s">
        <v>2276</v>
      </c>
      <c r="K1180" s="205" t="s">
        <v>2276</v>
      </c>
      <c r="L1180" s="205" t="s">
        <v>2276</v>
      </c>
      <c r="M1180" s="205" t="s">
        <v>2276</v>
      </c>
      <c r="N1180" s="205" t="s">
        <v>2276</v>
      </c>
      <c r="O1180" s="205" t="s">
        <v>2276</v>
      </c>
      <c r="P1180" s="205" t="s">
        <v>2276</v>
      </c>
      <c r="Q1180" s="205" t="s">
        <v>2276</v>
      </c>
      <c r="R1180" s="205" t="s">
        <v>2276</v>
      </c>
      <c r="S1180" s="205" t="s">
        <v>2276</v>
      </c>
      <c r="T1180" s="205" t="s">
        <v>7848</v>
      </c>
    </row>
    <row r="1181" spans="1:20" ht="37" customHeight="1">
      <c r="A1181" s="19" t="s">
        <v>7665</v>
      </c>
      <c r="B1181" s="4" t="s">
        <v>1197</v>
      </c>
      <c r="C1181" s="205" t="s">
        <v>2645</v>
      </c>
      <c r="D1181" s="165" t="s">
        <v>3209</v>
      </c>
      <c r="E1181" s="205" t="s">
        <v>2276</v>
      </c>
      <c r="F1181" s="205" t="s">
        <v>2276</v>
      </c>
      <c r="G1181" s="205" t="s">
        <v>2276</v>
      </c>
      <c r="H1181" s="205" t="s">
        <v>2276</v>
      </c>
      <c r="I1181" s="205" t="s">
        <v>2276</v>
      </c>
      <c r="J1181" s="205" t="s">
        <v>2276</v>
      </c>
      <c r="K1181" s="205" t="s">
        <v>2276</v>
      </c>
      <c r="L1181" s="205" t="s">
        <v>2276</v>
      </c>
      <c r="M1181" s="205" t="s">
        <v>2276</v>
      </c>
      <c r="N1181" s="205" t="s">
        <v>2276</v>
      </c>
      <c r="O1181" s="205" t="s">
        <v>2276</v>
      </c>
      <c r="P1181" s="205" t="s">
        <v>2276</v>
      </c>
      <c r="Q1181" s="205" t="s">
        <v>2276</v>
      </c>
      <c r="R1181" s="205" t="s">
        <v>2276</v>
      </c>
      <c r="S1181" s="205" t="s">
        <v>2276</v>
      </c>
      <c r="T1181" s="205" t="s">
        <v>7848</v>
      </c>
    </row>
    <row r="1182" spans="1:20" ht="37" customHeight="1">
      <c r="A1182" s="19" t="s">
        <v>7686</v>
      </c>
      <c r="B1182" s="4" t="s">
        <v>1197</v>
      </c>
      <c r="C1182" s="205" t="s">
        <v>2645</v>
      </c>
      <c r="D1182" s="165" t="s">
        <v>3209</v>
      </c>
      <c r="E1182" s="205" t="s">
        <v>2276</v>
      </c>
      <c r="F1182" s="205" t="s">
        <v>2276</v>
      </c>
      <c r="G1182" s="205" t="s">
        <v>2276</v>
      </c>
      <c r="H1182" s="205" t="s">
        <v>2276</v>
      </c>
      <c r="I1182" s="205" t="s">
        <v>2276</v>
      </c>
      <c r="J1182" s="205" t="s">
        <v>2276</v>
      </c>
      <c r="K1182" s="205" t="s">
        <v>2276</v>
      </c>
      <c r="L1182" s="205" t="s">
        <v>2276</v>
      </c>
      <c r="M1182" s="205" t="s">
        <v>2276</v>
      </c>
      <c r="N1182" s="205" t="s">
        <v>2276</v>
      </c>
      <c r="O1182" s="205" t="s">
        <v>2276</v>
      </c>
      <c r="P1182" s="205" t="s">
        <v>2276</v>
      </c>
      <c r="Q1182" s="205" t="s">
        <v>2276</v>
      </c>
      <c r="R1182" s="205" t="s">
        <v>2276</v>
      </c>
      <c r="S1182" s="205" t="s">
        <v>2276</v>
      </c>
      <c r="T1182" s="205" t="s">
        <v>7848</v>
      </c>
    </row>
    <row r="1183" spans="1:20" ht="37" customHeight="1">
      <c r="A1183" s="19" t="s">
        <v>7746</v>
      </c>
      <c r="B1183" s="4" t="s">
        <v>1197</v>
      </c>
      <c r="C1183" s="205" t="s">
        <v>2645</v>
      </c>
      <c r="D1183" s="165" t="s">
        <v>3209</v>
      </c>
      <c r="E1183" s="205" t="s">
        <v>2276</v>
      </c>
      <c r="F1183" s="205" t="s">
        <v>2276</v>
      </c>
      <c r="G1183" s="205" t="s">
        <v>2276</v>
      </c>
      <c r="H1183" s="205" t="s">
        <v>2276</v>
      </c>
      <c r="I1183" s="205" t="s">
        <v>2276</v>
      </c>
      <c r="J1183" s="205" t="s">
        <v>2276</v>
      </c>
      <c r="K1183" s="205" t="s">
        <v>2276</v>
      </c>
      <c r="L1183" s="205" t="s">
        <v>2276</v>
      </c>
      <c r="M1183" s="205" t="s">
        <v>2276</v>
      </c>
      <c r="N1183" s="205" t="s">
        <v>2276</v>
      </c>
      <c r="O1183" s="205" t="s">
        <v>2276</v>
      </c>
      <c r="P1183" s="205" t="s">
        <v>2276</v>
      </c>
      <c r="Q1183" s="205" t="s">
        <v>2276</v>
      </c>
      <c r="R1183" s="205" t="s">
        <v>2276</v>
      </c>
      <c r="S1183" s="205" t="s">
        <v>2276</v>
      </c>
      <c r="T1183" s="205" t="s">
        <v>7848</v>
      </c>
    </row>
    <row r="1184" spans="1:20" ht="37" customHeight="1">
      <c r="A1184" s="19" t="s">
        <v>7747</v>
      </c>
      <c r="B1184" s="4" t="s">
        <v>1197</v>
      </c>
      <c r="C1184" s="205" t="s">
        <v>2645</v>
      </c>
      <c r="D1184" s="165" t="s">
        <v>3209</v>
      </c>
      <c r="E1184" s="205" t="s">
        <v>2276</v>
      </c>
      <c r="F1184" s="205" t="s">
        <v>2276</v>
      </c>
      <c r="G1184" s="205" t="s">
        <v>2276</v>
      </c>
      <c r="H1184" s="205" t="s">
        <v>2276</v>
      </c>
      <c r="I1184" s="205" t="s">
        <v>2276</v>
      </c>
      <c r="J1184" s="205" t="s">
        <v>2276</v>
      </c>
      <c r="K1184" s="205" t="s">
        <v>2276</v>
      </c>
      <c r="L1184" s="205" t="s">
        <v>2276</v>
      </c>
      <c r="M1184" s="205" t="s">
        <v>2276</v>
      </c>
      <c r="N1184" s="205" t="s">
        <v>2276</v>
      </c>
      <c r="O1184" s="205" t="s">
        <v>2276</v>
      </c>
      <c r="P1184" s="205" t="s">
        <v>2276</v>
      </c>
      <c r="Q1184" s="205" t="s">
        <v>2276</v>
      </c>
      <c r="R1184" s="205" t="s">
        <v>2276</v>
      </c>
      <c r="S1184" s="205" t="s">
        <v>2276</v>
      </c>
      <c r="T1184" s="205" t="s">
        <v>7848</v>
      </c>
    </row>
    <row r="1185" spans="1:20" ht="37" customHeight="1">
      <c r="A1185" s="19" t="s">
        <v>7748</v>
      </c>
      <c r="B1185" s="4" t="s">
        <v>1197</v>
      </c>
      <c r="C1185" s="205" t="s">
        <v>2645</v>
      </c>
      <c r="D1185" s="165" t="s">
        <v>3209</v>
      </c>
      <c r="E1185" s="205" t="s">
        <v>2276</v>
      </c>
      <c r="F1185" s="205" t="s">
        <v>2276</v>
      </c>
      <c r="G1185" s="205" t="s">
        <v>2276</v>
      </c>
      <c r="H1185" s="205" t="s">
        <v>2276</v>
      </c>
      <c r="I1185" s="205" t="s">
        <v>2276</v>
      </c>
      <c r="J1185" s="205" t="s">
        <v>2276</v>
      </c>
      <c r="K1185" s="205" t="s">
        <v>2276</v>
      </c>
      <c r="L1185" s="205" t="s">
        <v>2276</v>
      </c>
      <c r="M1185" s="205" t="s">
        <v>2276</v>
      </c>
      <c r="N1185" s="205" t="s">
        <v>2276</v>
      </c>
      <c r="O1185" s="205" t="s">
        <v>2276</v>
      </c>
      <c r="P1185" s="205" t="s">
        <v>2276</v>
      </c>
      <c r="Q1185" s="205" t="s">
        <v>2276</v>
      </c>
      <c r="R1185" s="205" t="s">
        <v>2276</v>
      </c>
      <c r="S1185" s="205" t="s">
        <v>2276</v>
      </c>
      <c r="T1185" s="205" t="s">
        <v>7848</v>
      </c>
    </row>
    <row r="1186" spans="1:20" ht="37" customHeight="1">
      <c r="A1186" s="19" t="s">
        <v>7749</v>
      </c>
      <c r="B1186" s="4" t="s">
        <v>1197</v>
      </c>
      <c r="C1186" s="205" t="s">
        <v>2645</v>
      </c>
      <c r="D1186" s="165" t="s">
        <v>3209</v>
      </c>
      <c r="E1186" s="205" t="s">
        <v>2276</v>
      </c>
      <c r="F1186" s="205" t="s">
        <v>2276</v>
      </c>
      <c r="G1186" s="205" t="s">
        <v>2276</v>
      </c>
      <c r="H1186" s="205" t="s">
        <v>2276</v>
      </c>
      <c r="I1186" s="205" t="s">
        <v>2276</v>
      </c>
      <c r="J1186" s="205" t="s">
        <v>2276</v>
      </c>
      <c r="K1186" s="205" t="s">
        <v>2276</v>
      </c>
      <c r="L1186" s="205" t="s">
        <v>2276</v>
      </c>
      <c r="M1186" s="205" t="s">
        <v>2276</v>
      </c>
      <c r="N1186" s="205" t="s">
        <v>2276</v>
      </c>
      <c r="O1186" s="205" t="s">
        <v>2276</v>
      </c>
      <c r="P1186" s="205" t="s">
        <v>2276</v>
      </c>
      <c r="Q1186" s="205" t="s">
        <v>2276</v>
      </c>
      <c r="R1186" s="205" t="s">
        <v>2276</v>
      </c>
      <c r="S1186" s="205" t="s">
        <v>2276</v>
      </c>
      <c r="T1186" s="205" t="s">
        <v>7848</v>
      </c>
    </row>
    <row r="1187" spans="1:20" ht="37" customHeight="1">
      <c r="A1187" s="19" t="s">
        <v>7750</v>
      </c>
      <c r="B1187" s="4" t="s">
        <v>1197</v>
      </c>
      <c r="C1187" s="205" t="s">
        <v>2645</v>
      </c>
      <c r="D1187" s="165" t="s">
        <v>3209</v>
      </c>
      <c r="E1187" s="205" t="s">
        <v>2276</v>
      </c>
      <c r="F1187" s="205" t="s">
        <v>2276</v>
      </c>
      <c r="G1187" s="205" t="s">
        <v>2276</v>
      </c>
      <c r="H1187" s="205" t="s">
        <v>2276</v>
      </c>
      <c r="I1187" s="205" t="s">
        <v>2276</v>
      </c>
      <c r="J1187" s="205" t="s">
        <v>2276</v>
      </c>
      <c r="K1187" s="205" t="s">
        <v>2276</v>
      </c>
      <c r="L1187" s="205" t="s">
        <v>2276</v>
      </c>
      <c r="M1187" s="205" t="s">
        <v>2276</v>
      </c>
      <c r="N1187" s="205" t="s">
        <v>2276</v>
      </c>
      <c r="O1187" s="205" t="s">
        <v>2276</v>
      </c>
      <c r="P1187" s="205" t="s">
        <v>2276</v>
      </c>
      <c r="Q1187" s="205" t="s">
        <v>2276</v>
      </c>
      <c r="R1187" s="205" t="s">
        <v>2276</v>
      </c>
      <c r="S1187" s="205" t="s">
        <v>2276</v>
      </c>
      <c r="T1187" s="205" t="s">
        <v>7848</v>
      </c>
    </row>
    <row r="1188" spans="1:20" ht="37" customHeight="1">
      <c r="A1188" s="19" t="s">
        <v>7751</v>
      </c>
      <c r="B1188" s="4" t="s">
        <v>1197</v>
      </c>
      <c r="C1188" s="205" t="s">
        <v>2645</v>
      </c>
      <c r="D1188" s="165" t="s">
        <v>3209</v>
      </c>
      <c r="E1188" s="205" t="s">
        <v>2276</v>
      </c>
      <c r="F1188" s="205" t="s">
        <v>2276</v>
      </c>
      <c r="G1188" s="205" t="s">
        <v>2276</v>
      </c>
      <c r="H1188" s="205" t="s">
        <v>2276</v>
      </c>
      <c r="I1188" s="205" t="s">
        <v>2276</v>
      </c>
      <c r="J1188" s="205" t="s">
        <v>2276</v>
      </c>
      <c r="K1188" s="205" t="s">
        <v>2276</v>
      </c>
      <c r="L1188" s="205" t="s">
        <v>2276</v>
      </c>
      <c r="M1188" s="205" t="s">
        <v>2276</v>
      </c>
      <c r="N1188" s="205" t="s">
        <v>2276</v>
      </c>
      <c r="O1188" s="205" t="s">
        <v>2276</v>
      </c>
      <c r="P1188" s="205" t="s">
        <v>2276</v>
      </c>
      <c r="Q1188" s="205" t="s">
        <v>2276</v>
      </c>
      <c r="R1188" s="205" t="s">
        <v>2276</v>
      </c>
      <c r="S1188" s="205" t="s">
        <v>2276</v>
      </c>
      <c r="T1188" s="205" t="s">
        <v>7848</v>
      </c>
    </row>
    <row r="1189" spans="1:20" ht="37" customHeight="1">
      <c r="A1189" s="19" t="s">
        <v>7752</v>
      </c>
      <c r="B1189" s="4" t="s">
        <v>1197</v>
      </c>
      <c r="C1189" s="205" t="s">
        <v>2645</v>
      </c>
      <c r="D1189" s="165" t="s">
        <v>3209</v>
      </c>
      <c r="E1189" s="205" t="s">
        <v>2276</v>
      </c>
      <c r="F1189" s="205" t="s">
        <v>2276</v>
      </c>
      <c r="G1189" s="205" t="s">
        <v>2276</v>
      </c>
      <c r="H1189" s="205" t="s">
        <v>2276</v>
      </c>
      <c r="I1189" s="205" t="s">
        <v>2276</v>
      </c>
      <c r="J1189" s="205" t="s">
        <v>2276</v>
      </c>
      <c r="K1189" s="205" t="s">
        <v>2276</v>
      </c>
      <c r="L1189" s="205" t="s">
        <v>2276</v>
      </c>
      <c r="M1189" s="205" t="s">
        <v>2276</v>
      </c>
      <c r="N1189" s="205" t="s">
        <v>2276</v>
      </c>
      <c r="O1189" s="205" t="s">
        <v>2276</v>
      </c>
      <c r="P1189" s="205" t="s">
        <v>2276</v>
      </c>
      <c r="Q1189" s="205" t="s">
        <v>2276</v>
      </c>
      <c r="R1189" s="205" t="s">
        <v>2276</v>
      </c>
      <c r="S1189" s="205" t="s">
        <v>2276</v>
      </c>
      <c r="T1189" s="205" t="s">
        <v>7848</v>
      </c>
    </row>
    <row r="1190" spans="1:20" ht="37" customHeight="1">
      <c r="A1190" s="19" t="s">
        <v>7753</v>
      </c>
      <c r="B1190" s="4" t="s">
        <v>1197</v>
      </c>
      <c r="C1190" s="205" t="s">
        <v>2645</v>
      </c>
      <c r="D1190" s="165" t="s">
        <v>3209</v>
      </c>
      <c r="E1190" s="205" t="s">
        <v>2276</v>
      </c>
      <c r="F1190" s="205" t="s">
        <v>2276</v>
      </c>
      <c r="G1190" s="205" t="s">
        <v>2276</v>
      </c>
      <c r="H1190" s="205" t="s">
        <v>2276</v>
      </c>
      <c r="I1190" s="205" t="s">
        <v>2276</v>
      </c>
      <c r="J1190" s="205" t="s">
        <v>2276</v>
      </c>
      <c r="K1190" s="205" t="s">
        <v>2276</v>
      </c>
      <c r="L1190" s="205" t="s">
        <v>2276</v>
      </c>
      <c r="M1190" s="205" t="s">
        <v>2276</v>
      </c>
      <c r="N1190" s="205" t="s">
        <v>2276</v>
      </c>
      <c r="O1190" s="205" t="s">
        <v>2276</v>
      </c>
      <c r="P1190" s="205" t="s">
        <v>2276</v>
      </c>
      <c r="Q1190" s="205" t="s">
        <v>2276</v>
      </c>
      <c r="R1190" s="205" t="s">
        <v>2276</v>
      </c>
      <c r="S1190" s="205" t="s">
        <v>2276</v>
      </c>
      <c r="T1190" s="205" t="s">
        <v>7848</v>
      </c>
    </row>
    <row r="1191" spans="1:20" ht="37" customHeight="1">
      <c r="A1191" s="19" t="s">
        <v>7754</v>
      </c>
      <c r="B1191" s="4" t="s">
        <v>1197</v>
      </c>
      <c r="C1191" s="205" t="s">
        <v>2645</v>
      </c>
      <c r="D1191" s="165" t="s">
        <v>3209</v>
      </c>
      <c r="E1191" s="205" t="s">
        <v>2276</v>
      </c>
      <c r="F1191" s="205" t="s">
        <v>2276</v>
      </c>
      <c r="G1191" s="205" t="s">
        <v>2276</v>
      </c>
      <c r="H1191" s="205" t="s">
        <v>2276</v>
      </c>
      <c r="I1191" s="205" t="s">
        <v>2276</v>
      </c>
      <c r="J1191" s="205" t="s">
        <v>2276</v>
      </c>
      <c r="K1191" s="205" t="s">
        <v>2276</v>
      </c>
      <c r="L1191" s="205" t="s">
        <v>2276</v>
      </c>
      <c r="M1191" s="205" t="s">
        <v>2276</v>
      </c>
      <c r="N1191" s="205" t="s">
        <v>2276</v>
      </c>
      <c r="O1191" s="205" t="s">
        <v>2276</v>
      </c>
      <c r="P1191" s="205" t="s">
        <v>2276</v>
      </c>
      <c r="Q1191" s="205" t="s">
        <v>2276</v>
      </c>
      <c r="R1191" s="205" t="s">
        <v>2276</v>
      </c>
      <c r="S1191" s="205" t="s">
        <v>2276</v>
      </c>
      <c r="T1191" s="205" t="s">
        <v>7848</v>
      </c>
    </row>
    <row r="1192" spans="1:20" ht="37" customHeight="1">
      <c r="A1192" s="19" t="s">
        <v>7755</v>
      </c>
      <c r="B1192" s="4" t="s">
        <v>1197</v>
      </c>
      <c r="C1192" s="205" t="s">
        <v>2645</v>
      </c>
      <c r="D1192" s="165" t="s">
        <v>3209</v>
      </c>
      <c r="E1192" s="205" t="s">
        <v>2276</v>
      </c>
      <c r="F1192" s="205" t="s">
        <v>2276</v>
      </c>
      <c r="G1192" s="205" t="s">
        <v>2276</v>
      </c>
      <c r="H1192" s="205" t="s">
        <v>2276</v>
      </c>
      <c r="I1192" s="205" t="s">
        <v>2276</v>
      </c>
      <c r="J1192" s="205" t="s">
        <v>2276</v>
      </c>
      <c r="K1192" s="205" t="s">
        <v>2276</v>
      </c>
      <c r="L1192" s="205" t="s">
        <v>2276</v>
      </c>
      <c r="M1192" s="205" t="s">
        <v>2276</v>
      </c>
      <c r="N1192" s="205" t="s">
        <v>2276</v>
      </c>
      <c r="O1192" s="205" t="s">
        <v>2276</v>
      </c>
      <c r="P1192" s="205" t="s">
        <v>2276</v>
      </c>
      <c r="Q1192" s="205" t="s">
        <v>2276</v>
      </c>
      <c r="R1192" s="205" t="s">
        <v>2276</v>
      </c>
      <c r="S1192" s="205" t="s">
        <v>2276</v>
      </c>
      <c r="T1192" s="205" t="s">
        <v>7848</v>
      </c>
    </row>
    <row r="1193" spans="1:20" ht="37" customHeight="1">
      <c r="A1193" s="19" t="s">
        <v>7756</v>
      </c>
      <c r="B1193" s="4" t="s">
        <v>1197</v>
      </c>
      <c r="C1193" s="205" t="s">
        <v>2645</v>
      </c>
      <c r="D1193" s="165" t="s">
        <v>3209</v>
      </c>
      <c r="E1193" s="205" t="s">
        <v>2276</v>
      </c>
      <c r="F1193" s="205" t="s">
        <v>2276</v>
      </c>
      <c r="G1193" s="205" t="s">
        <v>2276</v>
      </c>
      <c r="H1193" s="205" t="s">
        <v>2276</v>
      </c>
      <c r="I1193" s="205" t="s">
        <v>2276</v>
      </c>
      <c r="J1193" s="205" t="s">
        <v>2276</v>
      </c>
      <c r="K1193" s="205" t="s">
        <v>2276</v>
      </c>
      <c r="L1193" s="205" t="s">
        <v>2276</v>
      </c>
      <c r="M1193" s="205" t="s">
        <v>2276</v>
      </c>
      <c r="N1193" s="205" t="s">
        <v>2276</v>
      </c>
      <c r="O1193" s="205" t="s">
        <v>2276</v>
      </c>
      <c r="P1193" s="205" t="s">
        <v>2276</v>
      </c>
      <c r="Q1193" s="205" t="s">
        <v>2276</v>
      </c>
      <c r="R1193" s="205" t="s">
        <v>2276</v>
      </c>
      <c r="S1193" s="205" t="s">
        <v>2276</v>
      </c>
      <c r="T1193" s="205" t="s">
        <v>7848</v>
      </c>
    </row>
    <row r="1194" spans="1:20" ht="37" customHeight="1">
      <c r="A1194" s="19" t="s">
        <v>7757</v>
      </c>
      <c r="B1194" s="4" t="s">
        <v>1197</v>
      </c>
      <c r="C1194" s="205" t="s">
        <v>2645</v>
      </c>
      <c r="D1194" s="165" t="s">
        <v>3209</v>
      </c>
      <c r="E1194" s="205" t="s">
        <v>2276</v>
      </c>
      <c r="F1194" s="205" t="s">
        <v>2276</v>
      </c>
      <c r="G1194" s="205" t="s">
        <v>2276</v>
      </c>
      <c r="H1194" s="205" t="s">
        <v>2276</v>
      </c>
      <c r="I1194" s="205" t="s">
        <v>2276</v>
      </c>
      <c r="J1194" s="205" t="s">
        <v>2276</v>
      </c>
      <c r="K1194" s="205" t="s">
        <v>2276</v>
      </c>
      <c r="L1194" s="205" t="s">
        <v>2276</v>
      </c>
      <c r="M1194" s="205" t="s">
        <v>2276</v>
      </c>
      <c r="N1194" s="205" t="s">
        <v>2276</v>
      </c>
      <c r="O1194" s="205" t="s">
        <v>2276</v>
      </c>
      <c r="P1194" s="205" t="s">
        <v>2276</v>
      </c>
      <c r="Q1194" s="205" t="s">
        <v>2276</v>
      </c>
      <c r="R1194" s="205" t="s">
        <v>2276</v>
      </c>
      <c r="S1194" s="205" t="s">
        <v>2276</v>
      </c>
      <c r="T1194" s="205" t="s">
        <v>7848</v>
      </c>
    </row>
    <row r="1195" spans="1:20" ht="37" customHeight="1">
      <c r="A1195" s="19" t="s">
        <v>7758</v>
      </c>
      <c r="B1195" s="4" t="s">
        <v>1197</v>
      </c>
      <c r="C1195" s="205" t="s">
        <v>2645</v>
      </c>
      <c r="D1195" s="165" t="s">
        <v>3209</v>
      </c>
      <c r="E1195" s="205" t="s">
        <v>2276</v>
      </c>
      <c r="F1195" s="205" t="s">
        <v>2276</v>
      </c>
      <c r="G1195" s="205" t="s">
        <v>2276</v>
      </c>
      <c r="H1195" s="205" t="s">
        <v>2276</v>
      </c>
      <c r="I1195" s="205" t="s">
        <v>2276</v>
      </c>
      <c r="J1195" s="205" t="s">
        <v>2276</v>
      </c>
      <c r="K1195" s="205" t="s">
        <v>2276</v>
      </c>
      <c r="L1195" s="205" t="s">
        <v>2276</v>
      </c>
      <c r="M1195" s="205" t="s">
        <v>2276</v>
      </c>
      <c r="N1195" s="205" t="s">
        <v>2276</v>
      </c>
      <c r="O1195" s="205" t="s">
        <v>2276</v>
      </c>
      <c r="P1195" s="205" t="s">
        <v>2276</v>
      </c>
      <c r="Q1195" s="205" t="s">
        <v>2276</v>
      </c>
      <c r="R1195" s="205" t="s">
        <v>2276</v>
      </c>
      <c r="S1195" s="205" t="s">
        <v>2276</v>
      </c>
      <c r="T1195" s="205" t="s">
        <v>7848</v>
      </c>
    </row>
    <row r="1196" spans="1:20" ht="37" customHeight="1">
      <c r="A1196" s="19" t="s">
        <v>7759</v>
      </c>
      <c r="B1196" s="4" t="s">
        <v>1197</v>
      </c>
      <c r="C1196" s="205" t="s">
        <v>2645</v>
      </c>
      <c r="D1196" s="165" t="s">
        <v>3209</v>
      </c>
      <c r="E1196" s="205" t="s">
        <v>2276</v>
      </c>
      <c r="F1196" s="205" t="s">
        <v>2276</v>
      </c>
      <c r="G1196" s="205" t="s">
        <v>2276</v>
      </c>
      <c r="H1196" s="205" t="s">
        <v>2276</v>
      </c>
      <c r="I1196" s="205" t="s">
        <v>2276</v>
      </c>
      <c r="J1196" s="205" t="s">
        <v>2276</v>
      </c>
      <c r="K1196" s="205" t="s">
        <v>2276</v>
      </c>
      <c r="L1196" s="205" t="s">
        <v>2276</v>
      </c>
      <c r="M1196" s="205" t="s">
        <v>2276</v>
      </c>
      <c r="N1196" s="205" t="s">
        <v>2276</v>
      </c>
      <c r="O1196" s="205" t="s">
        <v>2276</v>
      </c>
      <c r="P1196" s="205" t="s">
        <v>2276</v>
      </c>
      <c r="Q1196" s="205" t="s">
        <v>2276</v>
      </c>
      <c r="R1196" s="205" t="s">
        <v>2276</v>
      </c>
      <c r="S1196" s="205" t="s">
        <v>2276</v>
      </c>
      <c r="T1196" s="205" t="s">
        <v>7848</v>
      </c>
    </row>
    <row r="1197" spans="1:20" ht="37" customHeight="1">
      <c r="A1197" s="19" t="s">
        <v>7760</v>
      </c>
      <c r="B1197" s="4" t="s">
        <v>1197</v>
      </c>
      <c r="C1197" s="205" t="s">
        <v>2645</v>
      </c>
      <c r="D1197" s="165" t="s">
        <v>3209</v>
      </c>
      <c r="E1197" s="205" t="s">
        <v>2276</v>
      </c>
      <c r="F1197" s="205" t="s">
        <v>2276</v>
      </c>
      <c r="G1197" s="205" t="s">
        <v>2276</v>
      </c>
      <c r="H1197" s="205" t="s">
        <v>2276</v>
      </c>
      <c r="I1197" s="205" t="s">
        <v>2276</v>
      </c>
      <c r="J1197" s="205" t="s">
        <v>2276</v>
      </c>
      <c r="K1197" s="205" t="s">
        <v>2276</v>
      </c>
      <c r="L1197" s="205" t="s">
        <v>2276</v>
      </c>
      <c r="M1197" s="205" t="s">
        <v>2276</v>
      </c>
      <c r="N1197" s="205" t="s">
        <v>2276</v>
      </c>
      <c r="O1197" s="205" t="s">
        <v>2276</v>
      </c>
      <c r="P1197" s="205" t="s">
        <v>2276</v>
      </c>
      <c r="Q1197" s="205" t="s">
        <v>2276</v>
      </c>
      <c r="R1197" s="205" t="s">
        <v>2276</v>
      </c>
      <c r="S1197" s="205" t="s">
        <v>2276</v>
      </c>
      <c r="T1197" s="205" t="s">
        <v>7848</v>
      </c>
    </row>
    <row r="1198" spans="1:20" ht="37" customHeight="1">
      <c r="A1198" s="19" t="s">
        <v>7761</v>
      </c>
      <c r="B1198" s="4" t="s">
        <v>1197</v>
      </c>
      <c r="C1198" s="205" t="s">
        <v>2645</v>
      </c>
      <c r="D1198" s="165" t="s">
        <v>3209</v>
      </c>
      <c r="E1198" s="205" t="s">
        <v>2276</v>
      </c>
      <c r="F1198" s="205" t="s">
        <v>2276</v>
      </c>
      <c r="G1198" s="205" t="s">
        <v>2276</v>
      </c>
      <c r="H1198" s="205" t="s">
        <v>2276</v>
      </c>
      <c r="I1198" s="205" t="s">
        <v>2276</v>
      </c>
      <c r="J1198" s="205" t="s">
        <v>2276</v>
      </c>
      <c r="K1198" s="205" t="s">
        <v>2276</v>
      </c>
      <c r="L1198" s="205" t="s">
        <v>2276</v>
      </c>
      <c r="M1198" s="205" t="s">
        <v>2276</v>
      </c>
      <c r="N1198" s="205" t="s">
        <v>2276</v>
      </c>
      <c r="O1198" s="205" t="s">
        <v>2276</v>
      </c>
      <c r="P1198" s="205" t="s">
        <v>2276</v>
      </c>
      <c r="Q1198" s="205" t="s">
        <v>2276</v>
      </c>
      <c r="R1198" s="205" t="s">
        <v>2276</v>
      </c>
      <c r="S1198" s="205" t="s">
        <v>2276</v>
      </c>
      <c r="T1198" s="205" t="s">
        <v>7848</v>
      </c>
    </row>
    <row r="1199" spans="1:20" ht="37" customHeight="1">
      <c r="A1199" s="19" t="s">
        <v>7762</v>
      </c>
      <c r="B1199" s="4" t="s">
        <v>1197</v>
      </c>
      <c r="C1199" s="205" t="s">
        <v>2645</v>
      </c>
      <c r="D1199" s="165" t="s">
        <v>3209</v>
      </c>
      <c r="E1199" s="205" t="s">
        <v>2276</v>
      </c>
      <c r="F1199" s="205" t="s">
        <v>2276</v>
      </c>
      <c r="G1199" s="205" t="s">
        <v>2276</v>
      </c>
      <c r="H1199" s="205" t="s">
        <v>2276</v>
      </c>
      <c r="I1199" s="205" t="s">
        <v>2276</v>
      </c>
      <c r="J1199" s="205" t="s">
        <v>2276</v>
      </c>
      <c r="K1199" s="205" t="s">
        <v>2276</v>
      </c>
      <c r="L1199" s="205" t="s">
        <v>2276</v>
      </c>
      <c r="M1199" s="205" t="s">
        <v>2276</v>
      </c>
      <c r="N1199" s="205" t="s">
        <v>2276</v>
      </c>
      <c r="O1199" s="205" t="s">
        <v>2276</v>
      </c>
      <c r="P1199" s="205" t="s">
        <v>2276</v>
      </c>
      <c r="Q1199" s="205" t="s">
        <v>2276</v>
      </c>
      <c r="R1199" s="205" t="s">
        <v>2276</v>
      </c>
      <c r="S1199" s="205" t="s">
        <v>2276</v>
      </c>
      <c r="T1199" s="205" t="s">
        <v>7848</v>
      </c>
    </row>
    <row r="1200" spans="1:20" ht="37" customHeight="1">
      <c r="A1200" s="19" t="s">
        <v>7763</v>
      </c>
      <c r="B1200" s="4" t="s">
        <v>1197</v>
      </c>
      <c r="C1200" s="205" t="s">
        <v>2645</v>
      </c>
      <c r="D1200" s="165" t="s">
        <v>3209</v>
      </c>
      <c r="E1200" s="205" t="s">
        <v>2276</v>
      </c>
      <c r="F1200" s="205" t="s">
        <v>2276</v>
      </c>
      <c r="G1200" s="205" t="s">
        <v>2276</v>
      </c>
      <c r="H1200" s="205" t="s">
        <v>2276</v>
      </c>
      <c r="I1200" s="205" t="s">
        <v>2276</v>
      </c>
      <c r="J1200" s="205" t="s">
        <v>2276</v>
      </c>
      <c r="K1200" s="205" t="s">
        <v>2276</v>
      </c>
      <c r="L1200" s="205" t="s">
        <v>2276</v>
      </c>
      <c r="M1200" s="205" t="s">
        <v>2276</v>
      </c>
      <c r="N1200" s="205" t="s">
        <v>2276</v>
      </c>
      <c r="O1200" s="205" t="s">
        <v>2276</v>
      </c>
      <c r="P1200" s="205" t="s">
        <v>2276</v>
      </c>
      <c r="Q1200" s="205" t="s">
        <v>2276</v>
      </c>
      <c r="R1200" s="205" t="s">
        <v>2276</v>
      </c>
      <c r="S1200" s="205" t="s">
        <v>2276</v>
      </c>
      <c r="T1200" s="205" t="s">
        <v>7848</v>
      </c>
    </row>
    <row r="1201" spans="1:20" ht="37" customHeight="1">
      <c r="A1201" s="19" t="s">
        <v>7764</v>
      </c>
      <c r="B1201" s="4" t="s">
        <v>1197</v>
      </c>
      <c r="C1201" s="205" t="s">
        <v>2645</v>
      </c>
      <c r="D1201" s="165" t="s">
        <v>3209</v>
      </c>
      <c r="E1201" s="205" t="s">
        <v>2276</v>
      </c>
      <c r="F1201" s="205" t="s">
        <v>2276</v>
      </c>
      <c r="G1201" s="205" t="s">
        <v>2276</v>
      </c>
      <c r="H1201" s="205" t="s">
        <v>2276</v>
      </c>
      <c r="I1201" s="205" t="s">
        <v>2276</v>
      </c>
      <c r="J1201" s="205" t="s">
        <v>2276</v>
      </c>
      <c r="K1201" s="205" t="s">
        <v>2276</v>
      </c>
      <c r="L1201" s="205" t="s">
        <v>2276</v>
      </c>
      <c r="M1201" s="205" t="s">
        <v>2276</v>
      </c>
      <c r="N1201" s="205" t="s">
        <v>2276</v>
      </c>
      <c r="O1201" s="205" t="s">
        <v>2276</v>
      </c>
      <c r="P1201" s="205" t="s">
        <v>2276</v>
      </c>
      <c r="Q1201" s="205" t="s">
        <v>2276</v>
      </c>
      <c r="R1201" s="205" t="s">
        <v>2276</v>
      </c>
      <c r="S1201" s="205" t="s">
        <v>2276</v>
      </c>
      <c r="T1201" s="205" t="s">
        <v>7848</v>
      </c>
    </row>
    <row r="1202" spans="1:20" ht="37" customHeight="1">
      <c r="A1202" s="19" t="s">
        <v>7832</v>
      </c>
      <c r="B1202" s="4" t="s">
        <v>1197</v>
      </c>
      <c r="C1202" s="205" t="s">
        <v>2645</v>
      </c>
      <c r="D1202" s="165" t="s">
        <v>3209</v>
      </c>
      <c r="E1202" s="205" t="s">
        <v>2276</v>
      </c>
      <c r="F1202" s="205" t="s">
        <v>2276</v>
      </c>
      <c r="G1202" s="205" t="s">
        <v>2276</v>
      </c>
      <c r="H1202" s="205" t="s">
        <v>2276</v>
      </c>
      <c r="I1202" s="205" t="s">
        <v>2276</v>
      </c>
      <c r="J1202" s="205" t="s">
        <v>2276</v>
      </c>
      <c r="K1202" s="205" t="s">
        <v>2276</v>
      </c>
      <c r="L1202" s="205" t="s">
        <v>2276</v>
      </c>
      <c r="M1202" s="205" t="s">
        <v>2276</v>
      </c>
      <c r="N1202" s="205" t="s">
        <v>2276</v>
      </c>
      <c r="O1202" s="205" t="s">
        <v>2276</v>
      </c>
      <c r="P1202" s="205" t="s">
        <v>2276</v>
      </c>
      <c r="Q1202" s="205" t="s">
        <v>2276</v>
      </c>
      <c r="R1202" s="205" t="s">
        <v>2276</v>
      </c>
      <c r="S1202" s="205" t="s">
        <v>2276</v>
      </c>
      <c r="T1202" s="205" t="s">
        <v>7848</v>
      </c>
    </row>
    <row r="1203" spans="1:20" ht="37" customHeight="1">
      <c r="A1203" s="19" t="s">
        <v>7833</v>
      </c>
      <c r="B1203" s="4" t="s">
        <v>1197</v>
      </c>
      <c r="C1203" s="205" t="s">
        <v>2645</v>
      </c>
      <c r="D1203" s="165" t="s">
        <v>3209</v>
      </c>
      <c r="E1203" s="205" t="s">
        <v>2276</v>
      </c>
      <c r="F1203" s="205" t="s">
        <v>2276</v>
      </c>
      <c r="G1203" s="205" t="s">
        <v>2276</v>
      </c>
      <c r="H1203" s="205" t="s">
        <v>2276</v>
      </c>
      <c r="I1203" s="205" t="s">
        <v>2276</v>
      </c>
      <c r="J1203" s="205" t="s">
        <v>2276</v>
      </c>
      <c r="K1203" s="205" t="s">
        <v>2276</v>
      </c>
      <c r="L1203" s="205" t="s">
        <v>2276</v>
      </c>
      <c r="M1203" s="205" t="s">
        <v>2276</v>
      </c>
      <c r="N1203" s="205" t="s">
        <v>2276</v>
      </c>
      <c r="O1203" s="205" t="s">
        <v>2276</v>
      </c>
      <c r="P1203" s="205" t="s">
        <v>2276</v>
      </c>
      <c r="Q1203" s="205" t="s">
        <v>2276</v>
      </c>
      <c r="R1203" s="205" t="s">
        <v>2276</v>
      </c>
      <c r="S1203" s="205" t="s">
        <v>2276</v>
      </c>
      <c r="T1203" s="205" t="s">
        <v>7848</v>
      </c>
    </row>
    <row r="1204" spans="1:20" ht="37" customHeight="1">
      <c r="A1204" s="19" t="s">
        <v>7834</v>
      </c>
      <c r="B1204" s="4" t="s">
        <v>1197</v>
      </c>
      <c r="C1204" s="205" t="s">
        <v>2645</v>
      </c>
      <c r="D1204" s="165" t="s">
        <v>3209</v>
      </c>
      <c r="E1204" s="205" t="s">
        <v>2276</v>
      </c>
      <c r="F1204" s="205" t="s">
        <v>2276</v>
      </c>
      <c r="G1204" s="205" t="s">
        <v>2276</v>
      </c>
      <c r="H1204" s="205" t="s">
        <v>2276</v>
      </c>
      <c r="I1204" s="205" t="s">
        <v>2276</v>
      </c>
      <c r="J1204" s="205" t="s">
        <v>2276</v>
      </c>
      <c r="K1204" s="205" t="s">
        <v>2276</v>
      </c>
      <c r="L1204" s="205" t="s">
        <v>2276</v>
      </c>
      <c r="M1204" s="205" t="s">
        <v>2276</v>
      </c>
      <c r="N1204" s="205" t="s">
        <v>2276</v>
      </c>
      <c r="O1204" s="205" t="s">
        <v>2276</v>
      </c>
      <c r="P1204" s="205" t="s">
        <v>2276</v>
      </c>
      <c r="Q1204" s="205" t="s">
        <v>2276</v>
      </c>
      <c r="R1204" s="205" t="s">
        <v>2276</v>
      </c>
      <c r="S1204" s="205" t="s">
        <v>2276</v>
      </c>
      <c r="T1204" s="205" t="s">
        <v>7848</v>
      </c>
    </row>
    <row r="1205" spans="1:20" ht="37" customHeight="1">
      <c r="A1205" s="19" t="s">
        <v>7835</v>
      </c>
      <c r="B1205" s="4" t="s">
        <v>1197</v>
      </c>
      <c r="C1205" s="205" t="s">
        <v>2645</v>
      </c>
      <c r="D1205" s="165" t="s">
        <v>3209</v>
      </c>
      <c r="E1205" s="205" t="s">
        <v>2276</v>
      </c>
      <c r="F1205" s="205" t="s">
        <v>2276</v>
      </c>
      <c r="G1205" s="205" t="s">
        <v>2276</v>
      </c>
      <c r="H1205" s="205" t="s">
        <v>2276</v>
      </c>
      <c r="I1205" s="205" t="s">
        <v>2276</v>
      </c>
      <c r="J1205" s="205" t="s">
        <v>2276</v>
      </c>
      <c r="K1205" s="205" t="s">
        <v>2276</v>
      </c>
      <c r="L1205" s="205" t="s">
        <v>2276</v>
      </c>
      <c r="M1205" s="205" t="s">
        <v>2276</v>
      </c>
      <c r="N1205" s="205" t="s">
        <v>2276</v>
      </c>
      <c r="O1205" s="205" t="s">
        <v>2276</v>
      </c>
      <c r="P1205" s="205" t="s">
        <v>2276</v>
      </c>
      <c r="Q1205" s="205" t="s">
        <v>2276</v>
      </c>
      <c r="R1205" s="205" t="s">
        <v>2276</v>
      </c>
      <c r="S1205" s="205" t="s">
        <v>2276</v>
      </c>
      <c r="T1205" s="205" t="s">
        <v>7848</v>
      </c>
    </row>
    <row r="1206" spans="1:20" ht="37" customHeight="1">
      <c r="A1206" s="19" t="s">
        <v>7836</v>
      </c>
      <c r="B1206" s="4" t="s">
        <v>1197</v>
      </c>
      <c r="C1206" s="205" t="s">
        <v>2645</v>
      </c>
      <c r="D1206" s="165" t="s">
        <v>3209</v>
      </c>
      <c r="E1206" s="205" t="s">
        <v>2276</v>
      </c>
      <c r="F1206" s="205" t="s">
        <v>2276</v>
      </c>
      <c r="G1206" s="205" t="s">
        <v>2276</v>
      </c>
      <c r="H1206" s="205" t="s">
        <v>2276</v>
      </c>
      <c r="I1206" s="205" t="s">
        <v>2276</v>
      </c>
      <c r="J1206" s="205" t="s">
        <v>2276</v>
      </c>
      <c r="K1206" s="205" t="s">
        <v>2276</v>
      </c>
      <c r="L1206" s="205" t="s">
        <v>2276</v>
      </c>
      <c r="M1206" s="205" t="s">
        <v>2276</v>
      </c>
      <c r="N1206" s="205" t="s">
        <v>2276</v>
      </c>
      <c r="O1206" s="205" t="s">
        <v>2276</v>
      </c>
      <c r="P1206" s="205" t="s">
        <v>2276</v>
      </c>
      <c r="Q1206" s="205" t="s">
        <v>2276</v>
      </c>
      <c r="R1206" s="205" t="s">
        <v>2276</v>
      </c>
      <c r="S1206" s="205" t="s">
        <v>2276</v>
      </c>
      <c r="T1206" s="205" t="s">
        <v>7848</v>
      </c>
    </row>
    <row r="1207" spans="1:20" ht="37" customHeight="1">
      <c r="A1207" s="19" t="s">
        <v>7837</v>
      </c>
      <c r="B1207" s="4" t="s">
        <v>1197</v>
      </c>
      <c r="C1207" s="205" t="s">
        <v>2645</v>
      </c>
      <c r="D1207" s="165" t="s">
        <v>3209</v>
      </c>
      <c r="E1207" s="205" t="s">
        <v>2276</v>
      </c>
      <c r="F1207" s="205" t="s">
        <v>2276</v>
      </c>
      <c r="G1207" s="205" t="s">
        <v>2276</v>
      </c>
      <c r="H1207" s="205" t="s">
        <v>2276</v>
      </c>
      <c r="I1207" s="205" t="s">
        <v>2276</v>
      </c>
      <c r="J1207" s="205" t="s">
        <v>2276</v>
      </c>
      <c r="K1207" s="205" t="s">
        <v>2276</v>
      </c>
      <c r="L1207" s="205" t="s">
        <v>2276</v>
      </c>
      <c r="M1207" s="205" t="s">
        <v>2276</v>
      </c>
      <c r="N1207" s="205" t="s">
        <v>2276</v>
      </c>
      <c r="O1207" s="205" t="s">
        <v>2276</v>
      </c>
      <c r="P1207" s="205" t="s">
        <v>2276</v>
      </c>
      <c r="Q1207" s="205" t="s">
        <v>2276</v>
      </c>
      <c r="R1207" s="205" t="s">
        <v>2276</v>
      </c>
      <c r="S1207" s="205" t="s">
        <v>2276</v>
      </c>
      <c r="T1207" s="205" t="s">
        <v>7848</v>
      </c>
    </row>
    <row r="1208" spans="1:20" ht="37" customHeight="1">
      <c r="A1208" s="19" t="s">
        <v>7838</v>
      </c>
      <c r="B1208" s="4" t="s">
        <v>1197</v>
      </c>
      <c r="C1208" s="205" t="s">
        <v>2645</v>
      </c>
      <c r="D1208" s="165" t="s">
        <v>3209</v>
      </c>
      <c r="E1208" s="205" t="s">
        <v>2276</v>
      </c>
      <c r="F1208" s="205" t="s">
        <v>2276</v>
      </c>
      <c r="G1208" s="205" t="s">
        <v>2276</v>
      </c>
      <c r="H1208" s="205" t="s">
        <v>2276</v>
      </c>
      <c r="I1208" s="205" t="s">
        <v>2276</v>
      </c>
      <c r="J1208" s="205" t="s">
        <v>2276</v>
      </c>
      <c r="K1208" s="205" t="s">
        <v>2276</v>
      </c>
      <c r="L1208" s="205" t="s">
        <v>2276</v>
      </c>
      <c r="M1208" s="205" t="s">
        <v>2276</v>
      </c>
      <c r="N1208" s="205" t="s">
        <v>2276</v>
      </c>
      <c r="O1208" s="205" t="s">
        <v>2276</v>
      </c>
      <c r="P1208" s="205" t="s">
        <v>2276</v>
      </c>
      <c r="Q1208" s="205" t="s">
        <v>2276</v>
      </c>
      <c r="R1208" s="205" t="s">
        <v>2276</v>
      </c>
      <c r="S1208" s="205" t="s">
        <v>2276</v>
      </c>
      <c r="T1208" s="205" t="s">
        <v>7848</v>
      </c>
    </row>
    <row r="1209" spans="1:20" ht="37" customHeight="1">
      <c r="A1209" s="19" t="s">
        <v>7742</v>
      </c>
      <c r="B1209" s="4" t="s">
        <v>1197</v>
      </c>
      <c r="C1209" s="205" t="s">
        <v>2645</v>
      </c>
      <c r="D1209" s="165" t="s">
        <v>3209</v>
      </c>
      <c r="E1209" s="205" t="s">
        <v>2276</v>
      </c>
      <c r="F1209" s="205" t="s">
        <v>2276</v>
      </c>
      <c r="G1209" s="205" t="s">
        <v>2276</v>
      </c>
      <c r="H1209" s="205" t="s">
        <v>2276</v>
      </c>
      <c r="I1209" s="205" t="s">
        <v>2276</v>
      </c>
      <c r="J1209" s="205" t="s">
        <v>2276</v>
      </c>
      <c r="K1209" s="205" t="s">
        <v>2276</v>
      </c>
      <c r="L1209" s="205" t="s">
        <v>2276</v>
      </c>
      <c r="M1209" s="205" t="s">
        <v>2276</v>
      </c>
      <c r="N1209" s="205" t="s">
        <v>2276</v>
      </c>
      <c r="O1209" s="205" t="s">
        <v>2276</v>
      </c>
      <c r="P1209" s="205" t="s">
        <v>2276</v>
      </c>
      <c r="Q1209" s="205" t="s">
        <v>2276</v>
      </c>
      <c r="R1209" s="205" t="s">
        <v>2276</v>
      </c>
      <c r="S1209" s="205" t="s">
        <v>2276</v>
      </c>
      <c r="T1209" s="205" t="s">
        <v>7848</v>
      </c>
    </row>
    <row r="1210" spans="1:20" ht="37" customHeight="1">
      <c r="A1210" s="19" t="s">
        <v>7839</v>
      </c>
      <c r="B1210" s="4" t="s">
        <v>1197</v>
      </c>
      <c r="C1210" s="205" t="s">
        <v>2645</v>
      </c>
      <c r="D1210" s="165" t="s">
        <v>3209</v>
      </c>
      <c r="E1210" s="205" t="s">
        <v>2276</v>
      </c>
      <c r="F1210" s="205" t="s">
        <v>2276</v>
      </c>
      <c r="G1210" s="205" t="s">
        <v>2276</v>
      </c>
      <c r="H1210" s="205" t="s">
        <v>2276</v>
      </c>
      <c r="I1210" s="205" t="s">
        <v>2276</v>
      </c>
      <c r="J1210" s="205" t="s">
        <v>2276</v>
      </c>
      <c r="K1210" s="205" t="s">
        <v>2276</v>
      </c>
      <c r="L1210" s="205" t="s">
        <v>2276</v>
      </c>
      <c r="M1210" s="205" t="s">
        <v>2276</v>
      </c>
      <c r="N1210" s="205" t="s">
        <v>2276</v>
      </c>
      <c r="O1210" s="205" t="s">
        <v>2276</v>
      </c>
      <c r="P1210" s="205" t="s">
        <v>2276</v>
      </c>
      <c r="Q1210" s="205" t="s">
        <v>2276</v>
      </c>
      <c r="R1210" s="205" t="s">
        <v>2276</v>
      </c>
      <c r="S1210" s="205" t="s">
        <v>2276</v>
      </c>
      <c r="T1210" s="205" t="s">
        <v>7848</v>
      </c>
    </row>
    <row r="1211" spans="1:20" ht="37" customHeight="1">
      <c r="A1211" s="19" t="s">
        <v>7840</v>
      </c>
      <c r="B1211" s="4" t="s">
        <v>1197</v>
      </c>
      <c r="C1211" s="205" t="s">
        <v>2645</v>
      </c>
      <c r="D1211" s="165" t="s">
        <v>3209</v>
      </c>
      <c r="E1211" s="205" t="s">
        <v>2276</v>
      </c>
      <c r="F1211" s="205" t="s">
        <v>2276</v>
      </c>
      <c r="G1211" s="205" t="s">
        <v>2276</v>
      </c>
      <c r="H1211" s="205" t="s">
        <v>2276</v>
      </c>
      <c r="I1211" s="205" t="s">
        <v>2276</v>
      </c>
      <c r="J1211" s="205" t="s">
        <v>2276</v>
      </c>
      <c r="K1211" s="205" t="s">
        <v>2276</v>
      </c>
      <c r="L1211" s="205" t="s">
        <v>2276</v>
      </c>
      <c r="M1211" s="205" t="s">
        <v>2276</v>
      </c>
      <c r="N1211" s="205" t="s">
        <v>2276</v>
      </c>
      <c r="O1211" s="205" t="s">
        <v>2276</v>
      </c>
      <c r="P1211" s="205" t="s">
        <v>2276</v>
      </c>
      <c r="Q1211" s="205" t="s">
        <v>2276</v>
      </c>
      <c r="R1211" s="205" t="s">
        <v>2276</v>
      </c>
      <c r="S1211" s="205" t="s">
        <v>2276</v>
      </c>
      <c r="T1211" s="205" t="s">
        <v>7848</v>
      </c>
    </row>
    <row r="1212" spans="1:20" ht="37" customHeight="1">
      <c r="A1212" s="19" t="s">
        <v>7841</v>
      </c>
      <c r="B1212" s="4" t="s">
        <v>1197</v>
      </c>
      <c r="C1212" s="205" t="s">
        <v>2645</v>
      </c>
      <c r="D1212" s="165" t="s">
        <v>3209</v>
      </c>
      <c r="E1212" s="205" t="s">
        <v>2276</v>
      </c>
      <c r="F1212" s="205" t="s">
        <v>2276</v>
      </c>
      <c r="G1212" s="205" t="s">
        <v>2276</v>
      </c>
      <c r="H1212" s="205" t="s">
        <v>2276</v>
      </c>
      <c r="I1212" s="205" t="s">
        <v>2276</v>
      </c>
      <c r="J1212" s="205" t="s">
        <v>2276</v>
      </c>
      <c r="K1212" s="205" t="s">
        <v>2276</v>
      </c>
      <c r="L1212" s="205" t="s">
        <v>2276</v>
      </c>
      <c r="M1212" s="205" t="s">
        <v>2276</v>
      </c>
      <c r="N1212" s="205" t="s">
        <v>2276</v>
      </c>
      <c r="O1212" s="205" t="s">
        <v>2276</v>
      </c>
      <c r="P1212" s="205" t="s">
        <v>2276</v>
      </c>
      <c r="Q1212" s="205" t="s">
        <v>2276</v>
      </c>
      <c r="R1212" s="205" t="s">
        <v>2276</v>
      </c>
      <c r="S1212" s="205" t="s">
        <v>2276</v>
      </c>
      <c r="T1212" s="205" t="s">
        <v>7848</v>
      </c>
    </row>
    <row r="1213" spans="1:20" ht="37" customHeight="1">
      <c r="A1213" s="19" t="s">
        <v>7842</v>
      </c>
      <c r="B1213" s="4" t="s">
        <v>1197</v>
      </c>
      <c r="C1213" s="205" t="s">
        <v>2645</v>
      </c>
      <c r="D1213" s="165" t="s">
        <v>3209</v>
      </c>
      <c r="E1213" s="205" t="s">
        <v>2276</v>
      </c>
      <c r="F1213" s="205" t="s">
        <v>2276</v>
      </c>
      <c r="G1213" s="205" t="s">
        <v>2276</v>
      </c>
      <c r="H1213" s="205" t="s">
        <v>2276</v>
      </c>
      <c r="I1213" s="205" t="s">
        <v>2276</v>
      </c>
      <c r="J1213" s="205" t="s">
        <v>2276</v>
      </c>
      <c r="K1213" s="205" t="s">
        <v>2276</v>
      </c>
      <c r="L1213" s="205" t="s">
        <v>2276</v>
      </c>
      <c r="M1213" s="205" t="s">
        <v>2276</v>
      </c>
      <c r="N1213" s="205" t="s">
        <v>2276</v>
      </c>
      <c r="O1213" s="205" t="s">
        <v>2276</v>
      </c>
      <c r="P1213" s="205" t="s">
        <v>2276</v>
      </c>
      <c r="Q1213" s="205" t="s">
        <v>2276</v>
      </c>
      <c r="R1213" s="205" t="s">
        <v>2276</v>
      </c>
      <c r="S1213" s="205" t="s">
        <v>2276</v>
      </c>
      <c r="T1213" s="205" t="s">
        <v>7848</v>
      </c>
    </row>
    <row r="1214" spans="1:20" ht="37" customHeight="1">
      <c r="A1214" s="19" t="s">
        <v>7843</v>
      </c>
      <c r="B1214" s="4" t="s">
        <v>1197</v>
      </c>
      <c r="C1214" s="205" t="s">
        <v>2645</v>
      </c>
      <c r="D1214" s="165" t="s">
        <v>3209</v>
      </c>
      <c r="E1214" s="205" t="s">
        <v>2276</v>
      </c>
      <c r="F1214" s="205" t="s">
        <v>2276</v>
      </c>
      <c r="G1214" s="205" t="s">
        <v>2276</v>
      </c>
      <c r="H1214" s="205" t="s">
        <v>2276</v>
      </c>
      <c r="I1214" s="205" t="s">
        <v>2276</v>
      </c>
      <c r="J1214" s="205" t="s">
        <v>2276</v>
      </c>
      <c r="K1214" s="205" t="s">
        <v>2276</v>
      </c>
      <c r="L1214" s="205" t="s">
        <v>2276</v>
      </c>
      <c r="M1214" s="205" t="s">
        <v>2276</v>
      </c>
      <c r="N1214" s="205" t="s">
        <v>2276</v>
      </c>
      <c r="O1214" s="205" t="s">
        <v>2276</v>
      </c>
      <c r="P1214" s="205" t="s">
        <v>2276</v>
      </c>
      <c r="Q1214" s="205" t="s">
        <v>2276</v>
      </c>
      <c r="R1214" s="205" t="s">
        <v>2276</v>
      </c>
      <c r="S1214" s="205" t="s">
        <v>2276</v>
      </c>
      <c r="T1214" s="205" t="s">
        <v>7848</v>
      </c>
    </row>
    <row r="1215" spans="1:20" ht="37" customHeight="1">
      <c r="A1215" s="19" t="s">
        <v>7844</v>
      </c>
      <c r="B1215" s="4" t="s">
        <v>1197</v>
      </c>
      <c r="C1215" s="205" t="s">
        <v>2645</v>
      </c>
      <c r="D1215" s="165" t="s">
        <v>3209</v>
      </c>
      <c r="E1215" s="205" t="s">
        <v>2276</v>
      </c>
      <c r="F1215" s="205" t="s">
        <v>2276</v>
      </c>
      <c r="G1215" s="205" t="s">
        <v>2276</v>
      </c>
      <c r="H1215" s="205" t="s">
        <v>2276</v>
      </c>
      <c r="I1215" s="205" t="s">
        <v>2276</v>
      </c>
      <c r="J1215" s="205" t="s">
        <v>2276</v>
      </c>
      <c r="K1215" s="205" t="s">
        <v>2276</v>
      </c>
      <c r="L1215" s="205" t="s">
        <v>2276</v>
      </c>
      <c r="M1215" s="205" t="s">
        <v>2276</v>
      </c>
      <c r="N1215" s="205" t="s">
        <v>2276</v>
      </c>
      <c r="O1215" s="205" t="s">
        <v>2276</v>
      </c>
      <c r="P1215" s="205" t="s">
        <v>2276</v>
      </c>
      <c r="Q1215" s="205" t="s">
        <v>2276</v>
      </c>
      <c r="R1215" s="205" t="s">
        <v>2276</v>
      </c>
      <c r="S1215" s="205" t="s">
        <v>2276</v>
      </c>
      <c r="T1215" s="205" t="s">
        <v>7848</v>
      </c>
    </row>
    <row r="1216" spans="1:20" ht="37" customHeight="1">
      <c r="A1216" s="19" t="s">
        <v>7845</v>
      </c>
      <c r="B1216" s="4" t="s">
        <v>1197</v>
      </c>
      <c r="C1216" s="205" t="s">
        <v>2645</v>
      </c>
      <c r="D1216" s="165" t="s">
        <v>3209</v>
      </c>
      <c r="E1216" s="205" t="s">
        <v>2276</v>
      </c>
      <c r="F1216" s="205" t="s">
        <v>2276</v>
      </c>
      <c r="G1216" s="205" t="s">
        <v>2276</v>
      </c>
      <c r="H1216" s="205" t="s">
        <v>2276</v>
      </c>
      <c r="I1216" s="205" t="s">
        <v>2276</v>
      </c>
      <c r="J1216" s="205" t="s">
        <v>2276</v>
      </c>
      <c r="K1216" s="205" t="s">
        <v>2276</v>
      </c>
      <c r="L1216" s="205" t="s">
        <v>2276</v>
      </c>
      <c r="M1216" s="205" t="s">
        <v>2276</v>
      </c>
      <c r="N1216" s="205" t="s">
        <v>2276</v>
      </c>
      <c r="O1216" s="205" t="s">
        <v>2276</v>
      </c>
      <c r="P1216" s="205" t="s">
        <v>2276</v>
      </c>
      <c r="Q1216" s="205" t="s">
        <v>2276</v>
      </c>
      <c r="R1216" s="205" t="s">
        <v>2276</v>
      </c>
      <c r="S1216" s="205" t="s">
        <v>2276</v>
      </c>
      <c r="T1216" s="205" t="s">
        <v>7848</v>
      </c>
    </row>
    <row r="1217" spans="1:20" ht="37" customHeight="1">
      <c r="A1217" s="19" t="s">
        <v>7846</v>
      </c>
      <c r="B1217" s="4" t="s">
        <v>1197</v>
      </c>
      <c r="C1217" s="205" t="s">
        <v>2645</v>
      </c>
      <c r="D1217" s="165" t="s">
        <v>3209</v>
      </c>
      <c r="E1217" s="205" t="s">
        <v>2276</v>
      </c>
      <c r="F1217" s="205" t="s">
        <v>2276</v>
      </c>
      <c r="G1217" s="205" t="s">
        <v>2276</v>
      </c>
      <c r="H1217" s="205" t="s">
        <v>2276</v>
      </c>
      <c r="I1217" s="205" t="s">
        <v>2276</v>
      </c>
      <c r="J1217" s="205" t="s">
        <v>2276</v>
      </c>
      <c r="K1217" s="205" t="s">
        <v>2276</v>
      </c>
      <c r="L1217" s="205" t="s">
        <v>2276</v>
      </c>
      <c r="M1217" s="205" t="s">
        <v>2276</v>
      </c>
      <c r="N1217" s="205" t="s">
        <v>2276</v>
      </c>
      <c r="O1217" s="205" t="s">
        <v>2276</v>
      </c>
      <c r="P1217" s="205" t="s">
        <v>2276</v>
      </c>
      <c r="Q1217" s="205" t="s">
        <v>2276</v>
      </c>
      <c r="R1217" s="205" t="s">
        <v>2276</v>
      </c>
      <c r="S1217" s="205" t="s">
        <v>2276</v>
      </c>
      <c r="T1217" s="205" t="s">
        <v>7848</v>
      </c>
    </row>
    <row r="1218" spans="1:20" ht="33.5" customHeight="1">
      <c r="A1218" s="19" t="s">
        <v>7924</v>
      </c>
      <c r="B1218" s="205" t="s">
        <v>32</v>
      </c>
      <c r="C1218" s="205" t="s">
        <v>2645</v>
      </c>
      <c r="D1218" s="205" t="s">
        <v>2649</v>
      </c>
      <c r="E1218" s="205" t="s">
        <v>137</v>
      </c>
      <c r="F1218" s="205" t="s">
        <v>2276</v>
      </c>
      <c r="G1218" s="205" t="s">
        <v>2276</v>
      </c>
      <c r="H1218" s="205" t="s">
        <v>2276</v>
      </c>
      <c r="I1218" s="205" t="s">
        <v>2276</v>
      </c>
      <c r="J1218" s="205" t="s">
        <v>2276</v>
      </c>
      <c r="K1218" s="205" t="s">
        <v>534</v>
      </c>
      <c r="L1218" s="205" t="s">
        <v>2276</v>
      </c>
      <c r="M1218" s="205" t="s">
        <v>2276</v>
      </c>
      <c r="N1218" s="205" t="s">
        <v>2276</v>
      </c>
      <c r="O1218" s="205" t="s">
        <v>2276</v>
      </c>
      <c r="P1218" s="205" t="s">
        <v>2276</v>
      </c>
      <c r="Q1218" s="205" t="s">
        <v>2276</v>
      </c>
      <c r="R1218" s="205" t="s">
        <v>2276</v>
      </c>
      <c r="S1218" s="205" t="s">
        <v>2276</v>
      </c>
      <c r="T1218" s="205"/>
    </row>
    <row r="1219" spans="1:20" ht="34.5" customHeight="1">
      <c r="A1219" s="19" t="s">
        <v>7927</v>
      </c>
      <c r="B1219" s="205" t="s">
        <v>1197</v>
      </c>
      <c r="C1219" s="205" t="s">
        <v>2646</v>
      </c>
      <c r="D1219" s="205" t="s">
        <v>137</v>
      </c>
      <c r="E1219" s="205" t="s">
        <v>2276</v>
      </c>
      <c r="F1219" s="205" t="s">
        <v>2276</v>
      </c>
      <c r="G1219" s="205" t="s">
        <v>2276</v>
      </c>
      <c r="H1219" s="205" t="s">
        <v>2276</v>
      </c>
      <c r="I1219" s="205" t="s">
        <v>2276</v>
      </c>
      <c r="J1219" s="205" t="s">
        <v>2276</v>
      </c>
      <c r="K1219" s="205" t="s">
        <v>534</v>
      </c>
      <c r="L1219" s="205" t="s">
        <v>2276</v>
      </c>
      <c r="M1219" s="205" t="s">
        <v>2276</v>
      </c>
      <c r="N1219" s="205" t="s">
        <v>2276</v>
      </c>
      <c r="O1219" s="205" t="s">
        <v>2276</v>
      </c>
      <c r="P1219" s="205" t="s">
        <v>2276</v>
      </c>
      <c r="Q1219" s="205" t="s">
        <v>2276</v>
      </c>
      <c r="R1219" s="205" t="s">
        <v>2276</v>
      </c>
      <c r="S1219" s="205" t="s">
        <v>2276</v>
      </c>
      <c r="T1219" s="205"/>
    </row>
  </sheetData>
  <autoFilter ref="A1:A1219" xr:uid="{62D053E4-8C45-470C-A9A6-766705764215}"/>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268" yWindow="846" count="11">
    <dataValidation allowBlank="1" showInputMessage="1" showErrorMessage="1" prompt="The same as Case study ID in Record Info_x000a_" sqref="A506:A583 A1:A489 A673:A704 A716:A783 A808:A828 A834:A837 A848:A854 A868:A881 A598:A660 A886:A926 A1058:A1069 A1110:A1114 A1146:A1149 A1218: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1030 M927:M928 M1220: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P1028 R1054 N927:S928 N944 P949:R950 O949 N963:S963 Q988 O964:P965 O969:P970 R964:R965 R970:R973 P971:Q971 R975:R976 R978:R983 Q985:R985 R987 P979:Q979 O975:P978 O983:P985 O972:Q973 Q975 N1220:S1048576 Q1059 R1059:R1060 P1060 O1059:O1060 S1060 R1070 O1092 O1100:O1109 P1054 N1030:S1030"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F933:S933 G932:M932 C935:S935 H963 P932 H1000:H1012 H1020:H1030 H1220:H1048576 H927:H931 F929:G931 I929:J931 H1086:H1092 H1065 H1078:H1080 H1100:H1109"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J1022:J1030 J1220:J1048576 L927:L931 M929:S931 L963 I997:I1030 J963 L1220:L1048576 I1055:J1055 L1030"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927:A1057 A1070:A1109 A1115:A1145 A1150:A1217"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220:I1048576" xr:uid="{F7D4EAB2-4AF5-41E9-921A-C117323BA598}">
      <formula1>0</formula1>
      <formula2>99999999</formula2>
    </dataValidation>
  </dataValidations>
  <hyperlinks>
    <hyperlink ref="T810" r:id="rId1" display="Land use cross-checked against Balestieri (2018)" xr:uid="{3F51AD0E-D35F-45A9-BF60-02BF08D4EDAD}"/>
  </hyperlinks>
  <pageMargins left="0.70866141732283472" right="0.70866141732283472" top="0.74803149606299213" bottom="0.74803149606299213" header="0.31496062992125984" footer="0.31496062992125984"/>
  <pageSetup orientation="portrait" r:id="rId2"/>
  <extLst>
    <ext xmlns:x14="http://schemas.microsoft.com/office/spreadsheetml/2009/9/main" uri="{CCE6A557-97BC-4b89-ADB6-D9C93CAAB3DF}">
      <x14:dataValidations xmlns:xm="http://schemas.microsoft.com/office/excel/2006/main" xWindow="268" yWindow="846" count="19">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K1218:K1048576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G891:O891 C622 F894:O894 H892:R893 R894 F903:S903 G904:H904 J904:S904 F905:S905 O906:Q906 L907:R913 L906:M906 H906:J906 G907:J910 K907:K909 K918:R920 E914:F915 F916 K914:R916 L917:R917 S906:S920 I912:I920 G912:G920 J911:J920 H911:H920 B1:B390 F920 F922:G923 E921:G921 J921:S926 B946:B996 G925 B598:B944 H926 H924:I924 C1110 C1115:C1122 C1128:C1149 B1058:B1048576 E1115:J1217 K1115:K1149 K1151:K1217 E1219:J1219 F1218:J1218 L1115:S1219</xm:sqref>
        </x14:dataValidation>
        <x14:dataValidation type="list" allowBlank="1" showInputMessage="1" showErrorMessage="1" xr:uid="{88CFF800-DF56-4555-B0F3-AE555EFB2C06}">
          <x14:formula1>
            <xm:f>'IGNORE Lookups'!$C$23:$C$43</xm:f>
          </x14:formula1>
          <xm:sqref>J836:J843 J848:N851 I852:J852 L852:N852 I853:N854 D778:F778 H855:N859 J868:J888 I876:I879 I869:I871 K860:N869 F835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 H774:H854 H625:H683 E906</xm:sqref>
        </x14:dataValidation>
        <x14:dataValidation type="list" allowBlank="1" showInputMessage="1" showErrorMessage="1" xr:uid="{F2DB2DF3-B881-43DA-9B74-25DF856249B0}">
          <x14:formula1>
            <xm:f>'IGNORE Lookups'!$B$23:$B$27</xm:f>
          </x14:formula1>
          <xm:sqref>C1:C621 C623:C926 C963 C929:C931 C949:C950 C1058:C1109 C1111:C1114 C1123:C1127 C1150:C1048576</xm:sqref>
        </x14:dataValidation>
        <x14:dataValidation type="list" allowBlank="1" showInputMessage="1" showErrorMessage="1" xr:uid="{233C3D7D-13C9-4E38-AAC9-5E3F822FC6ED}">
          <x14:formula1>
            <xm:f>'IGNORE Lookups'!$C$23:$C$45</xm:f>
          </x14:formula1>
          <xm:sqref>G892:G893 F895:S897 K899:K902 E894:E897 L898:S902 E898:J902 F904 E903:E905 G906 F906:F910 F911:G911 E907:E913 F917:F919 F912:F913 E916:E920 G1:G890 E1:F893 G924 I982 G926 E922:E926 F932 E933 F936:F942 F989 F944:F945 D964:E977 D950 E946:E949 F951:F962 D963:G963 I984 D978:D988 E978:E987 F964:F974 Q986:Q987 O966:P968 O971 R986 R977 S964:S987 R966:R969 Q964:Q970 O974:R974 Q976:Q977 O982:P987 Q982 Q984:R984 G964:H987 J964:N987 D1:D926 F924:F926 E1058:E1063 E1065:F1065 G1066:G1068 F1079:F1080 G1084:G1086 G1090:G1094 F1076:F1077 F1103 F1100 F1084:F1094 G1080 F1066:F1069 E1066:E1082 E1084:E1095 E1100:E1101 E1103:E1104 E1107:E1114 F1108:F1114 G1110:S1114 D1058:D1048576 E1218 E1220:G1048576</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E943:Q943 O944:Q944 F937:O942 F927:G928 K927:K931 E927:E932 F932 E934:S934 D927:D934 F936:S936 E936:E942 S937:S944 E944:M944 E945:S945 D936:D945 E963:E967 K963:K987 I989:P989 O950 E988:P988 E989:G989 S946:S950 D946:N950 O946:R948 D951:S962 D968:E987 D964:D967 I984 Q986:Q987 L964:N987 O966:P968 O971 R986 R977 S964:S987 R966:R969 Q964:Q970 O974:R974 Q976:Q977 O982:P987 Q982 Q984:R984 F964:H987 J964:J987 I982 D989:D996 H989:H994 H996:S996 I990:J994 L990:S994 F990:F996 K990:K995</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'[Adam''s fire data.xlsx]IGNORE Lookups'!#REF!</xm:f>
          </x14:formula1>
          <xm:sqref>Q1028:S1028 K1028:O1029 P1029:S1029 J997:J1021 H1013:H1019 D997:G1030 K997:S1027 K1030 L995:S995 G995:J995 G990:G994 G996 F1058:S1058 F1059:N1060 P1059 S1059 E1064 F1061:P1064 R1061:S1064 Q1060:Q1064 G1065 I1065:S1065 H1066:S1068 G1069:S1069 I1070:I1109 H1093:H1099 H1081:H1085 G1087:G1089 G1095:G1109 F1104:F1107 F1101:F1102 F1095:F1099 F1081:G1083 F1078:G1078 G1079 G1070:H1077 F1070:F1075 E1083 E1096:E1099 E1102 E1105:E1106 E1054:J1054 F1053:J1053 L1053:O1054 P1053:S1053 Q1054:Q1057 S1054:S1057 G1055 E1033:F1043 E1046:F1050 E1056:J1056 F1057:J1057 G1031:J1052 F1031 R1055:R1057 L1055:P1057 L1031:S1052</xm:sqref>
        </x14:dataValidation>
        <x14:dataValidation type="list" allowBlank="1" showInputMessage="1" showErrorMessage="1" prompt="One of: pre-industrial, transition, Industrial, post-industrial" xr:uid="{5643D444-365F-40C4-8260-931177BCA866}">
          <x14:formula1>
            <xm:f>'[Adam''s fire data.xlsx]IGNORE Lookups'!#REF!</xm:f>
          </x14:formula1>
          <xm:sqref>C997:C1030</xm:sqref>
        </x14:dataValidation>
        <x14:dataValidation type="list" allowBlank="1" showInputMessage="1" showErrorMessage="1" prompt="One of: Traditional , Private, Centrally-allocated, Insecure, Mixed. _x000a_" xr:uid="{C4BDE193-B05F-4D7E-AEED-2B54BB3B7247}">
          <x14:formula1>
            <xm:f>'[Adam''s fire data.xlsx]IGNORE Lookups'!#REF!</xm:f>
          </x14:formula1>
          <xm:sqref>B997:B1030</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C1055:C1057</xm:sqref>
        </x14:dataValidation>
        <x14:dataValidation type="list" allowBlank="1" showInputMessage="1" showErrorMessage="1" prompt="See AFT table, page 1 of database protocol" xr:uid="{AAC73340-5F43-4C70-B962-14020B16FA89}">
          <x14:formula1>
            <xm:f>'C:\home\james\OneDrive\Research\Projects\GlobalFireUseDatabase\Industrial Forestry\[AnthroFireDB_IndustrialForestry_2020-06-15.xlsx]IGNORE Lookups'!#REF!</xm:f>
          </x14:formula1>
          <xm:sqref>E990:E996 D1033:D1052 E1031:E1032 F1032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B1055:B1057 B1038:B1053</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K1035:K1057 E1053 D1053:D1057 D1031:D1032 K1150 E1051:F1052 E1044:F1045 E1057 E1055:F1055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B1031:B1037 B1054</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C1031:C1054</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K1031:K1034</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J1070:N1109 O1093:O1099 O1070:O1091 P1070:Q1109 R1071:S1109 S1070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2956"/>
  <sheetViews>
    <sheetView zoomScale="55" zoomScaleNormal="55" workbookViewId="0">
      <pane ySplit="1" topLeftCell="A2424" activePane="bottomLeft" state="frozen"/>
      <selection pane="bottomLeft" activeCell="W2385" sqref="W2385"/>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5054</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t="s">
        <v>40</v>
      </c>
      <c r="C2" s="32" t="s">
        <v>24</v>
      </c>
      <c r="D2" s="32" t="s">
        <v>25</v>
      </c>
      <c r="E2" s="32" t="s">
        <v>45</v>
      </c>
      <c r="F2" s="183" t="s">
        <v>29</v>
      </c>
      <c r="G2" s="32"/>
      <c r="H2" s="32" t="s">
        <v>523</v>
      </c>
      <c r="I2" s="32"/>
      <c r="J2" s="81">
        <v>1.63157895E-2</v>
      </c>
      <c r="K2" s="81" t="s">
        <v>2276</v>
      </c>
      <c r="L2" s="86" t="s">
        <v>2276</v>
      </c>
      <c r="M2" s="86" t="s">
        <v>2276</v>
      </c>
      <c r="N2" s="86" t="s">
        <v>2276</v>
      </c>
      <c r="O2" s="86" t="s">
        <v>2276</v>
      </c>
      <c r="P2" s="86" t="s">
        <v>2276</v>
      </c>
      <c r="Q2" s="21" t="s">
        <v>2276</v>
      </c>
      <c r="R2" s="21" t="s">
        <v>2276</v>
      </c>
      <c r="S2" s="86" t="s">
        <v>2276</v>
      </c>
      <c r="T2" s="86">
        <v>342</v>
      </c>
      <c r="U2" s="86" t="s">
        <v>2276</v>
      </c>
      <c r="V2" s="86">
        <v>31</v>
      </c>
      <c r="W2" s="86" t="s">
        <v>2276</v>
      </c>
      <c r="X2" s="86" t="s">
        <v>2276</v>
      </c>
      <c r="Y2" s="86">
        <v>2</v>
      </c>
      <c r="Z2" s="32" t="s">
        <v>34</v>
      </c>
      <c r="AA2" s="32" t="s">
        <v>35</v>
      </c>
      <c r="AB2" s="32" t="s">
        <v>64</v>
      </c>
      <c r="AC2" s="32"/>
      <c r="AD2" s="32"/>
    </row>
    <row r="3" spans="1:30" ht="55.5" customHeight="1">
      <c r="A3" s="3" t="s">
        <v>15</v>
      </c>
      <c r="B3" s="3" t="s">
        <v>41</v>
      </c>
      <c r="C3" s="3" t="s">
        <v>24</v>
      </c>
      <c r="D3" s="3" t="s">
        <v>26</v>
      </c>
      <c r="E3" s="3" t="s">
        <v>45</v>
      </c>
      <c r="F3" s="4" t="s">
        <v>29</v>
      </c>
      <c r="G3" s="3"/>
      <c r="H3" s="3" t="s">
        <v>523</v>
      </c>
      <c r="I3" s="3"/>
      <c r="J3" s="77">
        <v>6.5839694700000007E-2</v>
      </c>
      <c r="K3" s="77"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3" t="s">
        <v>38</v>
      </c>
      <c r="AA3" s="3" t="s">
        <v>34</v>
      </c>
      <c r="AB3" s="3" t="s">
        <v>64</v>
      </c>
      <c r="AC3" s="4" t="s">
        <v>39</v>
      </c>
      <c r="AD3" s="3"/>
    </row>
    <row r="4" spans="1:30" ht="43.5" customHeight="1">
      <c r="A4" s="22" t="s">
        <v>15</v>
      </c>
      <c r="B4" s="3" t="s">
        <v>42</v>
      </c>
      <c r="C4" s="22" t="s">
        <v>24</v>
      </c>
      <c r="D4" s="22" t="s">
        <v>27</v>
      </c>
      <c r="E4" s="22" t="s">
        <v>130</v>
      </c>
      <c r="F4" s="24" t="s">
        <v>161</v>
      </c>
      <c r="G4" s="24"/>
      <c r="H4" s="3" t="s">
        <v>523</v>
      </c>
      <c r="I4" s="22"/>
      <c r="J4" s="72">
        <v>3.3</v>
      </c>
      <c r="K4" s="77" t="s">
        <v>2276</v>
      </c>
      <c r="L4" s="77">
        <v>0.01</v>
      </c>
      <c r="M4" s="77" t="s">
        <v>2276</v>
      </c>
      <c r="N4" s="77">
        <v>0.2</v>
      </c>
      <c r="O4" s="77" t="s">
        <v>2276</v>
      </c>
      <c r="P4" s="77" t="s">
        <v>2276</v>
      </c>
      <c r="Q4" s="21" t="s">
        <v>2276</v>
      </c>
      <c r="R4" s="21" t="s">
        <v>2276</v>
      </c>
      <c r="S4" s="77" t="s">
        <v>2276</v>
      </c>
      <c r="T4" s="77">
        <v>4</v>
      </c>
      <c r="U4" s="77" t="s">
        <v>2276</v>
      </c>
      <c r="V4" s="72">
        <v>33</v>
      </c>
      <c r="W4" s="72" t="s">
        <v>2276</v>
      </c>
      <c r="X4" s="72" t="s">
        <v>2276</v>
      </c>
      <c r="Y4" s="72">
        <v>3</v>
      </c>
      <c r="Z4" s="22" t="s">
        <v>68</v>
      </c>
      <c r="AA4" s="22" t="s">
        <v>35</v>
      </c>
      <c r="AB4" s="22" t="s">
        <v>64</v>
      </c>
      <c r="AC4" s="22"/>
      <c r="AD4" s="22"/>
    </row>
    <row r="5" spans="1:30" ht="44.5" customHeight="1">
      <c r="A5" s="3" t="s">
        <v>15</v>
      </c>
      <c r="B5" s="3" t="s">
        <v>43</v>
      </c>
      <c r="C5" s="3" t="s">
        <v>2458</v>
      </c>
      <c r="D5" s="8" t="s">
        <v>25</v>
      </c>
      <c r="E5" s="3" t="s">
        <v>45</v>
      </c>
      <c r="F5" s="9" t="s">
        <v>32</v>
      </c>
      <c r="G5" s="3"/>
      <c r="H5" s="3" t="s">
        <v>523</v>
      </c>
      <c r="I5" s="3"/>
      <c r="J5" s="77">
        <v>2.6811593999999999E-3</v>
      </c>
      <c r="K5" s="77"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3" t="s">
        <v>64</v>
      </c>
      <c r="AC5" s="3"/>
      <c r="AD5" s="3"/>
    </row>
    <row r="6" spans="1:30" ht="41.5" customHeight="1">
      <c r="A6" s="3" t="s">
        <v>15</v>
      </c>
      <c r="B6" s="3" t="s">
        <v>44</v>
      </c>
      <c r="C6" s="3" t="s">
        <v>24</v>
      </c>
      <c r="D6" s="3" t="s">
        <v>2346</v>
      </c>
      <c r="E6" s="3" t="s">
        <v>2276</v>
      </c>
      <c r="F6" s="9" t="s">
        <v>32</v>
      </c>
      <c r="G6" s="3"/>
      <c r="H6" s="3" t="s">
        <v>523</v>
      </c>
      <c r="I6" s="3"/>
      <c r="J6" s="77">
        <v>1.0526316E-3</v>
      </c>
      <c r="K6" s="77"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3" t="s">
        <v>34</v>
      </c>
      <c r="AA6" s="3" t="s">
        <v>35</v>
      </c>
      <c r="AB6" s="3" t="s">
        <v>64</v>
      </c>
      <c r="AC6" s="3"/>
      <c r="AD6" s="3"/>
    </row>
    <row r="7" spans="1:30" ht="61" customHeight="1">
      <c r="A7" s="3" t="s">
        <v>15</v>
      </c>
      <c r="B7" s="3" t="s">
        <v>60</v>
      </c>
      <c r="C7" s="3" t="s">
        <v>24</v>
      </c>
      <c r="D7" s="3"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3" t="s">
        <v>38</v>
      </c>
      <c r="AA7" s="3" t="s">
        <v>35</v>
      </c>
      <c r="AB7" s="3" t="s">
        <v>64</v>
      </c>
      <c r="AC7" s="4" t="s">
        <v>63</v>
      </c>
      <c r="AD7" s="3"/>
    </row>
    <row r="8" spans="1:30" ht="49.5" customHeight="1">
      <c r="A8" s="11" t="s">
        <v>16</v>
      </c>
      <c r="B8" s="3" t="s">
        <v>46</v>
      </c>
      <c r="C8" s="11" t="s">
        <v>24</v>
      </c>
      <c r="D8" s="11" t="s">
        <v>25</v>
      </c>
      <c r="E8" s="3"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3" t="s">
        <v>34</v>
      </c>
      <c r="AA8" s="3" t="s">
        <v>35</v>
      </c>
      <c r="AB8" s="3" t="s">
        <v>64</v>
      </c>
      <c r="AC8" s="18" t="s">
        <v>48</v>
      </c>
      <c r="AD8" s="3"/>
    </row>
    <row r="9" spans="1:30" ht="48" customHeight="1">
      <c r="A9" s="11" t="s">
        <v>17</v>
      </c>
      <c r="B9" s="3"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3" t="s">
        <v>68</v>
      </c>
      <c r="AA9" s="3" t="s">
        <v>35</v>
      </c>
      <c r="AB9" s="3" t="s">
        <v>64</v>
      </c>
      <c r="AC9" s="4" t="s">
        <v>50</v>
      </c>
      <c r="AD9" s="3"/>
    </row>
    <row r="10" spans="1:30" ht="49.5" customHeight="1">
      <c r="A10" s="11" t="s">
        <v>18</v>
      </c>
      <c r="B10" s="3" t="s">
        <v>51</v>
      </c>
      <c r="C10" s="11" t="s">
        <v>24</v>
      </c>
      <c r="D10" s="11" t="s">
        <v>25</v>
      </c>
      <c r="E10" s="3"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3" t="s">
        <v>34</v>
      </c>
      <c r="AA10" s="3" t="s">
        <v>35</v>
      </c>
      <c r="AB10" s="3" t="s">
        <v>64</v>
      </c>
      <c r="AC10" s="4" t="s">
        <v>49</v>
      </c>
      <c r="AD10" s="3"/>
    </row>
    <row r="11" spans="1:30" ht="60.5" customHeight="1">
      <c r="A11" s="3" t="s">
        <v>19</v>
      </c>
      <c r="B11" s="3" t="s">
        <v>53</v>
      </c>
      <c r="C11" s="3"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3" t="s">
        <v>34</v>
      </c>
      <c r="AA11" s="3" t="s">
        <v>35</v>
      </c>
      <c r="AB11" s="3" t="s">
        <v>64</v>
      </c>
      <c r="AC11" s="4" t="s">
        <v>56</v>
      </c>
      <c r="AD11" s="3"/>
    </row>
    <row r="12" spans="1:30" ht="53.5" customHeight="1">
      <c r="A12" s="3" t="s">
        <v>19</v>
      </c>
      <c r="B12" s="3" t="s">
        <v>54</v>
      </c>
      <c r="C12" s="3"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3" t="s">
        <v>34</v>
      </c>
      <c r="AA12" s="3" t="s">
        <v>35</v>
      </c>
      <c r="AB12" s="3" t="s">
        <v>64</v>
      </c>
      <c r="AC12" s="19" t="s">
        <v>52</v>
      </c>
      <c r="AD12" s="3"/>
    </row>
    <row r="13" spans="1:30" ht="62.5" customHeight="1">
      <c r="A13" s="20" t="s">
        <v>71</v>
      </c>
      <c r="B13" s="3"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3"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7" t="s">
        <v>2276</v>
      </c>
      <c r="W14" s="87" t="s">
        <v>2276</v>
      </c>
      <c r="X14" s="87" t="s">
        <v>2276</v>
      </c>
      <c r="Y14" s="87" t="s">
        <v>2276</v>
      </c>
      <c r="Z14" s="3" t="s">
        <v>75</v>
      </c>
      <c r="AA14" s="3" t="s">
        <v>35</v>
      </c>
      <c r="AB14" s="3" t="s">
        <v>64</v>
      </c>
      <c r="AC14" s="4" t="s">
        <v>5053</v>
      </c>
      <c r="AD14" s="4" t="s">
        <v>5048</v>
      </c>
    </row>
    <row r="15" spans="1:30" ht="124.5" customHeight="1">
      <c r="A15" s="23" t="s">
        <v>81</v>
      </c>
      <c r="B15" s="3" t="s">
        <v>85</v>
      </c>
      <c r="C15" s="23" t="s">
        <v>24</v>
      </c>
      <c r="D15" s="3" t="s">
        <v>2659</v>
      </c>
      <c r="E15" s="4" t="s">
        <v>397</v>
      </c>
      <c r="F15" s="26" t="s">
        <v>28</v>
      </c>
      <c r="G15" s="11" t="s">
        <v>2276</v>
      </c>
      <c r="H15" s="3" t="s">
        <v>523</v>
      </c>
      <c r="I15" s="23"/>
      <c r="J15" s="77" t="s">
        <v>2276</v>
      </c>
      <c r="K15" s="77" t="s">
        <v>2276</v>
      </c>
      <c r="L15" s="77" t="s">
        <v>2276</v>
      </c>
      <c r="M15" s="21" t="s">
        <v>2276</v>
      </c>
      <c r="N15" s="77" t="s">
        <v>2276</v>
      </c>
      <c r="O15" s="77" t="s">
        <v>2276</v>
      </c>
      <c r="P15" s="77" t="s">
        <v>2276</v>
      </c>
      <c r="Q15" s="21" t="s">
        <v>2276</v>
      </c>
      <c r="R15" s="21" t="s">
        <v>2276</v>
      </c>
      <c r="S15" s="77" t="s">
        <v>2276</v>
      </c>
      <c r="T15" s="77" t="s">
        <v>2276</v>
      </c>
      <c r="U15" s="87" t="s">
        <v>2276</v>
      </c>
      <c r="V15" s="87" t="s">
        <v>2276</v>
      </c>
      <c r="W15" s="87" t="s">
        <v>2276</v>
      </c>
      <c r="X15" s="87" t="s">
        <v>2276</v>
      </c>
      <c r="Y15" s="87" t="s">
        <v>2276</v>
      </c>
      <c r="Z15" s="3" t="s">
        <v>75</v>
      </c>
      <c r="AA15" s="3" t="s">
        <v>35</v>
      </c>
      <c r="AB15" s="3" t="s">
        <v>64</v>
      </c>
      <c r="AC15" s="4" t="s">
        <v>5053</v>
      </c>
      <c r="AD15" s="4" t="s">
        <v>5049</v>
      </c>
    </row>
    <row r="16" spans="1:30" ht="122.5" customHeight="1">
      <c r="A16" s="31" t="s">
        <v>221</v>
      </c>
      <c r="B16" s="3" t="s">
        <v>5047</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7" t="s">
        <v>2276</v>
      </c>
      <c r="V16" s="87" t="s">
        <v>2276</v>
      </c>
      <c r="W16" s="87" t="s">
        <v>2276</v>
      </c>
      <c r="X16" s="87" t="s">
        <v>2276</v>
      </c>
      <c r="Y16" s="87" t="s">
        <v>2276</v>
      </c>
      <c r="Z16" s="3" t="s">
        <v>75</v>
      </c>
      <c r="AA16" s="3" t="s">
        <v>35</v>
      </c>
      <c r="AB16" s="3" t="s">
        <v>64</v>
      </c>
      <c r="AC16" s="4" t="s">
        <v>5053</v>
      </c>
      <c r="AD16" s="4" t="s">
        <v>5050</v>
      </c>
    </row>
    <row r="17" spans="1:30" ht="114.5" customHeight="1">
      <c r="A17" s="31" t="s">
        <v>222</v>
      </c>
      <c r="B17" s="3"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7" t="s">
        <v>2276</v>
      </c>
      <c r="V17" s="87" t="s">
        <v>2276</v>
      </c>
      <c r="W17" s="87" t="s">
        <v>2276</v>
      </c>
      <c r="X17" s="87" t="s">
        <v>2276</v>
      </c>
      <c r="Y17" s="87" t="s">
        <v>2276</v>
      </c>
      <c r="Z17" s="3" t="s">
        <v>75</v>
      </c>
      <c r="AA17" s="3" t="s">
        <v>35</v>
      </c>
      <c r="AB17" s="3" t="s">
        <v>64</v>
      </c>
      <c r="AC17" s="4" t="s">
        <v>5053</v>
      </c>
      <c r="AD17" s="4" t="s">
        <v>5050</v>
      </c>
    </row>
    <row r="18" spans="1:30" ht="111.5" customHeight="1">
      <c r="A18" s="31" t="s">
        <v>223</v>
      </c>
      <c r="B18" s="3"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7" t="s">
        <v>2276</v>
      </c>
      <c r="V18" s="87" t="s">
        <v>2276</v>
      </c>
      <c r="W18" s="87" t="s">
        <v>2276</v>
      </c>
      <c r="X18" s="87" t="s">
        <v>2276</v>
      </c>
      <c r="Y18" s="87" t="s">
        <v>2276</v>
      </c>
      <c r="Z18" s="3" t="s">
        <v>75</v>
      </c>
      <c r="AA18" s="3" t="s">
        <v>35</v>
      </c>
      <c r="AB18" s="3" t="s">
        <v>64</v>
      </c>
      <c r="AC18" s="4" t="s">
        <v>5053</v>
      </c>
      <c r="AD18" s="4" t="s">
        <v>5050</v>
      </c>
    </row>
    <row r="19" spans="1:30" ht="115" customHeight="1">
      <c r="A19" s="31" t="s">
        <v>224</v>
      </c>
      <c r="B19" s="3"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7" t="s">
        <v>2276</v>
      </c>
      <c r="V19" s="87" t="s">
        <v>2276</v>
      </c>
      <c r="W19" s="87" t="s">
        <v>2276</v>
      </c>
      <c r="X19" s="87" t="s">
        <v>2276</v>
      </c>
      <c r="Y19" s="87" t="s">
        <v>2276</v>
      </c>
      <c r="Z19" s="3" t="s">
        <v>75</v>
      </c>
      <c r="AA19" s="3" t="s">
        <v>35</v>
      </c>
      <c r="AB19" s="3" t="s">
        <v>64</v>
      </c>
      <c r="AC19" s="4" t="s">
        <v>5053</v>
      </c>
      <c r="AD19" s="4" t="s">
        <v>5050</v>
      </c>
    </row>
    <row r="20" spans="1:30" ht="76.5" customHeight="1">
      <c r="A20" s="31" t="s">
        <v>225</v>
      </c>
      <c r="B20" s="3"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7" t="s">
        <v>2276</v>
      </c>
      <c r="V20" s="87" t="s">
        <v>2276</v>
      </c>
      <c r="W20" s="87" t="s">
        <v>2276</v>
      </c>
      <c r="X20" s="87" t="s">
        <v>2276</v>
      </c>
      <c r="Y20" s="87" t="s">
        <v>2276</v>
      </c>
      <c r="Z20" s="3" t="s">
        <v>75</v>
      </c>
      <c r="AA20" s="3" t="s">
        <v>35</v>
      </c>
      <c r="AB20" s="3" t="s">
        <v>64</v>
      </c>
      <c r="AC20" s="4" t="s">
        <v>5053</v>
      </c>
      <c r="AD20" s="4" t="s">
        <v>5050</v>
      </c>
    </row>
    <row r="21" spans="1:30" ht="78" customHeight="1">
      <c r="A21" s="31" t="s">
        <v>257</v>
      </c>
      <c r="B21" s="3"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7" t="s">
        <v>2276</v>
      </c>
      <c r="V21" s="87" t="s">
        <v>2276</v>
      </c>
      <c r="W21" s="87" t="s">
        <v>2276</v>
      </c>
      <c r="X21" s="87" t="s">
        <v>2276</v>
      </c>
      <c r="Y21" s="87" t="s">
        <v>2276</v>
      </c>
      <c r="Z21" s="3" t="s">
        <v>75</v>
      </c>
      <c r="AA21" s="3" t="s">
        <v>35</v>
      </c>
      <c r="AB21" s="3" t="s">
        <v>64</v>
      </c>
      <c r="AC21" s="4" t="s">
        <v>5053</v>
      </c>
      <c r="AD21" s="4" t="s">
        <v>5050</v>
      </c>
    </row>
    <row r="22" spans="1:30" ht="70.5" customHeight="1">
      <c r="A22" s="31" t="s">
        <v>258</v>
      </c>
      <c r="B22" s="3"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7" t="s">
        <v>2276</v>
      </c>
      <c r="V22" s="87" t="s">
        <v>2276</v>
      </c>
      <c r="W22" s="87" t="s">
        <v>2276</v>
      </c>
      <c r="X22" s="87" t="s">
        <v>2276</v>
      </c>
      <c r="Y22" s="87" t="s">
        <v>2276</v>
      </c>
      <c r="Z22" s="3" t="s">
        <v>75</v>
      </c>
      <c r="AA22" s="3" t="s">
        <v>35</v>
      </c>
      <c r="AB22" s="3" t="s">
        <v>64</v>
      </c>
      <c r="AC22" s="4" t="s">
        <v>5053</v>
      </c>
      <c r="AD22" s="4" t="s">
        <v>5050</v>
      </c>
    </row>
    <row r="23" spans="1:30" ht="89" customHeight="1">
      <c r="A23" s="31" t="s">
        <v>259</v>
      </c>
      <c r="B23" s="3"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7" t="s">
        <v>2276</v>
      </c>
      <c r="V23" s="87" t="s">
        <v>2276</v>
      </c>
      <c r="W23" s="87" t="s">
        <v>2276</v>
      </c>
      <c r="X23" s="87" t="s">
        <v>2276</v>
      </c>
      <c r="Y23" s="87" t="s">
        <v>2276</v>
      </c>
      <c r="Z23" s="3" t="s">
        <v>75</v>
      </c>
      <c r="AA23" s="3" t="s">
        <v>35</v>
      </c>
      <c r="AB23" s="3" t="s">
        <v>64</v>
      </c>
      <c r="AC23" s="4" t="s">
        <v>5053</v>
      </c>
      <c r="AD23" s="4" t="s">
        <v>5050</v>
      </c>
    </row>
    <row r="24" spans="1:30" ht="88.5" customHeight="1">
      <c r="A24" s="31" t="s">
        <v>260</v>
      </c>
      <c r="B24" s="3"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7" t="s">
        <v>2276</v>
      </c>
      <c r="V24" s="87" t="s">
        <v>2276</v>
      </c>
      <c r="W24" s="87" t="s">
        <v>2276</v>
      </c>
      <c r="X24" s="87" t="s">
        <v>2276</v>
      </c>
      <c r="Y24" s="87" t="s">
        <v>2276</v>
      </c>
      <c r="Z24" s="3" t="s">
        <v>75</v>
      </c>
      <c r="AA24" s="3" t="s">
        <v>35</v>
      </c>
      <c r="AB24" s="3" t="s">
        <v>64</v>
      </c>
      <c r="AC24" s="4" t="s">
        <v>5053</v>
      </c>
      <c r="AD24" s="4" t="s">
        <v>5050</v>
      </c>
    </row>
    <row r="25" spans="1:30" ht="87" customHeight="1">
      <c r="A25" s="31" t="s">
        <v>261</v>
      </c>
      <c r="B25" s="3"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7" t="s">
        <v>2276</v>
      </c>
      <c r="V25" s="87" t="s">
        <v>2276</v>
      </c>
      <c r="W25" s="87" t="s">
        <v>2276</v>
      </c>
      <c r="X25" s="87" t="s">
        <v>2276</v>
      </c>
      <c r="Y25" s="87" t="s">
        <v>2276</v>
      </c>
      <c r="Z25" s="3" t="s">
        <v>75</v>
      </c>
      <c r="AA25" s="3" t="s">
        <v>35</v>
      </c>
      <c r="AB25" s="3" t="s">
        <v>64</v>
      </c>
      <c r="AC25" s="4" t="s">
        <v>5053</v>
      </c>
      <c r="AD25" s="4" t="s">
        <v>5050</v>
      </c>
    </row>
    <row r="26" spans="1:30" ht="152" customHeight="1">
      <c r="A26" s="31" t="s">
        <v>262</v>
      </c>
      <c r="B26" s="3"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7" t="s">
        <v>2276</v>
      </c>
      <c r="V26" s="87" t="s">
        <v>2276</v>
      </c>
      <c r="W26" s="87" t="s">
        <v>2276</v>
      </c>
      <c r="X26" s="87" t="s">
        <v>2276</v>
      </c>
      <c r="Y26" s="87" t="s">
        <v>2276</v>
      </c>
      <c r="Z26" s="3" t="s">
        <v>75</v>
      </c>
      <c r="AA26" s="3" t="s">
        <v>35</v>
      </c>
      <c r="AB26" s="3" t="s">
        <v>64</v>
      </c>
      <c r="AC26" s="4" t="s">
        <v>5053</v>
      </c>
      <c r="AD26" s="4" t="s">
        <v>5050</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7" t="s">
        <v>2276</v>
      </c>
      <c r="V27" s="87" t="s">
        <v>2276</v>
      </c>
      <c r="W27" s="87" t="s">
        <v>2276</v>
      </c>
      <c r="X27" s="87" t="s">
        <v>2276</v>
      </c>
      <c r="Y27" s="87" t="s">
        <v>2276</v>
      </c>
      <c r="Z27" s="3" t="s">
        <v>75</v>
      </c>
      <c r="AA27" s="3" t="s">
        <v>35</v>
      </c>
      <c r="AB27" s="3" t="s">
        <v>64</v>
      </c>
      <c r="AC27" s="4" t="s">
        <v>5053</v>
      </c>
      <c r="AD27" s="4" t="s">
        <v>5050</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7" t="s">
        <v>2276</v>
      </c>
      <c r="V28" s="87" t="s">
        <v>2276</v>
      </c>
      <c r="W28" s="87" t="s">
        <v>2276</v>
      </c>
      <c r="X28" s="87" t="s">
        <v>2276</v>
      </c>
      <c r="Y28" s="87" t="s">
        <v>2276</v>
      </c>
      <c r="Z28" s="3" t="s">
        <v>75</v>
      </c>
      <c r="AA28" s="3" t="s">
        <v>35</v>
      </c>
      <c r="AB28" s="3" t="s">
        <v>64</v>
      </c>
      <c r="AC28" s="4" t="s">
        <v>5053</v>
      </c>
      <c r="AD28" s="4" t="s">
        <v>5050</v>
      </c>
    </row>
    <row r="29" spans="1:30" ht="56" customHeight="1">
      <c r="A29" s="31" t="s">
        <v>265</v>
      </c>
      <c r="B29" s="3"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7" t="s">
        <v>2276</v>
      </c>
      <c r="V29" s="87" t="s">
        <v>2276</v>
      </c>
      <c r="W29" s="87" t="s">
        <v>2276</v>
      </c>
      <c r="X29" s="87" t="s">
        <v>2276</v>
      </c>
      <c r="Y29" s="87" t="s">
        <v>2276</v>
      </c>
      <c r="Z29" s="3" t="s">
        <v>75</v>
      </c>
      <c r="AA29" s="3" t="s">
        <v>35</v>
      </c>
      <c r="AB29" s="3" t="s">
        <v>64</v>
      </c>
      <c r="AC29" s="4" t="s">
        <v>5053</v>
      </c>
      <c r="AD29" s="4" t="s">
        <v>5050</v>
      </c>
    </row>
    <row r="30" spans="1:30" ht="55" customHeight="1">
      <c r="A30" s="31" t="s">
        <v>266</v>
      </c>
      <c r="B30" s="3"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7" t="s">
        <v>2276</v>
      </c>
      <c r="V30" s="87" t="s">
        <v>2276</v>
      </c>
      <c r="W30" s="87" t="s">
        <v>2276</v>
      </c>
      <c r="X30" s="87" t="s">
        <v>2276</v>
      </c>
      <c r="Y30" s="87" t="s">
        <v>2276</v>
      </c>
      <c r="Z30" s="3" t="s">
        <v>75</v>
      </c>
      <c r="AA30" s="3" t="s">
        <v>35</v>
      </c>
      <c r="AB30" s="3" t="s">
        <v>64</v>
      </c>
      <c r="AC30" s="4" t="s">
        <v>5053</v>
      </c>
      <c r="AD30" s="4" t="s">
        <v>5050</v>
      </c>
    </row>
    <row r="31" spans="1:30" ht="63.5" customHeight="1">
      <c r="A31" s="31" t="s">
        <v>267</v>
      </c>
      <c r="B31" s="3"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7" t="s">
        <v>2276</v>
      </c>
      <c r="V31" s="87" t="s">
        <v>2276</v>
      </c>
      <c r="W31" s="87" t="s">
        <v>2276</v>
      </c>
      <c r="X31" s="87" t="s">
        <v>2276</v>
      </c>
      <c r="Y31" s="87" t="s">
        <v>2276</v>
      </c>
      <c r="Z31" s="3" t="s">
        <v>75</v>
      </c>
      <c r="AA31" s="3" t="s">
        <v>35</v>
      </c>
      <c r="AB31" s="3" t="s">
        <v>64</v>
      </c>
      <c r="AC31" s="4" t="s">
        <v>5053</v>
      </c>
      <c r="AD31" s="4" t="s">
        <v>5050</v>
      </c>
    </row>
    <row r="32" spans="1:30" ht="72.5">
      <c r="A32" s="31" t="s">
        <v>268</v>
      </c>
      <c r="B32" s="3"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7" t="s">
        <v>2276</v>
      </c>
      <c r="V32" s="87" t="s">
        <v>2276</v>
      </c>
      <c r="W32" s="87" t="s">
        <v>2276</v>
      </c>
      <c r="X32" s="87" t="s">
        <v>2276</v>
      </c>
      <c r="Y32" s="87" t="s">
        <v>2276</v>
      </c>
      <c r="Z32" s="3" t="s">
        <v>75</v>
      </c>
      <c r="AA32" s="3" t="s">
        <v>35</v>
      </c>
      <c r="AB32" s="3" t="s">
        <v>64</v>
      </c>
      <c r="AC32" s="4" t="s">
        <v>5053</v>
      </c>
      <c r="AD32" s="4" t="s">
        <v>5050</v>
      </c>
    </row>
    <row r="33" spans="1:30" ht="72.5">
      <c r="A33" s="31" t="s">
        <v>269</v>
      </c>
      <c r="B33" s="3"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7" t="s">
        <v>2276</v>
      </c>
      <c r="V33" s="87" t="s">
        <v>2276</v>
      </c>
      <c r="W33" s="87" t="s">
        <v>2276</v>
      </c>
      <c r="X33" s="87" t="s">
        <v>2276</v>
      </c>
      <c r="Y33" s="87" t="s">
        <v>2276</v>
      </c>
      <c r="Z33" s="3" t="s">
        <v>75</v>
      </c>
      <c r="AA33" s="3" t="s">
        <v>35</v>
      </c>
      <c r="AB33" s="3" t="s">
        <v>64</v>
      </c>
      <c r="AC33" s="4" t="s">
        <v>5053</v>
      </c>
      <c r="AD33" s="4" t="s">
        <v>5050</v>
      </c>
    </row>
    <row r="34" spans="1:30" ht="72.5">
      <c r="A34" s="31" t="s">
        <v>270</v>
      </c>
      <c r="B34" s="3"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7" t="s">
        <v>2276</v>
      </c>
      <c r="V34" s="87" t="s">
        <v>2276</v>
      </c>
      <c r="W34" s="87" t="s">
        <v>2276</v>
      </c>
      <c r="X34" s="87" t="s">
        <v>2276</v>
      </c>
      <c r="Y34" s="87" t="s">
        <v>2276</v>
      </c>
      <c r="Z34" s="3" t="s">
        <v>75</v>
      </c>
      <c r="AA34" s="3" t="s">
        <v>35</v>
      </c>
      <c r="AB34" s="3" t="s">
        <v>64</v>
      </c>
      <c r="AC34" s="4" t="s">
        <v>5053</v>
      </c>
      <c r="AD34" s="4" t="s">
        <v>5050</v>
      </c>
    </row>
    <row r="35" spans="1:30" ht="72.5">
      <c r="A35" s="31" t="s">
        <v>271</v>
      </c>
      <c r="B35" s="3"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7" t="s">
        <v>2276</v>
      </c>
      <c r="V35" s="87" t="s">
        <v>2276</v>
      </c>
      <c r="W35" s="87" t="s">
        <v>2276</v>
      </c>
      <c r="X35" s="87" t="s">
        <v>2276</v>
      </c>
      <c r="Y35" s="87" t="s">
        <v>2276</v>
      </c>
      <c r="Z35" s="3" t="s">
        <v>75</v>
      </c>
      <c r="AA35" s="3" t="s">
        <v>35</v>
      </c>
      <c r="AB35" s="3" t="s">
        <v>64</v>
      </c>
      <c r="AC35" s="4" t="s">
        <v>5053</v>
      </c>
      <c r="AD35" s="4" t="s">
        <v>5050</v>
      </c>
    </row>
    <row r="36" spans="1:30" ht="72.5">
      <c r="A36" s="31" t="s">
        <v>272</v>
      </c>
      <c r="B36" s="3"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7" t="s">
        <v>2276</v>
      </c>
      <c r="V36" s="87" t="s">
        <v>2276</v>
      </c>
      <c r="W36" s="87" t="s">
        <v>2276</v>
      </c>
      <c r="X36" s="87" t="s">
        <v>2276</v>
      </c>
      <c r="Y36" s="87" t="s">
        <v>2276</v>
      </c>
      <c r="Z36" s="3" t="s">
        <v>75</v>
      </c>
      <c r="AA36" s="3" t="s">
        <v>35</v>
      </c>
      <c r="AB36" s="3" t="s">
        <v>64</v>
      </c>
      <c r="AC36" s="4" t="s">
        <v>5053</v>
      </c>
      <c r="AD36" s="4" t="s">
        <v>5050</v>
      </c>
    </row>
    <row r="37" spans="1:30" ht="72.5">
      <c r="A37" s="31" t="s">
        <v>273</v>
      </c>
      <c r="B37" s="3"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7" t="s">
        <v>2276</v>
      </c>
      <c r="V37" s="87" t="s">
        <v>2276</v>
      </c>
      <c r="W37" s="87" t="s">
        <v>2276</v>
      </c>
      <c r="X37" s="87" t="s">
        <v>2276</v>
      </c>
      <c r="Y37" s="87" t="s">
        <v>2276</v>
      </c>
      <c r="Z37" s="3" t="s">
        <v>75</v>
      </c>
      <c r="AA37" s="3" t="s">
        <v>35</v>
      </c>
      <c r="AB37" s="3" t="s">
        <v>64</v>
      </c>
      <c r="AC37" s="4" t="s">
        <v>5053</v>
      </c>
      <c r="AD37" s="4" t="s">
        <v>5050</v>
      </c>
    </row>
    <row r="38" spans="1:30" ht="125.5" customHeight="1">
      <c r="A38" s="31" t="s">
        <v>274</v>
      </c>
      <c r="B38" s="3" t="s">
        <v>334</v>
      </c>
      <c r="C38" s="11" t="s">
        <v>24</v>
      </c>
      <c r="D38" s="3"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7" t="s">
        <v>2276</v>
      </c>
      <c r="V38" s="87" t="s">
        <v>2276</v>
      </c>
      <c r="W38" s="87" t="s">
        <v>2276</v>
      </c>
      <c r="X38" s="87" t="s">
        <v>2276</v>
      </c>
      <c r="Y38" s="87" t="s">
        <v>2276</v>
      </c>
      <c r="Z38" s="3" t="s">
        <v>75</v>
      </c>
      <c r="AA38" s="3" t="s">
        <v>35</v>
      </c>
      <c r="AB38" s="3" t="s">
        <v>64</v>
      </c>
      <c r="AC38" s="4" t="s">
        <v>5053</v>
      </c>
      <c r="AD38" s="4" t="s">
        <v>5050</v>
      </c>
    </row>
    <row r="39" spans="1:30" ht="127" customHeight="1">
      <c r="A39" s="31" t="s">
        <v>275</v>
      </c>
      <c r="B39" s="3" t="s">
        <v>335</v>
      </c>
      <c r="C39" s="11" t="s">
        <v>24</v>
      </c>
      <c r="D39" s="3"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7" t="s">
        <v>2276</v>
      </c>
      <c r="V39" s="87" t="s">
        <v>2276</v>
      </c>
      <c r="W39" s="87" t="s">
        <v>2276</v>
      </c>
      <c r="X39" s="87" t="s">
        <v>2276</v>
      </c>
      <c r="Y39" s="87" t="s">
        <v>2276</v>
      </c>
      <c r="Z39" s="3" t="s">
        <v>75</v>
      </c>
      <c r="AA39" s="3" t="s">
        <v>35</v>
      </c>
      <c r="AB39" s="3" t="s">
        <v>64</v>
      </c>
      <c r="AC39" s="4" t="s">
        <v>5053</v>
      </c>
      <c r="AD39" s="4" t="s">
        <v>5050</v>
      </c>
    </row>
    <row r="40" spans="1:30" ht="124" customHeight="1">
      <c r="A40" s="31" t="s">
        <v>276</v>
      </c>
      <c r="B40" s="3"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7" t="s">
        <v>2276</v>
      </c>
      <c r="V40" s="87" t="s">
        <v>2276</v>
      </c>
      <c r="W40" s="87" t="s">
        <v>2276</v>
      </c>
      <c r="X40" s="87" t="s">
        <v>2276</v>
      </c>
      <c r="Y40" s="87" t="s">
        <v>2276</v>
      </c>
      <c r="Z40" s="3" t="s">
        <v>75</v>
      </c>
      <c r="AA40" s="3" t="s">
        <v>35</v>
      </c>
      <c r="AB40" s="3" t="s">
        <v>64</v>
      </c>
      <c r="AC40" s="4" t="s">
        <v>5053</v>
      </c>
      <c r="AD40" s="4" t="s">
        <v>5050</v>
      </c>
    </row>
    <row r="41" spans="1:30" ht="46" customHeight="1">
      <c r="A41" s="31" t="s">
        <v>277</v>
      </c>
      <c r="B41" s="3"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7" t="s">
        <v>2276</v>
      </c>
      <c r="V41" s="87" t="s">
        <v>2276</v>
      </c>
      <c r="W41" s="87" t="s">
        <v>2276</v>
      </c>
      <c r="X41" s="87" t="s">
        <v>2276</v>
      </c>
      <c r="Y41" s="87" t="s">
        <v>2276</v>
      </c>
      <c r="Z41" s="3" t="s">
        <v>75</v>
      </c>
      <c r="AA41" s="3" t="s">
        <v>35</v>
      </c>
      <c r="AB41" s="3" t="s">
        <v>64</v>
      </c>
      <c r="AC41" s="4" t="s">
        <v>5053</v>
      </c>
      <c r="AD41" s="4" t="s">
        <v>5050</v>
      </c>
    </row>
    <row r="42" spans="1:30" ht="49" customHeight="1">
      <c r="A42" s="31" t="s">
        <v>290</v>
      </c>
      <c r="B42" s="3"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7" t="s">
        <v>2276</v>
      </c>
      <c r="V42" s="87" t="s">
        <v>2276</v>
      </c>
      <c r="W42" s="87" t="s">
        <v>2276</v>
      </c>
      <c r="X42" s="87" t="s">
        <v>2276</v>
      </c>
      <c r="Y42" s="87" t="s">
        <v>2276</v>
      </c>
      <c r="Z42" s="3" t="s">
        <v>75</v>
      </c>
      <c r="AA42" s="3" t="s">
        <v>35</v>
      </c>
      <c r="AB42" s="3" t="s">
        <v>64</v>
      </c>
      <c r="AC42" s="4" t="s">
        <v>5053</v>
      </c>
      <c r="AD42" s="4" t="s">
        <v>5050</v>
      </c>
    </row>
    <row r="43" spans="1:30" ht="67" customHeight="1">
      <c r="A43" s="31" t="s">
        <v>291</v>
      </c>
      <c r="B43" s="3"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7" t="s">
        <v>2276</v>
      </c>
      <c r="V43" s="87" t="s">
        <v>2276</v>
      </c>
      <c r="W43" s="87" t="s">
        <v>2276</v>
      </c>
      <c r="X43" s="87" t="s">
        <v>2276</v>
      </c>
      <c r="Y43" s="87" t="s">
        <v>2276</v>
      </c>
      <c r="Z43" s="3" t="s">
        <v>75</v>
      </c>
      <c r="AA43" s="3" t="s">
        <v>35</v>
      </c>
      <c r="AB43" s="3" t="s">
        <v>64</v>
      </c>
      <c r="AC43" s="4" t="s">
        <v>5053</v>
      </c>
      <c r="AD43" s="4" t="s">
        <v>5050</v>
      </c>
    </row>
    <row r="44" spans="1:30" ht="72" customHeight="1">
      <c r="A44" s="31" t="s">
        <v>292</v>
      </c>
      <c r="B44" s="3"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7" t="s">
        <v>2276</v>
      </c>
      <c r="V44" s="87" t="s">
        <v>2276</v>
      </c>
      <c r="W44" s="87" t="s">
        <v>2276</v>
      </c>
      <c r="X44" s="87" t="s">
        <v>2276</v>
      </c>
      <c r="Y44" s="87" t="s">
        <v>2276</v>
      </c>
      <c r="Z44" s="3" t="s">
        <v>75</v>
      </c>
      <c r="AA44" s="3" t="s">
        <v>35</v>
      </c>
      <c r="AB44" s="3" t="s">
        <v>64</v>
      </c>
      <c r="AC44" s="4" t="s">
        <v>5053</v>
      </c>
      <c r="AD44" s="4" t="s">
        <v>5050</v>
      </c>
    </row>
    <row r="45" spans="1:30" ht="72" customHeight="1">
      <c r="A45" s="31" t="s">
        <v>293</v>
      </c>
      <c r="B45" s="3"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7" t="s">
        <v>2276</v>
      </c>
      <c r="V45" s="87" t="s">
        <v>2276</v>
      </c>
      <c r="W45" s="87" t="s">
        <v>2276</v>
      </c>
      <c r="X45" s="87" t="s">
        <v>2276</v>
      </c>
      <c r="Y45" s="87" t="s">
        <v>2276</v>
      </c>
      <c r="Z45" s="3" t="s">
        <v>75</v>
      </c>
      <c r="AA45" s="3" t="s">
        <v>35</v>
      </c>
      <c r="AB45" s="3" t="s">
        <v>64</v>
      </c>
      <c r="AC45" s="4" t="s">
        <v>5053</v>
      </c>
      <c r="AD45" s="4" t="s">
        <v>5050</v>
      </c>
    </row>
    <row r="46" spans="1:30" ht="97" customHeight="1">
      <c r="A46" s="23" t="s">
        <v>89</v>
      </c>
      <c r="B46" s="3" t="s">
        <v>91</v>
      </c>
      <c r="C46" s="23" t="s">
        <v>24</v>
      </c>
      <c r="D46" s="3" t="s">
        <v>2659</v>
      </c>
      <c r="E46" s="4" t="s">
        <v>396</v>
      </c>
      <c r="F46" s="26" t="s">
        <v>28</v>
      </c>
      <c r="G46" s="11" t="s">
        <v>2276</v>
      </c>
      <c r="H46" s="3" t="s">
        <v>523</v>
      </c>
      <c r="I46" s="23"/>
      <c r="J46" s="77" t="s">
        <v>2276</v>
      </c>
      <c r="K46" s="77" t="s">
        <v>2276</v>
      </c>
      <c r="L46" s="77" t="s">
        <v>2276</v>
      </c>
      <c r="M46" s="21" t="s">
        <v>2276</v>
      </c>
      <c r="N46" s="77" t="s">
        <v>2276</v>
      </c>
      <c r="O46" s="77" t="s">
        <v>2276</v>
      </c>
      <c r="P46" s="77" t="s">
        <v>2276</v>
      </c>
      <c r="Q46" s="21" t="s">
        <v>2276</v>
      </c>
      <c r="R46" s="21" t="s">
        <v>2276</v>
      </c>
      <c r="S46" s="77" t="s">
        <v>2276</v>
      </c>
      <c r="T46" s="77" t="s">
        <v>2276</v>
      </c>
      <c r="U46" s="87" t="s">
        <v>2276</v>
      </c>
      <c r="V46" s="87" t="s">
        <v>2276</v>
      </c>
      <c r="W46" s="87" t="s">
        <v>2276</v>
      </c>
      <c r="X46" s="87" t="s">
        <v>2276</v>
      </c>
      <c r="Y46" s="87" t="s">
        <v>2276</v>
      </c>
      <c r="Z46" s="22" t="s">
        <v>75</v>
      </c>
      <c r="AA46" s="22" t="s">
        <v>35</v>
      </c>
      <c r="AB46" s="3" t="s">
        <v>64</v>
      </c>
      <c r="AC46" s="4" t="s">
        <v>5053</v>
      </c>
      <c r="AD46" s="4" t="s">
        <v>5051</v>
      </c>
    </row>
    <row r="47" spans="1:30" ht="92" customHeight="1">
      <c r="A47" s="23" t="s">
        <v>89</v>
      </c>
      <c r="B47" s="3" t="s">
        <v>92</v>
      </c>
      <c r="C47" s="23" t="s">
        <v>24</v>
      </c>
      <c r="D47" s="3" t="s">
        <v>2659</v>
      </c>
      <c r="E47" s="4" t="s">
        <v>397</v>
      </c>
      <c r="F47" s="26" t="s">
        <v>28</v>
      </c>
      <c r="G47" s="11" t="s">
        <v>2276</v>
      </c>
      <c r="H47" s="3" t="s">
        <v>523</v>
      </c>
      <c r="I47" s="23"/>
      <c r="J47" s="77" t="s">
        <v>2276</v>
      </c>
      <c r="K47" s="77" t="s">
        <v>2276</v>
      </c>
      <c r="L47" s="77" t="s">
        <v>2276</v>
      </c>
      <c r="M47" s="21" t="s">
        <v>2276</v>
      </c>
      <c r="N47" s="77" t="s">
        <v>2276</v>
      </c>
      <c r="O47" s="77" t="s">
        <v>2276</v>
      </c>
      <c r="P47" s="77" t="s">
        <v>2276</v>
      </c>
      <c r="Q47" s="21" t="s">
        <v>2276</v>
      </c>
      <c r="R47" s="21" t="s">
        <v>2276</v>
      </c>
      <c r="S47" s="77" t="s">
        <v>2276</v>
      </c>
      <c r="T47" s="77" t="s">
        <v>2276</v>
      </c>
      <c r="U47" s="87" t="s">
        <v>2276</v>
      </c>
      <c r="V47" s="87" t="s">
        <v>2276</v>
      </c>
      <c r="W47" s="87" t="s">
        <v>2276</v>
      </c>
      <c r="X47" s="87" t="s">
        <v>2276</v>
      </c>
      <c r="Y47" s="87" t="s">
        <v>2276</v>
      </c>
      <c r="Z47" s="3" t="s">
        <v>75</v>
      </c>
      <c r="AA47" s="3" t="s">
        <v>35</v>
      </c>
      <c r="AB47" s="3" t="s">
        <v>64</v>
      </c>
      <c r="AC47" s="4" t="s">
        <v>5053</v>
      </c>
      <c r="AD47" s="4" t="s">
        <v>5052</v>
      </c>
    </row>
    <row r="48" spans="1:30" ht="69.5" customHeight="1">
      <c r="A48" s="31" t="s">
        <v>278</v>
      </c>
      <c r="B48" s="3" t="s">
        <v>342</v>
      </c>
      <c r="C48" s="23" t="s">
        <v>24</v>
      </c>
      <c r="D48" s="3" t="s">
        <v>2659</v>
      </c>
      <c r="E48" s="4" t="s">
        <v>396</v>
      </c>
      <c r="F48" s="26" t="s">
        <v>28</v>
      </c>
      <c r="G48" s="11" t="s">
        <v>2276</v>
      </c>
      <c r="H48" s="3" t="s">
        <v>523</v>
      </c>
      <c r="I48" s="23"/>
      <c r="J48" s="77" t="s">
        <v>2276</v>
      </c>
      <c r="K48" s="77" t="s">
        <v>2276</v>
      </c>
      <c r="L48" s="77" t="s">
        <v>2276</v>
      </c>
      <c r="M48" s="21" t="s">
        <v>2276</v>
      </c>
      <c r="N48" s="77" t="s">
        <v>2276</v>
      </c>
      <c r="O48" s="77" t="s">
        <v>2276</v>
      </c>
      <c r="P48" s="77" t="s">
        <v>2276</v>
      </c>
      <c r="Q48" s="21" t="s">
        <v>2276</v>
      </c>
      <c r="R48" s="21" t="s">
        <v>2276</v>
      </c>
      <c r="S48" s="77" t="s">
        <v>2276</v>
      </c>
      <c r="T48" s="77" t="s">
        <v>2276</v>
      </c>
      <c r="U48" s="87" t="s">
        <v>2276</v>
      </c>
      <c r="V48" s="87" t="s">
        <v>2276</v>
      </c>
      <c r="W48" s="87" t="s">
        <v>2276</v>
      </c>
      <c r="X48" s="87" t="s">
        <v>2276</v>
      </c>
      <c r="Y48" s="87" t="s">
        <v>2276</v>
      </c>
      <c r="Z48" s="3" t="s">
        <v>75</v>
      </c>
      <c r="AA48" s="3" t="s">
        <v>35</v>
      </c>
      <c r="AB48" s="3" t="s">
        <v>64</v>
      </c>
      <c r="AC48" s="4" t="s">
        <v>5053</v>
      </c>
      <c r="AD48" s="4" t="s">
        <v>2261</v>
      </c>
    </row>
    <row r="49" spans="1:30" ht="69.5" customHeight="1">
      <c r="A49" s="31" t="s">
        <v>279</v>
      </c>
      <c r="B49" s="3" t="s">
        <v>343</v>
      </c>
      <c r="C49" s="23" t="s">
        <v>24</v>
      </c>
      <c r="D49" s="3" t="s">
        <v>2659</v>
      </c>
      <c r="E49" s="4" t="s">
        <v>396</v>
      </c>
      <c r="F49" s="26" t="s">
        <v>28</v>
      </c>
      <c r="G49" s="11" t="s">
        <v>2276</v>
      </c>
      <c r="H49" s="3" t="s">
        <v>523</v>
      </c>
      <c r="I49" s="23"/>
      <c r="J49" s="77" t="s">
        <v>2276</v>
      </c>
      <c r="K49" s="77" t="s">
        <v>2276</v>
      </c>
      <c r="L49" s="77" t="s">
        <v>2276</v>
      </c>
      <c r="M49" s="21" t="s">
        <v>2276</v>
      </c>
      <c r="N49" s="77" t="s">
        <v>2276</v>
      </c>
      <c r="O49" s="77" t="s">
        <v>2276</v>
      </c>
      <c r="P49" s="77" t="s">
        <v>2276</v>
      </c>
      <c r="Q49" s="21" t="s">
        <v>2276</v>
      </c>
      <c r="R49" s="21" t="s">
        <v>2276</v>
      </c>
      <c r="S49" s="77" t="s">
        <v>2276</v>
      </c>
      <c r="T49" s="77" t="s">
        <v>2276</v>
      </c>
      <c r="U49" s="87" t="s">
        <v>2276</v>
      </c>
      <c r="V49" s="87" t="s">
        <v>2276</v>
      </c>
      <c r="W49" s="87" t="s">
        <v>2276</v>
      </c>
      <c r="X49" s="87" t="s">
        <v>2276</v>
      </c>
      <c r="Y49" s="87" t="s">
        <v>2276</v>
      </c>
      <c r="Z49" s="3" t="s">
        <v>75</v>
      </c>
      <c r="AA49" s="3" t="s">
        <v>35</v>
      </c>
      <c r="AB49" s="3" t="s">
        <v>64</v>
      </c>
      <c r="AC49" s="4" t="s">
        <v>5053</v>
      </c>
      <c r="AD49" s="4" t="s">
        <v>2261</v>
      </c>
    </row>
    <row r="50" spans="1:30" ht="69.5" customHeight="1">
      <c r="A50" s="31" t="s">
        <v>280</v>
      </c>
      <c r="B50" s="3" t="s">
        <v>344</v>
      </c>
      <c r="C50" s="23" t="s">
        <v>24</v>
      </c>
      <c r="D50" s="3" t="s">
        <v>2659</v>
      </c>
      <c r="E50" s="4" t="s">
        <v>396</v>
      </c>
      <c r="F50" s="26" t="s">
        <v>28</v>
      </c>
      <c r="G50" s="11" t="s">
        <v>2276</v>
      </c>
      <c r="H50" s="3" t="s">
        <v>523</v>
      </c>
      <c r="I50" s="23"/>
      <c r="J50" s="77" t="s">
        <v>2276</v>
      </c>
      <c r="K50" s="77" t="s">
        <v>2276</v>
      </c>
      <c r="L50" s="77" t="s">
        <v>2276</v>
      </c>
      <c r="M50" s="21" t="s">
        <v>2276</v>
      </c>
      <c r="N50" s="77" t="s">
        <v>2276</v>
      </c>
      <c r="O50" s="77" t="s">
        <v>2276</v>
      </c>
      <c r="P50" s="77" t="s">
        <v>2276</v>
      </c>
      <c r="Q50" s="21" t="s">
        <v>2276</v>
      </c>
      <c r="R50" s="21" t="s">
        <v>2276</v>
      </c>
      <c r="S50" s="77" t="s">
        <v>2276</v>
      </c>
      <c r="T50" s="77" t="s">
        <v>2276</v>
      </c>
      <c r="U50" s="87" t="s">
        <v>2276</v>
      </c>
      <c r="V50" s="87" t="s">
        <v>2276</v>
      </c>
      <c r="W50" s="87" t="s">
        <v>2276</v>
      </c>
      <c r="X50" s="87" t="s">
        <v>2276</v>
      </c>
      <c r="Y50" s="87" t="s">
        <v>2276</v>
      </c>
      <c r="Z50" s="3" t="s">
        <v>75</v>
      </c>
      <c r="AA50" s="3" t="s">
        <v>35</v>
      </c>
      <c r="AB50" s="3" t="s">
        <v>64</v>
      </c>
      <c r="AC50" s="4" t="s">
        <v>5053</v>
      </c>
      <c r="AD50" s="4" t="s">
        <v>2261</v>
      </c>
    </row>
    <row r="51" spans="1:30" ht="69.5" customHeight="1">
      <c r="A51" s="31" t="s">
        <v>281</v>
      </c>
      <c r="B51" s="3" t="s">
        <v>345</v>
      </c>
      <c r="C51" s="23" t="s">
        <v>24</v>
      </c>
      <c r="D51" s="3" t="s">
        <v>2659</v>
      </c>
      <c r="E51" s="4" t="s">
        <v>396</v>
      </c>
      <c r="F51" s="26" t="s">
        <v>28</v>
      </c>
      <c r="G51" s="11" t="s">
        <v>2276</v>
      </c>
      <c r="H51" s="3" t="s">
        <v>523</v>
      </c>
      <c r="I51" s="23"/>
      <c r="J51" s="77" t="s">
        <v>2276</v>
      </c>
      <c r="K51" s="77" t="s">
        <v>2276</v>
      </c>
      <c r="L51" s="77" t="s">
        <v>2276</v>
      </c>
      <c r="M51" s="21" t="s">
        <v>2276</v>
      </c>
      <c r="N51" s="77" t="s">
        <v>2276</v>
      </c>
      <c r="O51" s="77" t="s">
        <v>2276</v>
      </c>
      <c r="P51" s="77" t="s">
        <v>2276</v>
      </c>
      <c r="Q51" s="21" t="s">
        <v>2276</v>
      </c>
      <c r="R51" s="21" t="s">
        <v>2276</v>
      </c>
      <c r="S51" s="77" t="s">
        <v>2276</v>
      </c>
      <c r="T51" s="77" t="s">
        <v>2276</v>
      </c>
      <c r="U51" s="87" t="s">
        <v>2276</v>
      </c>
      <c r="V51" s="87" t="s">
        <v>2276</v>
      </c>
      <c r="W51" s="87" t="s">
        <v>2276</v>
      </c>
      <c r="X51" s="87" t="s">
        <v>2276</v>
      </c>
      <c r="Y51" s="87" t="s">
        <v>2276</v>
      </c>
      <c r="Z51" s="3" t="s">
        <v>75</v>
      </c>
      <c r="AA51" s="3" t="s">
        <v>35</v>
      </c>
      <c r="AB51" s="3" t="s">
        <v>64</v>
      </c>
      <c r="AC51" s="4" t="s">
        <v>5053</v>
      </c>
      <c r="AD51" s="4" t="s">
        <v>2261</v>
      </c>
    </row>
    <row r="52" spans="1:30" ht="69.5" customHeight="1">
      <c r="A52" s="31" t="s">
        <v>282</v>
      </c>
      <c r="B52" s="3" t="s">
        <v>346</v>
      </c>
      <c r="C52" s="23" t="s">
        <v>24</v>
      </c>
      <c r="D52" s="3" t="s">
        <v>2659</v>
      </c>
      <c r="E52" s="4" t="s">
        <v>396</v>
      </c>
      <c r="F52" s="26" t="s">
        <v>28</v>
      </c>
      <c r="G52" s="11" t="s">
        <v>2276</v>
      </c>
      <c r="H52" s="3" t="s">
        <v>523</v>
      </c>
      <c r="I52" s="23"/>
      <c r="J52" s="77" t="s">
        <v>2276</v>
      </c>
      <c r="K52" s="77" t="s">
        <v>2276</v>
      </c>
      <c r="L52" s="77" t="s">
        <v>2276</v>
      </c>
      <c r="M52" s="21" t="s">
        <v>2276</v>
      </c>
      <c r="N52" s="77" t="s">
        <v>2276</v>
      </c>
      <c r="O52" s="77" t="s">
        <v>2276</v>
      </c>
      <c r="P52" s="77" t="s">
        <v>2276</v>
      </c>
      <c r="Q52" s="21" t="s">
        <v>2276</v>
      </c>
      <c r="R52" s="21" t="s">
        <v>2276</v>
      </c>
      <c r="S52" s="77" t="s">
        <v>2276</v>
      </c>
      <c r="T52" s="77" t="s">
        <v>2276</v>
      </c>
      <c r="U52" s="87" t="s">
        <v>2276</v>
      </c>
      <c r="V52" s="87" t="s">
        <v>2276</v>
      </c>
      <c r="W52" s="87" t="s">
        <v>2276</v>
      </c>
      <c r="X52" s="87" t="s">
        <v>2276</v>
      </c>
      <c r="Y52" s="87" t="s">
        <v>2276</v>
      </c>
      <c r="Z52" s="3" t="s">
        <v>75</v>
      </c>
      <c r="AA52" s="3" t="s">
        <v>35</v>
      </c>
      <c r="AB52" s="3" t="s">
        <v>64</v>
      </c>
      <c r="AC52" s="4" t="s">
        <v>5053</v>
      </c>
      <c r="AD52" s="4" t="s">
        <v>2261</v>
      </c>
    </row>
    <row r="53" spans="1:30" ht="69.5" customHeight="1">
      <c r="A53" s="31" t="s">
        <v>283</v>
      </c>
      <c r="B53" s="3" t="s">
        <v>347</v>
      </c>
      <c r="C53" s="23" t="s">
        <v>24</v>
      </c>
      <c r="D53" s="3" t="s">
        <v>2659</v>
      </c>
      <c r="E53" s="4" t="s">
        <v>396</v>
      </c>
      <c r="F53" s="26" t="s">
        <v>28</v>
      </c>
      <c r="G53" s="11" t="s">
        <v>2276</v>
      </c>
      <c r="H53" s="3" t="s">
        <v>523</v>
      </c>
      <c r="I53" s="23"/>
      <c r="J53" s="77" t="s">
        <v>2276</v>
      </c>
      <c r="K53" s="77" t="s">
        <v>2276</v>
      </c>
      <c r="L53" s="77" t="s">
        <v>2276</v>
      </c>
      <c r="M53" s="21" t="s">
        <v>2276</v>
      </c>
      <c r="N53" s="77" t="s">
        <v>2276</v>
      </c>
      <c r="O53" s="77" t="s">
        <v>2276</v>
      </c>
      <c r="P53" s="77" t="s">
        <v>2276</v>
      </c>
      <c r="Q53" s="21" t="s">
        <v>2276</v>
      </c>
      <c r="R53" s="21" t="s">
        <v>2276</v>
      </c>
      <c r="S53" s="77" t="s">
        <v>2276</v>
      </c>
      <c r="T53" s="77" t="s">
        <v>2276</v>
      </c>
      <c r="U53" s="87" t="s">
        <v>2276</v>
      </c>
      <c r="V53" s="87" t="s">
        <v>2276</v>
      </c>
      <c r="W53" s="87" t="s">
        <v>2276</v>
      </c>
      <c r="X53" s="87" t="s">
        <v>2276</v>
      </c>
      <c r="Y53" s="87" t="s">
        <v>2276</v>
      </c>
      <c r="Z53" s="3" t="s">
        <v>75</v>
      </c>
      <c r="AA53" s="3" t="s">
        <v>35</v>
      </c>
      <c r="AB53" s="3" t="s">
        <v>64</v>
      </c>
      <c r="AC53" s="4" t="s">
        <v>5053</v>
      </c>
      <c r="AD53" s="4" t="s">
        <v>2261</v>
      </c>
    </row>
    <row r="54" spans="1:30" ht="69.5" customHeight="1">
      <c r="A54" s="31" t="s">
        <v>284</v>
      </c>
      <c r="B54" s="3" t="s">
        <v>348</v>
      </c>
      <c r="C54" s="23" t="s">
        <v>24</v>
      </c>
      <c r="D54" s="3" t="s">
        <v>2659</v>
      </c>
      <c r="E54" s="4" t="s">
        <v>396</v>
      </c>
      <c r="F54" s="26" t="s">
        <v>28</v>
      </c>
      <c r="G54" s="11" t="s">
        <v>2276</v>
      </c>
      <c r="H54" s="3" t="s">
        <v>523</v>
      </c>
      <c r="I54" s="23"/>
      <c r="J54" s="77" t="s">
        <v>2276</v>
      </c>
      <c r="K54" s="77" t="s">
        <v>2276</v>
      </c>
      <c r="L54" s="77" t="s">
        <v>2276</v>
      </c>
      <c r="M54" s="21" t="s">
        <v>2276</v>
      </c>
      <c r="N54" s="77" t="s">
        <v>2276</v>
      </c>
      <c r="O54" s="77" t="s">
        <v>2276</v>
      </c>
      <c r="P54" s="77" t="s">
        <v>2276</v>
      </c>
      <c r="Q54" s="21" t="s">
        <v>2276</v>
      </c>
      <c r="R54" s="21" t="s">
        <v>2276</v>
      </c>
      <c r="S54" s="77" t="s">
        <v>2276</v>
      </c>
      <c r="T54" s="77" t="s">
        <v>2276</v>
      </c>
      <c r="U54" s="87" t="s">
        <v>2276</v>
      </c>
      <c r="V54" s="87" t="s">
        <v>2276</v>
      </c>
      <c r="W54" s="87" t="s">
        <v>2276</v>
      </c>
      <c r="X54" s="87" t="s">
        <v>2276</v>
      </c>
      <c r="Y54" s="87" t="s">
        <v>2276</v>
      </c>
      <c r="Z54" s="3" t="s">
        <v>75</v>
      </c>
      <c r="AA54" s="3" t="s">
        <v>35</v>
      </c>
      <c r="AB54" s="3" t="s">
        <v>64</v>
      </c>
      <c r="AC54" s="4" t="s">
        <v>5053</v>
      </c>
      <c r="AD54" s="4" t="s">
        <v>2261</v>
      </c>
    </row>
    <row r="55" spans="1:30" ht="69.5" customHeight="1">
      <c r="A55" s="31" t="s">
        <v>285</v>
      </c>
      <c r="B55" s="3" t="s">
        <v>349</v>
      </c>
      <c r="C55" s="23" t="s">
        <v>24</v>
      </c>
      <c r="D55" s="3" t="s">
        <v>2659</v>
      </c>
      <c r="E55" s="4" t="s">
        <v>396</v>
      </c>
      <c r="F55" s="26" t="s">
        <v>28</v>
      </c>
      <c r="G55" s="11" t="s">
        <v>2276</v>
      </c>
      <c r="H55" s="3" t="s">
        <v>523</v>
      </c>
      <c r="I55" s="23"/>
      <c r="J55" s="77" t="s">
        <v>2276</v>
      </c>
      <c r="K55" s="77" t="s">
        <v>2276</v>
      </c>
      <c r="L55" s="77" t="s">
        <v>2276</v>
      </c>
      <c r="M55" s="21" t="s">
        <v>2276</v>
      </c>
      <c r="N55" s="77" t="s">
        <v>2276</v>
      </c>
      <c r="O55" s="77" t="s">
        <v>2276</v>
      </c>
      <c r="P55" s="77" t="s">
        <v>2276</v>
      </c>
      <c r="Q55" s="21" t="s">
        <v>2276</v>
      </c>
      <c r="R55" s="21" t="s">
        <v>2276</v>
      </c>
      <c r="S55" s="77" t="s">
        <v>2276</v>
      </c>
      <c r="T55" s="77" t="s">
        <v>2276</v>
      </c>
      <c r="U55" s="87" t="s">
        <v>2276</v>
      </c>
      <c r="V55" s="87" t="s">
        <v>2276</v>
      </c>
      <c r="W55" s="87" t="s">
        <v>2276</v>
      </c>
      <c r="X55" s="87" t="s">
        <v>2276</v>
      </c>
      <c r="Y55" s="87" t="s">
        <v>2276</v>
      </c>
      <c r="Z55" s="3" t="s">
        <v>75</v>
      </c>
      <c r="AA55" s="3" t="s">
        <v>35</v>
      </c>
      <c r="AB55" s="3" t="s">
        <v>64</v>
      </c>
      <c r="AC55" s="4" t="s">
        <v>5053</v>
      </c>
      <c r="AD55" s="4" t="s">
        <v>2261</v>
      </c>
    </row>
    <row r="56" spans="1:30" ht="69.5" customHeight="1">
      <c r="A56" s="31" t="s">
        <v>286</v>
      </c>
      <c r="B56" s="3" t="s">
        <v>350</v>
      </c>
      <c r="C56" s="23" t="s">
        <v>24</v>
      </c>
      <c r="D56" s="3" t="s">
        <v>2659</v>
      </c>
      <c r="E56" s="4" t="s">
        <v>396</v>
      </c>
      <c r="F56" s="26" t="s">
        <v>28</v>
      </c>
      <c r="G56" s="11" t="s">
        <v>2276</v>
      </c>
      <c r="H56" s="3" t="s">
        <v>523</v>
      </c>
      <c r="I56" s="23"/>
      <c r="J56" s="77" t="s">
        <v>2276</v>
      </c>
      <c r="K56" s="77" t="s">
        <v>2276</v>
      </c>
      <c r="L56" s="77" t="s">
        <v>2276</v>
      </c>
      <c r="M56" s="21" t="s">
        <v>2276</v>
      </c>
      <c r="N56" s="77" t="s">
        <v>2276</v>
      </c>
      <c r="O56" s="77" t="s">
        <v>2276</v>
      </c>
      <c r="P56" s="77" t="s">
        <v>2276</v>
      </c>
      <c r="Q56" s="21" t="s">
        <v>2276</v>
      </c>
      <c r="R56" s="21" t="s">
        <v>2276</v>
      </c>
      <c r="S56" s="77" t="s">
        <v>2276</v>
      </c>
      <c r="T56" s="77" t="s">
        <v>2276</v>
      </c>
      <c r="U56" s="87" t="s">
        <v>2276</v>
      </c>
      <c r="V56" s="87" t="s">
        <v>2276</v>
      </c>
      <c r="W56" s="87" t="s">
        <v>2276</v>
      </c>
      <c r="X56" s="87" t="s">
        <v>2276</v>
      </c>
      <c r="Y56" s="87" t="s">
        <v>2276</v>
      </c>
      <c r="Z56" s="3" t="s">
        <v>75</v>
      </c>
      <c r="AA56" s="3" t="s">
        <v>35</v>
      </c>
      <c r="AB56" s="3" t="s">
        <v>64</v>
      </c>
      <c r="AC56" s="4" t="s">
        <v>5053</v>
      </c>
      <c r="AD56" s="4" t="s">
        <v>2261</v>
      </c>
    </row>
    <row r="57" spans="1:30" ht="69.5" customHeight="1">
      <c r="A57" s="31" t="s">
        <v>287</v>
      </c>
      <c r="B57" s="3" t="s">
        <v>351</v>
      </c>
      <c r="C57" s="23" t="s">
        <v>24</v>
      </c>
      <c r="D57" s="3" t="s">
        <v>2659</v>
      </c>
      <c r="E57" s="4" t="s">
        <v>396</v>
      </c>
      <c r="F57" s="26" t="s">
        <v>28</v>
      </c>
      <c r="G57" s="11" t="s">
        <v>2276</v>
      </c>
      <c r="H57" s="3" t="s">
        <v>523</v>
      </c>
      <c r="I57" s="23"/>
      <c r="J57" s="77" t="s">
        <v>2276</v>
      </c>
      <c r="K57" s="77" t="s">
        <v>2276</v>
      </c>
      <c r="L57" s="77" t="s">
        <v>2276</v>
      </c>
      <c r="M57" s="21" t="s">
        <v>2276</v>
      </c>
      <c r="N57" s="77" t="s">
        <v>2276</v>
      </c>
      <c r="O57" s="77" t="s">
        <v>2276</v>
      </c>
      <c r="P57" s="77" t="s">
        <v>2276</v>
      </c>
      <c r="Q57" s="21" t="s">
        <v>2276</v>
      </c>
      <c r="R57" s="21" t="s">
        <v>2276</v>
      </c>
      <c r="S57" s="77" t="s">
        <v>2276</v>
      </c>
      <c r="T57" s="77" t="s">
        <v>2276</v>
      </c>
      <c r="U57" s="87" t="s">
        <v>2276</v>
      </c>
      <c r="V57" s="87" t="s">
        <v>2276</v>
      </c>
      <c r="W57" s="87" t="s">
        <v>2276</v>
      </c>
      <c r="X57" s="87" t="s">
        <v>2276</v>
      </c>
      <c r="Y57" s="87" t="s">
        <v>2276</v>
      </c>
      <c r="Z57" s="3" t="s">
        <v>75</v>
      </c>
      <c r="AA57" s="3" t="s">
        <v>35</v>
      </c>
      <c r="AB57" s="3" t="s">
        <v>64</v>
      </c>
      <c r="AC57" s="4" t="s">
        <v>5053</v>
      </c>
      <c r="AD57" s="4" t="s">
        <v>2261</v>
      </c>
    </row>
    <row r="58" spans="1:30" ht="69.5" customHeight="1">
      <c r="A58" s="31" t="s">
        <v>288</v>
      </c>
      <c r="B58" s="3" t="s">
        <v>352</v>
      </c>
      <c r="C58" s="23" t="s">
        <v>24</v>
      </c>
      <c r="D58" s="3" t="s">
        <v>2659</v>
      </c>
      <c r="E58" s="4" t="s">
        <v>396</v>
      </c>
      <c r="F58" s="26" t="s">
        <v>28</v>
      </c>
      <c r="G58" s="11" t="s">
        <v>2276</v>
      </c>
      <c r="H58" s="3" t="s">
        <v>523</v>
      </c>
      <c r="I58" s="23"/>
      <c r="J58" s="77" t="s">
        <v>2276</v>
      </c>
      <c r="K58" s="77" t="s">
        <v>2276</v>
      </c>
      <c r="L58" s="77" t="s">
        <v>2276</v>
      </c>
      <c r="M58" s="21" t="s">
        <v>2276</v>
      </c>
      <c r="N58" s="77" t="s">
        <v>2276</v>
      </c>
      <c r="O58" s="77" t="s">
        <v>2276</v>
      </c>
      <c r="P58" s="77" t="s">
        <v>2276</v>
      </c>
      <c r="Q58" s="21" t="s">
        <v>2276</v>
      </c>
      <c r="R58" s="21" t="s">
        <v>2276</v>
      </c>
      <c r="S58" s="77" t="s">
        <v>2276</v>
      </c>
      <c r="T58" s="77" t="s">
        <v>2276</v>
      </c>
      <c r="U58" s="87" t="s">
        <v>2276</v>
      </c>
      <c r="V58" s="87" t="s">
        <v>2276</v>
      </c>
      <c r="W58" s="87" t="s">
        <v>2276</v>
      </c>
      <c r="X58" s="87" t="s">
        <v>2276</v>
      </c>
      <c r="Y58" s="87" t="s">
        <v>2276</v>
      </c>
      <c r="Z58" s="3" t="s">
        <v>75</v>
      </c>
      <c r="AA58" s="3" t="s">
        <v>35</v>
      </c>
      <c r="AB58" s="3" t="s">
        <v>64</v>
      </c>
      <c r="AC58" s="4" t="s">
        <v>5053</v>
      </c>
      <c r="AD58" s="4" t="s">
        <v>2261</v>
      </c>
    </row>
    <row r="59" spans="1:30" ht="69.5" customHeight="1">
      <c r="A59" s="31" t="s">
        <v>289</v>
      </c>
      <c r="B59" s="3" t="s">
        <v>353</v>
      </c>
      <c r="C59" s="23" t="s">
        <v>24</v>
      </c>
      <c r="D59" s="3" t="s">
        <v>2659</v>
      </c>
      <c r="E59" s="4" t="s">
        <v>396</v>
      </c>
      <c r="F59" s="26" t="s">
        <v>28</v>
      </c>
      <c r="G59" s="11" t="s">
        <v>2276</v>
      </c>
      <c r="H59" s="3" t="s">
        <v>523</v>
      </c>
      <c r="I59" s="23"/>
      <c r="J59" s="77" t="s">
        <v>2276</v>
      </c>
      <c r="K59" s="77" t="s">
        <v>2276</v>
      </c>
      <c r="L59" s="77" t="s">
        <v>2276</v>
      </c>
      <c r="M59" s="21" t="s">
        <v>2276</v>
      </c>
      <c r="N59" s="77" t="s">
        <v>2276</v>
      </c>
      <c r="O59" s="77" t="s">
        <v>2276</v>
      </c>
      <c r="P59" s="77" t="s">
        <v>2276</v>
      </c>
      <c r="Q59" s="21" t="s">
        <v>2276</v>
      </c>
      <c r="R59" s="21" t="s">
        <v>2276</v>
      </c>
      <c r="S59" s="77" t="s">
        <v>2276</v>
      </c>
      <c r="T59" s="77" t="s">
        <v>2276</v>
      </c>
      <c r="U59" s="87" t="s">
        <v>2276</v>
      </c>
      <c r="V59" s="87" t="s">
        <v>2276</v>
      </c>
      <c r="W59" s="87" t="s">
        <v>2276</v>
      </c>
      <c r="X59" s="87" t="s">
        <v>2276</v>
      </c>
      <c r="Y59" s="87" t="s">
        <v>2276</v>
      </c>
      <c r="Z59" s="3" t="s">
        <v>75</v>
      </c>
      <c r="AA59" s="3" t="s">
        <v>35</v>
      </c>
      <c r="AB59" s="3" t="s">
        <v>64</v>
      </c>
      <c r="AC59" s="4" t="s">
        <v>5053</v>
      </c>
      <c r="AD59" s="4" t="s">
        <v>2261</v>
      </c>
    </row>
    <row r="60" spans="1:30" ht="69.5" customHeight="1">
      <c r="A60" s="31" t="s">
        <v>294</v>
      </c>
      <c r="B60" s="3" t="s">
        <v>354</v>
      </c>
      <c r="C60" s="23" t="s">
        <v>24</v>
      </c>
      <c r="D60" s="3" t="s">
        <v>2659</v>
      </c>
      <c r="E60" s="4" t="s">
        <v>396</v>
      </c>
      <c r="F60" s="26" t="s">
        <v>28</v>
      </c>
      <c r="G60" s="11" t="s">
        <v>2276</v>
      </c>
      <c r="H60" s="3" t="s">
        <v>523</v>
      </c>
      <c r="I60" s="23"/>
      <c r="J60" s="77" t="s">
        <v>2276</v>
      </c>
      <c r="K60" s="77" t="s">
        <v>2276</v>
      </c>
      <c r="L60" s="77" t="s">
        <v>2276</v>
      </c>
      <c r="M60" s="21" t="s">
        <v>2276</v>
      </c>
      <c r="N60" s="77" t="s">
        <v>2276</v>
      </c>
      <c r="O60" s="77" t="s">
        <v>2276</v>
      </c>
      <c r="P60" s="77" t="s">
        <v>2276</v>
      </c>
      <c r="Q60" s="21" t="s">
        <v>2276</v>
      </c>
      <c r="R60" s="21" t="s">
        <v>2276</v>
      </c>
      <c r="S60" s="77" t="s">
        <v>2276</v>
      </c>
      <c r="T60" s="77" t="s">
        <v>2276</v>
      </c>
      <c r="U60" s="87" t="s">
        <v>2276</v>
      </c>
      <c r="V60" s="87" t="s">
        <v>2276</v>
      </c>
      <c r="W60" s="87" t="s">
        <v>2276</v>
      </c>
      <c r="X60" s="87" t="s">
        <v>2276</v>
      </c>
      <c r="Y60" s="87" t="s">
        <v>2276</v>
      </c>
      <c r="Z60" s="3" t="s">
        <v>75</v>
      </c>
      <c r="AA60" s="3" t="s">
        <v>35</v>
      </c>
      <c r="AB60" s="3" t="s">
        <v>64</v>
      </c>
      <c r="AC60" s="4" t="s">
        <v>5053</v>
      </c>
      <c r="AD60" s="4" t="s">
        <v>2261</v>
      </c>
    </row>
    <row r="61" spans="1:30" ht="69.5" customHeight="1">
      <c r="A61" s="31" t="s">
        <v>295</v>
      </c>
      <c r="B61" s="3" t="s">
        <v>355</v>
      </c>
      <c r="C61" s="23" t="s">
        <v>24</v>
      </c>
      <c r="D61" s="3" t="s">
        <v>2659</v>
      </c>
      <c r="E61" s="4" t="s">
        <v>396</v>
      </c>
      <c r="F61" s="26" t="s">
        <v>28</v>
      </c>
      <c r="G61" s="11" t="s">
        <v>2276</v>
      </c>
      <c r="H61" s="3" t="s">
        <v>523</v>
      </c>
      <c r="I61" s="23"/>
      <c r="J61" s="77" t="s">
        <v>2276</v>
      </c>
      <c r="K61" s="77" t="s">
        <v>2276</v>
      </c>
      <c r="L61" s="77" t="s">
        <v>2276</v>
      </c>
      <c r="M61" s="21" t="s">
        <v>2276</v>
      </c>
      <c r="N61" s="77" t="s">
        <v>2276</v>
      </c>
      <c r="O61" s="77" t="s">
        <v>2276</v>
      </c>
      <c r="P61" s="77" t="s">
        <v>2276</v>
      </c>
      <c r="Q61" s="21" t="s">
        <v>2276</v>
      </c>
      <c r="R61" s="21" t="s">
        <v>2276</v>
      </c>
      <c r="S61" s="77" t="s">
        <v>2276</v>
      </c>
      <c r="T61" s="77" t="s">
        <v>2276</v>
      </c>
      <c r="U61" s="87" t="s">
        <v>2276</v>
      </c>
      <c r="V61" s="87" t="s">
        <v>2276</v>
      </c>
      <c r="W61" s="87" t="s">
        <v>2276</v>
      </c>
      <c r="X61" s="87" t="s">
        <v>2276</v>
      </c>
      <c r="Y61" s="87" t="s">
        <v>2276</v>
      </c>
      <c r="Z61" s="3" t="s">
        <v>75</v>
      </c>
      <c r="AA61" s="3" t="s">
        <v>35</v>
      </c>
      <c r="AB61" s="3" t="s">
        <v>64</v>
      </c>
      <c r="AC61" s="4" t="s">
        <v>5053</v>
      </c>
      <c r="AD61" s="4" t="s">
        <v>2261</v>
      </c>
    </row>
    <row r="62" spans="1:30" ht="69.5" customHeight="1">
      <c r="A62" s="31" t="s">
        <v>296</v>
      </c>
      <c r="B62" s="3" t="s">
        <v>356</v>
      </c>
      <c r="C62" s="23" t="s">
        <v>24</v>
      </c>
      <c r="D62" s="3" t="s">
        <v>2659</v>
      </c>
      <c r="E62" s="4" t="s">
        <v>396</v>
      </c>
      <c r="F62" s="26" t="s">
        <v>28</v>
      </c>
      <c r="G62" s="11" t="s">
        <v>2276</v>
      </c>
      <c r="H62" s="3" t="s">
        <v>523</v>
      </c>
      <c r="I62" s="23"/>
      <c r="J62" s="77" t="s">
        <v>2276</v>
      </c>
      <c r="K62" s="77" t="s">
        <v>2276</v>
      </c>
      <c r="L62" s="77" t="s">
        <v>2276</v>
      </c>
      <c r="M62" s="21" t="s">
        <v>2276</v>
      </c>
      <c r="N62" s="77" t="s">
        <v>2276</v>
      </c>
      <c r="O62" s="77" t="s">
        <v>2276</v>
      </c>
      <c r="P62" s="77" t="s">
        <v>2276</v>
      </c>
      <c r="Q62" s="21" t="s">
        <v>2276</v>
      </c>
      <c r="R62" s="21" t="s">
        <v>2276</v>
      </c>
      <c r="S62" s="77" t="s">
        <v>2276</v>
      </c>
      <c r="T62" s="77" t="s">
        <v>2276</v>
      </c>
      <c r="U62" s="87" t="s">
        <v>2276</v>
      </c>
      <c r="V62" s="87" t="s">
        <v>2276</v>
      </c>
      <c r="W62" s="87" t="s">
        <v>2276</v>
      </c>
      <c r="X62" s="87" t="s">
        <v>2276</v>
      </c>
      <c r="Y62" s="87" t="s">
        <v>2276</v>
      </c>
      <c r="Z62" s="3" t="s">
        <v>75</v>
      </c>
      <c r="AA62" s="3" t="s">
        <v>35</v>
      </c>
      <c r="AB62" s="3" t="s">
        <v>64</v>
      </c>
      <c r="AC62" s="4" t="s">
        <v>5053</v>
      </c>
      <c r="AD62" s="4" t="s">
        <v>2261</v>
      </c>
    </row>
    <row r="63" spans="1:30" ht="69.5" customHeight="1">
      <c r="A63" s="31" t="s">
        <v>297</v>
      </c>
      <c r="B63" s="3" t="s">
        <v>357</v>
      </c>
      <c r="C63" s="23" t="s">
        <v>24</v>
      </c>
      <c r="D63" s="3" t="s">
        <v>2659</v>
      </c>
      <c r="E63" s="4" t="s">
        <v>396</v>
      </c>
      <c r="F63" s="26" t="s">
        <v>28</v>
      </c>
      <c r="G63" s="11" t="s">
        <v>2276</v>
      </c>
      <c r="H63" s="3" t="s">
        <v>523</v>
      </c>
      <c r="I63" s="23"/>
      <c r="J63" s="77" t="s">
        <v>2276</v>
      </c>
      <c r="K63" s="77" t="s">
        <v>2276</v>
      </c>
      <c r="L63" s="77" t="s">
        <v>2276</v>
      </c>
      <c r="M63" s="21" t="s">
        <v>2276</v>
      </c>
      <c r="N63" s="77" t="s">
        <v>2276</v>
      </c>
      <c r="O63" s="77" t="s">
        <v>2276</v>
      </c>
      <c r="P63" s="77" t="s">
        <v>2276</v>
      </c>
      <c r="Q63" s="21" t="s">
        <v>2276</v>
      </c>
      <c r="R63" s="21" t="s">
        <v>2276</v>
      </c>
      <c r="S63" s="77" t="s">
        <v>2276</v>
      </c>
      <c r="T63" s="77" t="s">
        <v>2276</v>
      </c>
      <c r="U63" s="87" t="s">
        <v>2276</v>
      </c>
      <c r="V63" s="87" t="s">
        <v>2276</v>
      </c>
      <c r="W63" s="87" t="s">
        <v>2276</v>
      </c>
      <c r="X63" s="87" t="s">
        <v>2276</v>
      </c>
      <c r="Y63" s="87" t="s">
        <v>2276</v>
      </c>
      <c r="Z63" s="3" t="s">
        <v>75</v>
      </c>
      <c r="AA63" s="3" t="s">
        <v>35</v>
      </c>
      <c r="AB63" s="3" t="s">
        <v>64</v>
      </c>
      <c r="AC63" s="4" t="s">
        <v>5053</v>
      </c>
      <c r="AD63" s="4" t="s">
        <v>2261</v>
      </c>
    </row>
    <row r="64" spans="1:30" ht="69.5" customHeight="1">
      <c r="A64" s="31" t="s">
        <v>298</v>
      </c>
      <c r="B64" s="3" t="s">
        <v>358</v>
      </c>
      <c r="C64" s="23" t="s">
        <v>24</v>
      </c>
      <c r="D64" s="3" t="s">
        <v>2659</v>
      </c>
      <c r="E64" s="4" t="s">
        <v>396</v>
      </c>
      <c r="F64" s="26" t="s">
        <v>28</v>
      </c>
      <c r="G64" s="11" t="s">
        <v>2276</v>
      </c>
      <c r="H64" s="3" t="s">
        <v>523</v>
      </c>
      <c r="I64" s="23"/>
      <c r="J64" s="77" t="s">
        <v>2276</v>
      </c>
      <c r="K64" s="77" t="s">
        <v>2276</v>
      </c>
      <c r="L64" s="77" t="s">
        <v>2276</v>
      </c>
      <c r="M64" s="21" t="s">
        <v>2276</v>
      </c>
      <c r="N64" s="77" t="s">
        <v>2276</v>
      </c>
      <c r="O64" s="77" t="s">
        <v>2276</v>
      </c>
      <c r="P64" s="77" t="s">
        <v>2276</v>
      </c>
      <c r="Q64" s="21" t="s">
        <v>2276</v>
      </c>
      <c r="R64" s="21" t="s">
        <v>2276</v>
      </c>
      <c r="S64" s="77" t="s">
        <v>2276</v>
      </c>
      <c r="T64" s="77" t="s">
        <v>2276</v>
      </c>
      <c r="U64" s="87" t="s">
        <v>2276</v>
      </c>
      <c r="V64" s="87" t="s">
        <v>2276</v>
      </c>
      <c r="W64" s="87" t="s">
        <v>2276</v>
      </c>
      <c r="X64" s="87" t="s">
        <v>2276</v>
      </c>
      <c r="Y64" s="87" t="s">
        <v>2276</v>
      </c>
      <c r="Z64" s="3" t="s">
        <v>75</v>
      </c>
      <c r="AA64" s="3" t="s">
        <v>35</v>
      </c>
      <c r="AB64" s="3" t="s">
        <v>64</v>
      </c>
      <c r="AC64" s="4" t="s">
        <v>5053</v>
      </c>
      <c r="AD64" s="4" t="s">
        <v>2261</v>
      </c>
    </row>
    <row r="65" spans="1:30" ht="69.5" customHeight="1">
      <c r="A65" s="31" t="s">
        <v>299</v>
      </c>
      <c r="B65" s="3" t="s">
        <v>359</v>
      </c>
      <c r="C65" s="23" t="s">
        <v>24</v>
      </c>
      <c r="D65" s="3" t="s">
        <v>2659</v>
      </c>
      <c r="E65" s="4" t="s">
        <v>396</v>
      </c>
      <c r="F65" s="26" t="s">
        <v>28</v>
      </c>
      <c r="G65" s="11" t="s">
        <v>2276</v>
      </c>
      <c r="H65" s="3" t="s">
        <v>523</v>
      </c>
      <c r="I65" s="23"/>
      <c r="J65" s="77" t="s">
        <v>2276</v>
      </c>
      <c r="K65" s="77" t="s">
        <v>2276</v>
      </c>
      <c r="L65" s="77" t="s">
        <v>2276</v>
      </c>
      <c r="M65" s="21" t="s">
        <v>2276</v>
      </c>
      <c r="N65" s="77" t="s">
        <v>2276</v>
      </c>
      <c r="O65" s="77" t="s">
        <v>2276</v>
      </c>
      <c r="P65" s="77" t="s">
        <v>2276</v>
      </c>
      <c r="Q65" s="21" t="s">
        <v>2276</v>
      </c>
      <c r="R65" s="21" t="s">
        <v>2276</v>
      </c>
      <c r="S65" s="77" t="s">
        <v>2276</v>
      </c>
      <c r="T65" s="77" t="s">
        <v>2276</v>
      </c>
      <c r="U65" s="87" t="s">
        <v>2276</v>
      </c>
      <c r="V65" s="87" t="s">
        <v>2276</v>
      </c>
      <c r="W65" s="87" t="s">
        <v>2276</v>
      </c>
      <c r="X65" s="87" t="s">
        <v>2276</v>
      </c>
      <c r="Y65" s="87" t="s">
        <v>2276</v>
      </c>
      <c r="Z65" s="3" t="s">
        <v>75</v>
      </c>
      <c r="AA65" s="3" t="s">
        <v>35</v>
      </c>
      <c r="AB65" s="3" t="s">
        <v>64</v>
      </c>
      <c r="AC65" s="4" t="s">
        <v>5053</v>
      </c>
      <c r="AD65" s="4" t="s">
        <v>2261</v>
      </c>
    </row>
    <row r="66" spans="1:30" ht="69.5" customHeight="1">
      <c r="A66" s="31" t="s">
        <v>300</v>
      </c>
      <c r="B66" s="3" t="s">
        <v>360</v>
      </c>
      <c r="C66" s="23" t="s">
        <v>24</v>
      </c>
      <c r="D66" s="3" t="s">
        <v>2659</v>
      </c>
      <c r="E66" s="4" t="s">
        <v>396</v>
      </c>
      <c r="F66" s="26" t="s">
        <v>28</v>
      </c>
      <c r="G66" s="11" t="s">
        <v>2276</v>
      </c>
      <c r="H66" s="3" t="s">
        <v>523</v>
      </c>
      <c r="I66" s="23"/>
      <c r="J66" s="77" t="s">
        <v>2276</v>
      </c>
      <c r="K66" s="77" t="s">
        <v>2276</v>
      </c>
      <c r="L66" s="77" t="s">
        <v>2276</v>
      </c>
      <c r="M66" s="21" t="s">
        <v>2276</v>
      </c>
      <c r="N66" s="77" t="s">
        <v>2276</v>
      </c>
      <c r="O66" s="77" t="s">
        <v>2276</v>
      </c>
      <c r="P66" s="77" t="s">
        <v>2276</v>
      </c>
      <c r="Q66" s="21" t="s">
        <v>2276</v>
      </c>
      <c r="R66" s="21" t="s">
        <v>2276</v>
      </c>
      <c r="S66" s="77" t="s">
        <v>2276</v>
      </c>
      <c r="T66" s="77" t="s">
        <v>2276</v>
      </c>
      <c r="U66" s="87" t="s">
        <v>2276</v>
      </c>
      <c r="V66" s="87" t="s">
        <v>2276</v>
      </c>
      <c r="W66" s="87" t="s">
        <v>2276</v>
      </c>
      <c r="X66" s="87" t="s">
        <v>2276</v>
      </c>
      <c r="Y66" s="87" t="s">
        <v>2276</v>
      </c>
      <c r="Z66" s="3" t="s">
        <v>75</v>
      </c>
      <c r="AA66" s="3" t="s">
        <v>35</v>
      </c>
      <c r="AB66" s="3" t="s">
        <v>64</v>
      </c>
      <c r="AC66" s="4" t="s">
        <v>5053</v>
      </c>
      <c r="AD66" s="4" t="s">
        <v>2261</v>
      </c>
    </row>
    <row r="67" spans="1:30" ht="69.5" customHeight="1">
      <c r="A67" s="31" t="s">
        <v>301</v>
      </c>
      <c r="B67" s="3" t="s">
        <v>361</v>
      </c>
      <c r="C67" s="23" t="s">
        <v>24</v>
      </c>
      <c r="D67" s="3" t="s">
        <v>2659</v>
      </c>
      <c r="E67" s="4" t="s">
        <v>396</v>
      </c>
      <c r="F67" s="26" t="s">
        <v>28</v>
      </c>
      <c r="G67" s="11" t="s">
        <v>2276</v>
      </c>
      <c r="H67" s="3" t="s">
        <v>523</v>
      </c>
      <c r="I67" s="23"/>
      <c r="J67" s="77" t="s">
        <v>2276</v>
      </c>
      <c r="K67" s="77" t="s">
        <v>2276</v>
      </c>
      <c r="L67" s="77" t="s">
        <v>2276</v>
      </c>
      <c r="M67" s="21" t="s">
        <v>2276</v>
      </c>
      <c r="N67" s="77" t="s">
        <v>2276</v>
      </c>
      <c r="O67" s="77" t="s">
        <v>2276</v>
      </c>
      <c r="P67" s="77" t="s">
        <v>2276</v>
      </c>
      <c r="Q67" s="21" t="s">
        <v>2276</v>
      </c>
      <c r="R67" s="21" t="s">
        <v>2276</v>
      </c>
      <c r="S67" s="77" t="s">
        <v>2276</v>
      </c>
      <c r="T67" s="77" t="s">
        <v>2276</v>
      </c>
      <c r="U67" s="87" t="s">
        <v>2276</v>
      </c>
      <c r="V67" s="87" t="s">
        <v>2276</v>
      </c>
      <c r="W67" s="87" t="s">
        <v>2276</v>
      </c>
      <c r="X67" s="87" t="s">
        <v>2276</v>
      </c>
      <c r="Y67" s="87" t="s">
        <v>2276</v>
      </c>
      <c r="Z67" s="3" t="s">
        <v>75</v>
      </c>
      <c r="AA67" s="3" t="s">
        <v>35</v>
      </c>
      <c r="AB67" s="3" t="s">
        <v>64</v>
      </c>
      <c r="AC67" s="4" t="s">
        <v>5053</v>
      </c>
      <c r="AD67" s="4" t="s">
        <v>2261</v>
      </c>
    </row>
    <row r="68" spans="1:30" ht="69.5" customHeight="1">
      <c r="A68" s="31" t="s">
        <v>302</v>
      </c>
      <c r="B68" s="3" t="s">
        <v>362</v>
      </c>
      <c r="C68" s="23" t="s">
        <v>24</v>
      </c>
      <c r="D68" s="3" t="s">
        <v>2659</v>
      </c>
      <c r="E68" s="4" t="s">
        <v>396</v>
      </c>
      <c r="F68" s="26" t="s">
        <v>28</v>
      </c>
      <c r="G68" s="11" t="s">
        <v>2276</v>
      </c>
      <c r="H68" s="3" t="s">
        <v>523</v>
      </c>
      <c r="I68" s="23"/>
      <c r="J68" s="77" t="s">
        <v>2276</v>
      </c>
      <c r="K68" s="77" t="s">
        <v>2276</v>
      </c>
      <c r="L68" s="77" t="s">
        <v>2276</v>
      </c>
      <c r="M68" s="21" t="s">
        <v>2276</v>
      </c>
      <c r="N68" s="77" t="s">
        <v>2276</v>
      </c>
      <c r="O68" s="77" t="s">
        <v>2276</v>
      </c>
      <c r="P68" s="77" t="s">
        <v>2276</v>
      </c>
      <c r="Q68" s="21" t="s">
        <v>2276</v>
      </c>
      <c r="R68" s="21" t="s">
        <v>2276</v>
      </c>
      <c r="S68" s="77" t="s">
        <v>2276</v>
      </c>
      <c r="T68" s="77" t="s">
        <v>2276</v>
      </c>
      <c r="U68" s="87" t="s">
        <v>2276</v>
      </c>
      <c r="V68" s="87" t="s">
        <v>2276</v>
      </c>
      <c r="W68" s="87" t="s">
        <v>2276</v>
      </c>
      <c r="X68" s="87" t="s">
        <v>2276</v>
      </c>
      <c r="Y68" s="87" t="s">
        <v>2276</v>
      </c>
      <c r="Z68" s="3" t="s">
        <v>75</v>
      </c>
      <c r="AA68" s="3" t="s">
        <v>35</v>
      </c>
      <c r="AB68" s="3" t="s">
        <v>64</v>
      </c>
      <c r="AC68" s="4" t="s">
        <v>5053</v>
      </c>
      <c r="AD68" s="4" t="s">
        <v>2261</v>
      </c>
    </row>
    <row r="69" spans="1:30" ht="69.5" customHeight="1">
      <c r="A69" s="31" t="s">
        <v>303</v>
      </c>
      <c r="B69" s="3" t="s">
        <v>363</v>
      </c>
      <c r="C69" s="23" t="s">
        <v>24</v>
      </c>
      <c r="D69" s="3" t="s">
        <v>2659</v>
      </c>
      <c r="E69" s="4" t="s">
        <v>396</v>
      </c>
      <c r="F69" s="26" t="s">
        <v>28</v>
      </c>
      <c r="G69" s="11" t="s">
        <v>2276</v>
      </c>
      <c r="H69" s="3" t="s">
        <v>523</v>
      </c>
      <c r="I69" s="23"/>
      <c r="J69" s="77" t="s">
        <v>2276</v>
      </c>
      <c r="K69" s="77" t="s">
        <v>2276</v>
      </c>
      <c r="L69" s="77" t="s">
        <v>2276</v>
      </c>
      <c r="M69" s="21" t="s">
        <v>2276</v>
      </c>
      <c r="N69" s="77" t="s">
        <v>2276</v>
      </c>
      <c r="O69" s="77" t="s">
        <v>2276</v>
      </c>
      <c r="P69" s="77" t="s">
        <v>2276</v>
      </c>
      <c r="Q69" s="21" t="s">
        <v>2276</v>
      </c>
      <c r="R69" s="21" t="s">
        <v>2276</v>
      </c>
      <c r="S69" s="77" t="s">
        <v>2276</v>
      </c>
      <c r="T69" s="77" t="s">
        <v>2276</v>
      </c>
      <c r="U69" s="87" t="s">
        <v>2276</v>
      </c>
      <c r="V69" s="87" t="s">
        <v>2276</v>
      </c>
      <c r="W69" s="87" t="s">
        <v>2276</v>
      </c>
      <c r="X69" s="87" t="s">
        <v>2276</v>
      </c>
      <c r="Y69" s="87" t="s">
        <v>2276</v>
      </c>
      <c r="Z69" s="3" t="s">
        <v>75</v>
      </c>
      <c r="AA69" s="3" t="s">
        <v>35</v>
      </c>
      <c r="AB69" s="3" t="s">
        <v>64</v>
      </c>
      <c r="AC69" s="4" t="s">
        <v>5053</v>
      </c>
      <c r="AD69" s="4" t="s">
        <v>2261</v>
      </c>
    </row>
    <row r="70" spans="1:30" ht="69.5" customHeight="1">
      <c r="A70" s="31" t="s">
        <v>304</v>
      </c>
      <c r="B70" s="3" t="s">
        <v>364</v>
      </c>
      <c r="C70" s="23" t="s">
        <v>24</v>
      </c>
      <c r="D70" s="3" t="s">
        <v>2659</v>
      </c>
      <c r="E70" s="4" t="s">
        <v>396</v>
      </c>
      <c r="F70" s="26" t="s">
        <v>28</v>
      </c>
      <c r="G70" s="11" t="s">
        <v>2276</v>
      </c>
      <c r="H70" s="3" t="s">
        <v>523</v>
      </c>
      <c r="I70" s="23"/>
      <c r="J70" s="77" t="s">
        <v>2276</v>
      </c>
      <c r="K70" s="77" t="s">
        <v>2276</v>
      </c>
      <c r="L70" s="77" t="s">
        <v>2276</v>
      </c>
      <c r="M70" s="21" t="s">
        <v>2276</v>
      </c>
      <c r="N70" s="77" t="s">
        <v>2276</v>
      </c>
      <c r="O70" s="77" t="s">
        <v>2276</v>
      </c>
      <c r="P70" s="77" t="s">
        <v>2276</v>
      </c>
      <c r="Q70" s="21" t="s">
        <v>2276</v>
      </c>
      <c r="R70" s="21" t="s">
        <v>2276</v>
      </c>
      <c r="S70" s="77" t="s">
        <v>2276</v>
      </c>
      <c r="T70" s="77" t="s">
        <v>2276</v>
      </c>
      <c r="U70" s="87" t="s">
        <v>2276</v>
      </c>
      <c r="V70" s="87" t="s">
        <v>2276</v>
      </c>
      <c r="W70" s="87" t="s">
        <v>2276</v>
      </c>
      <c r="X70" s="87" t="s">
        <v>2276</v>
      </c>
      <c r="Y70" s="87" t="s">
        <v>2276</v>
      </c>
      <c r="Z70" s="3" t="s">
        <v>75</v>
      </c>
      <c r="AA70" s="3" t="s">
        <v>35</v>
      </c>
      <c r="AB70" s="3" t="s">
        <v>64</v>
      </c>
      <c r="AC70" s="4" t="s">
        <v>5053</v>
      </c>
      <c r="AD70" s="4" t="s">
        <v>2261</v>
      </c>
    </row>
    <row r="71" spans="1:30" ht="69.5" customHeight="1">
      <c r="A71" s="31" t="s">
        <v>305</v>
      </c>
      <c r="B71" s="3" t="s">
        <v>365</v>
      </c>
      <c r="C71" s="23" t="s">
        <v>24</v>
      </c>
      <c r="D71" s="3" t="s">
        <v>2659</v>
      </c>
      <c r="E71" s="4" t="s">
        <v>396</v>
      </c>
      <c r="F71" s="26" t="s">
        <v>28</v>
      </c>
      <c r="G71" s="11" t="s">
        <v>2276</v>
      </c>
      <c r="H71" s="3" t="s">
        <v>523</v>
      </c>
      <c r="I71" s="23"/>
      <c r="J71" s="77" t="s">
        <v>2276</v>
      </c>
      <c r="K71" s="77" t="s">
        <v>2276</v>
      </c>
      <c r="L71" s="77" t="s">
        <v>2276</v>
      </c>
      <c r="M71" s="21" t="s">
        <v>2276</v>
      </c>
      <c r="N71" s="77" t="s">
        <v>2276</v>
      </c>
      <c r="O71" s="77" t="s">
        <v>2276</v>
      </c>
      <c r="P71" s="77" t="s">
        <v>2276</v>
      </c>
      <c r="Q71" s="21" t="s">
        <v>2276</v>
      </c>
      <c r="R71" s="21" t="s">
        <v>2276</v>
      </c>
      <c r="S71" s="77" t="s">
        <v>2276</v>
      </c>
      <c r="T71" s="77" t="s">
        <v>2276</v>
      </c>
      <c r="U71" s="87" t="s">
        <v>2276</v>
      </c>
      <c r="V71" s="87" t="s">
        <v>2276</v>
      </c>
      <c r="W71" s="87" t="s">
        <v>2276</v>
      </c>
      <c r="X71" s="87" t="s">
        <v>2276</v>
      </c>
      <c r="Y71" s="87" t="s">
        <v>2276</v>
      </c>
      <c r="Z71" s="3" t="s">
        <v>75</v>
      </c>
      <c r="AA71" s="3" t="s">
        <v>35</v>
      </c>
      <c r="AB71" s="3" t="s">
        <v>64</v>
      </c>
      <c r="AC71" s="4" t="s">
        <v>5053</v>
      </c>
      <c r="AD71" s="4" t="s">
        <v>2261</v>
      </c>
    </row>
    <row r="72" spans="1:30" ht="69.5" customHeight="1">
      <c r="A72" s="31" t="s">
        <v>306</v>
      </c>
      <c r="B72" s="3" t="s">
        <v>366</v>
      </c>
      <c r="C72" s="23" t="s">
        <v>24</v>
      </c>
      <c r="D72" s="3" t="s">
        <v>2659</v>
      </c>
      <c r="E72" s="4" t="s">
        <v>396</v>
      </c>
      <c r="F72" s="26" t="s">
        <v>28</v>
      </c>
      <c r="G72" s="11" t="s">
        <v>2276</v>
      </c>
      <c r="H72" s="3" t="s">
        <v>523</v>
      </c>
      <c r="I72" s="23"/>
      <c r="J72" s="77" t="s">
        <v>2276</v>
      </c>
      <c r="K72" s="77" t="s">
        <v>2276</v>
      </c>
      <c r="L72" s="77" t="s">
        <v>2276</v>
      </c>
      <c r="M72" s="21" t="s">
        <v>2276</v>
      </c>
      <c r="N72" s="77" t="s">
        <v>2276</v>
      </c>
      <c r="O72" s="77" t="s">
        <v>2276</v>
      </c>
      <c r="P72" s="77" t="s">
        <v>2276</v>
      </c>
      <c r="Q72" s="21" t="s">
        <v>2276</v>
      </c>
      <c r="R72" s="21" t="s">
        <v>2276</v>
      </c>
      <c r="S72" s="77" t="s">
        <v>2276</v>
      </c>
      <c r="T72" s="77" t="s">
        <v>2276</v>
      </c>
      <c r="U72" s="87" t="s">
        <v>2276</v>
      </c>
      <c r="V72" s="87" t="s">
        <v>2276</v>
      </c>
      <c r="W72" s="87" t="s">
        <v>2276</v>
      </c>
      <c r="X72" s="87" t="s">
        <v>2276</v>
      </c>
      <c r="Y72" s="87" t="s">
        <v>2276</v>
      </c>
      <c r="Z72" s="3" t="s">
        <v>75</v>
      </c>
      <c r="AA72" s="3" t="s">
        <v>35</v>
      </c>
      <c r="AB72" s="3" t="s">
        <v>64</v>
      </c>
      <c r="AC72" s="4" t="s">
        <v>5053</v>
      </c>
      <c r="AD72" s="4" t="s">
        <v>2261</v>
      </c>
    </row>
    <row r="73" spans="1:30" ht="69.5" customHeight="1">
      <c r="A73" s="31" t="s">
        <v>307</v>
      </c>
      <c r="B73" s="3" t="s">
        <v>367</v>
      </c>
      <c r="C73" s="23" t="s">
        <v>24</v>
      </c>
      <c r="D73" s="3" t="s">
        <v>2659</v>
      </c>
      <c r="E73" s="4" t="s">
        <v>396</v>
      </c>
      <c r="F73" s="26" t="s">
        <v>28</v>
      </c>
      <c r="G73" s="11" t="s">
        <v>2276</v>
      </c>
      <c r="H73" s="3" t="s">
        <v>523</v>
      </c>
      <c r="I73" s="23"/>
      <c r="J73" s="77" t="s">
        <v>2276</v>
      </c>
      <c r="K73" s="77" t="s">
        <v>2276</v>
      </c>
      <c r="L73" s="77" t="s">
        <v>2276</v>
      </c>
      <c r="M73" s="21" t="s">
        <v>2276</v>
      </c>
      <c r="N73" s="77" t="s">
        <v>2276</v>
      </c>
      <c r="O73" s="77" t="s">
        <v>2276</v>
      </c>
      <c r="P73" s="77" t="s">
        <v>2276</v>
      </c>
      <c r="Q73" s="21" t="s">
        <v>2276</v>
      </c>
      <c r="R73" s="21" t="s">
        <v>2276</v>
      </c>
      <c r="S73" s="77" t="s">
        <v>2276</v>
      </c>
      <c r="T73" s="77" t="s">
        <v>2276</v>
      </c>
      <c r="U73" s="87" t="s">
        <v>2276</v>
      </c>
      <c r="V73" s="87" t="s">
        <v>2276</v>
      </c>
      <c r="W73" s="87" t="s">
        <v>2276</v>
      </c>
      <c r="X73" s="87" t="s">
        <v>2276</v>
      </c>
      <c r="Y73" s="87" t="s">
        <v>2276</v>
      </c>
      <c r="Z73" s="3" t="s">
        <v>75</v>
      </c>
      <c r="AA73" s="3" t="s">
        <v>35</v>
      </c>
      <c r="AB73" s="3" t="s">
        <v>64</v>
      </c>
      <c r="AC73" s="4" t="s">
        <v>5053</v>
      </c>
      <c r="AD73" s="4" t="s">
        <v>2261</v>
      </c>
    </row>
    <row r="74" spans="1:30" ht="69.5" customHeight="1">
      <c r="A74" s="31" t="s">
        <v>308</v>
      </c>
      <c r="B74" s="3" t="s">
        <v>368</v>
      </c>
      <c r="C74" s="23" t="s">
        <v>24</v>
      </c>
      <c r="D74" s="3" t="s">
        <v>2659</v>
      </c>
      <c r="E74" s="4" t="s">
        <v>396</v>
      </c>
      <c r="F74" s="26" t="s">
        <v>28</v>
      </c>
      <c r="G74" s="11" t="s">
        <v>2276</v>
      </c>
      <c r="H74" s="3" t="s">
        <v>523</v>
      </c>
      <c r="I74" s="23"/>
      <c r="J74" s="77" t="s">
        <v>2276</v>
      </c>
      <c r="K74" s="77" t="s">
        <v>2276</v>
      </c>
      <c r="L74" s="77" t="s">
        <v>2276</v>
      </c>
      <c r="M74" s="21" t="s">
        <v>2276</v>
      </c>
      <c r="N74" s="77" t="s">
        <v>2276</v>
      </c>
      <c r="O74" s="77" t="s">
        <v>2276</v>
      </c>
      <c r="P74" s="77" t="s">
        <v>2276</v>
      </c>
      <c r="Q74" s="21" t="s">
        <v>2276</v>
      </c>
      <c r="R74" s="21" t="s">
        <v>2276</v>
      </c>
      <c r="S74" s="77" t="s">
        <v>2276</v>
      </c>
      <c r="T74" s="77" t="s">
        <v>2276</v>
      </c>
      <c r="U74" s="87" t="s">
        <v>2276</v>
      </c>
      <c r="V74" s="87" t="s">
        <v>2276</v>
      </c>
      <c r="W74" s="87" t="s">
        <v>2276</v>
      </c>
      <c r="X74" s="87" t="s">
        <v>2276</v>
      </c>
      <c r="Y74" s="87" t="s">
        <v>2276</v>
      </c>
      <c r="Z74" s="3" t="s">
        <v>75</v>
      </c>
      <c r="AA74" s="3" t="s">
        <v>35</v>
      </c>
      <c r="AB74" s="3" t="s">
        <v>64</v>
      </c>
      <c r="AC74" s="4" t="s">
        <v>5053</v>
      </c>
      <c r="AD74" s="4" t="s">
        <v>2261</v>
      </c>
    </row>
    <row r="75" spans="1:30" ht="69.5" customHeight="1">
      <c r="A75" s="31" t="s">
        <v>309</v>
      </c>
      <c r="B75" s="3" t="s">
        <v>369</v>
      </c>
      <c r="C75" s="23" t="s">
        <v>24</v>
      </c>
      <c r="D75" s="3" t="s">
        <v>2659</v>
      </c>
      <c r="E75" s="4" t="s">
        <v>396</v>
      </c>
      <c r="F75" s="26" t="s">
        <v>28</v>
      </c>
      <c r="G75" s="11" t="s">
        <v>2276</v>
      </c>
      <c r="H75" s="3" t="s">
        <v>523</v>
      </c>
      <c r="I75" s="23"/>
      <c r="J75" s="77" t="s">
        <v>2276</v>
      </c>
      <c r="K75" s="77" t="s">
        <v>2276</v>
      </c>
      <c r="L75" s="77" t="s">
        <v>2276</v>
      </c>
      <c r="M75" s="21" t="s">
        <v>2276</v>
      </c>
      <c r="N75" s="77" t="s">
        <v>2276</v>
      </c>
      <c r="O75" s="77" t="s">
        <v>2276</v>
      </c>
      <c r="P75" s="77" t="s">
        <v>2276</v>
      </c>
      <c r="Q75" s="21" t="s">
        <v>2276</v>
      </c>
      <c r="R75" s="21" t="s">
        <v>2276</v>
      </c>
      <c r="S75" s="77" t="s">
        <v>2276</v>
      </c>
      <c r="T75" s="77" t="s">
        <v>2276</v>
      </c>
      <c r="U75" s="87" t="s">
        <v>2276</v>
      </c>
      <c r="V75" s="87" t="s">
        <v>2276</v>
      </c>
      <c r="W75" s="87" t="s">
        <v>2276</v>
      </c>
      <c r="X75" s="87" t="s">
        <v>2276</v>
      </c>
      <c r="Y75" s="87" t="s">
        <v>2276</v>
      </c>
      <c r="Z75" s="3" t="s">
        <v>75</v>
      </c>
      <c r="AA75" s="3" t="s">
        <v>35</v>
      </c>
      <c r="AB75" s="3" t="s">
        <v>64</v>
      </c>
      <c r="AC75" s="4" t="s">
        <v>5053</v>
      </c>
      <c r="AD75" s="4" t="s">
        <v>2261</v>
      </c>
    </row>
    <row r="76" spans="1:30" ht="69.5" customHeight="1">
      <c r="A76" s="31" t="s">
        <v>310</v>
      </c>
      <c r="B76" s="3" t="s">
        <v>370</v>
      </c>
      <c r="C76" s="23" t="s">
        <v>24</v>
      </c>
      <c r="D76" s="3" t="s">
        <v>2659</v>
      </c>
      <c r="E76" s="4" t="s">
        <v>396</v>
      </c>
      <c r="F76" s="26" t="s">
        <v>28</v>
      </c>
      <c r="G76" s="11" t="s">
        <v>2276</v>
      </c>
      <c r="H76" s="3" t="s">
        <v>523</v>
      </c>
      <c r="I76" s="23"/>
      <c r="J76" s="77" t="s">
        <v>2276</v>
      </c>
      <c r="K76" s="77" t="s">
        <v>2276</v>
      </c>
      <c r="L76" s="77" t="s">
        <v>2276</v>
      </c>
      <c r="M76" s="21" t="s">
        <v>2276</v>
      </c>
      <c r="N76" s="77" t="s">
        <v>2276</v>
      </c>
      <c r="O76" s="77" t="s">
        <v>2276</v>
      </c>
      <c r="P76" s="77" t="s">
        <v>2276</v>
      </c>
      <c r="Q76" s="21" t="s">
        <v>2276</v>
      </c>
      <c r="R76" s="21" t="s">
        <v>2276</v>
      </c>
      <c r="S76" s="77" t="s">
        <v>2276</v>
      </c>
      <c r="T76" s="77" t="s">
        <v>2276</v>
      </c>
      <c r="U76" s="87" t="s">
        <v>2276</v>
      </c>
      <c r="V76" s="87" t="s">
        <v>2276</v>
      </c>
      <c r="W76" s="87" t="s">
        <v>2276</v>
      </c>
      <c r="X76" s="87" t="s">
        <v>2276</v>
      </c>
      <c r="Y76" s="87" t="s">
        <v>2276</v>
      </c>
      <c r="Z76" s="3" t="s">
        <v>75</v>
      </c>
      <c r="AA76" s="3" t="s">
        <v>35</v>
      </c>
      <c r="AB76" s="3" t="s">
        <v>64</v>
      </c>
      <c r="AC76" s="4" t="s">
        <v>5053</v>
      </c>
      <c r="AD76" s="4" t="s">
        <v>2261</v>
      </c>
    </row>
    <row r="77" spans="1:30" ht="69.5" customHeight="1">
      <c r="A77" s="31" t="s">
        <v>311</v>
      </c>
      <c r="B77" s="3" t="s">
        <v>371</v>
      </c>
      <c r="C77" s="23" t="s">
        <v>24</v>
      </c>
      <c r="D77" s="3" t="s">
        <v>2659</v>
      </c>
      <c r="E77" s="4" t="s">
        <v>396</v>
      </c>
      <c r="F77" s="26" t="s">
        <v>28</v>
      </c>
      <c r="G77" s="11" t="s">
        <v>2276</v>
      </c>
      <c r="H77" s="3" t="s">
        <v>523</v>
      </c>
      <c r="I77" s="23"/>
      <c r="J77" s="77" t="s">
        <v>2276</v>
      </c>
      <c r="K77" s="77" t="s">
        <v>2276</v>
      </c>
      <c r="L77" s="77" t="s">
        <v>2276</v>
      </c>
      <c r="M77" s="21" t="s">
        <v>2276</v>
      </c>
      <c r="N77" s="77" t="s">
        <v>2276</v>
      </c>
      <c r="O77" s="77" t="s">
        <v>2276</v>
      </c>
      <c r="P77" s="77" t="s">
        <v>2276</v>
      </c>
      <c r="Q77" s="21" t="s">
        <v>2276</v>
      </c>
      <c r="R77" s="21" t="s">
        <v>2276</v>
      </c>
      <c r="S77" s="77" t="s">
        <v>2276</v>
      </c>
      <c r="T77" s="77" t="s">
        <v>2276</v>
      </c>
      <c r="U77" s="87" t="s">
        <v>2276</v>
      </c>
      <c r="V77" s="87" t="s">
        <v>2276</v>
      </c>
      <c r="W77" s="87" t="s">
        <v>2276</v>
      </c>
      <c r="X77" s="87" t="s">
        <v>2276</v>
      </c>
      <c r="Y77" s="87" t="s">
        <v>2276</v>
      </c>
      <c r="Z77" s="3" t="s">
        <v>75</v>
      </c>
      <c r="AA77" s="3" t="s">
        <v>35</v>
      </c>
      <c r="AB77" s="3" t="s">
        <v>64</v>
      </c>
      <c r="AC77" s="4" t="s">
        <v>5053</v>
      </c>
      <c r="AD77" s="4" t="s">
        <v>2261</v>
      </c>
    </row>
    <row r="78" spans="1:30" ht="69.5" customHeight="1">
      <c r="A78" s="31" t="s">
        <v>312</v>
      </c>
      <c r="B78" s="3" t="s">
        <v>372</v>
      </c>
      <c r="C78" s="23" t="s">
        <v>24</v>
      </c>
      <c r="D78" s="3" t="s">
        <v>2659</v>
      </c>
      <c r="E78" s="4" t="s">
        <v>396</v>
      </c>
      <c r="F78" s="26" t="s">
        <v>28</v>
      </c>
      <c r="G78" s="11" t="s">
        <v>2276</v>
      </c>
      <c r="H78" s="3" t="s">
        <v>523</v>
      </c>
      <c r="I78" s="23"/>
      <c r="J78" s="77" t="s">
        <v>2276</v>
      </c>
      <c r="K78" s="77" t="s">
        <v>2276</v>
      </c>
      <c r="L78" s="77" t="s">
        <v>2276</v>
      </c>
      <c r="M78" s="21" t="s">
        <v>2276</v>
      </c>
      <c r="N78" s="77" t="s">
        <v>2276</v>
      </c>
      <c r="O78" s="77" t="s">
        <v>2276</v>
      </c>
      <c r="P78" s="77" t="s">
        <v>2276</v>
      </c>
      <c r="Q78" s="21" t="s">
        <v>2276</v>
      </c>
      <c r="R78" s="21" t="s">
        <v>2276</v>
      </c>
      <c r="S78" s="77" t="s">
        <v>2276</v>
      </c>
      <c r="T78" s="77" t="s">
        <v>2276</v>
      </c>
      <c r="U78" s="87" t="s">
        <v>2276</v>
      </c>
      <c r="V78" s="87" t="s">
        <v>2276</v>
      </c>
      <c r="W78" s="87" t="s">
        <v>2276</v>
      </c>
      <c r="X78" s="87" t="s">
        <v>2276</v>
      </c>
      <c r="Y78" s="87" t="s">
        <v>2276</v>
      </c>
      <c r="Z78" s="3" t="s">
        <v>75</v>
      </c>
      <c r="AA78" s="3" t="s">
        <v>35</v>
      </c>
      <c r="AB78" s="3" t="s">
        <v>64</v>
      </c>
      <c r="AC78" s="4" t="s">
        <v>5053</v>
      </c>
      <c r="AD78" s="4" t="s">
        <v>2261</v>
      </c>
    </row>
    <row r="79" spans="1:30" ht="106" customHeight="1">
      <c r="A79" s="11" t="s">
        <v>94</v>
      </c>
      <c r="B79" s="3"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8" t="s">
        <v>2276</v>
      </c>
      <c r="U79" s="87" t="s">
        <v>2276</v>
      </c>
      <c r="V79" s="21" t="s">
        <v>2276</v>
      </c>
      <c r="W79" s="21" t="s">
        <v>2276</v>
      </c>
      <c r="X79" s="21" t="s">
        <v>2276</v>
      </c>
      <c r="Y79" s="87" t="s">
        <v>2276</v>
      </c>
      <c r="Z79" s="3" t="s">
        <v>75</v>
      </c>
      <c r="AA79" s="3" t="s">
        <v>35</v>
      </c>
      <c r="AB79" s="3" t="s">
        <v>64</v>
      </c>
      <c r="AC79" s="4" t="s">
        <v>1261</v>
      </c>
      <c r="AD79" s="4" t="s">
        <v>1269</v>
      </c>
    </row>
    <row r="80" spans="1:30" ht="100" customHeight="1">
      <c r="A80" s="11" t="s">
        <v>94</v>
      </c>
      <c r="B80" s="3"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8" t="s">
        <v>2276</v>
      </c>
      <c r="U80" s="87" t="s">
        <v>2276</v>
      </c>
      <c r="V80" s="21" t="s">
        <v>2276</v>
      </c>
      <c r="W80" s="21" t="s">
        <v>2276</v>
      </c>
      <c r="X80" s="21" t="s">
        <v>2276</v>
      </c>
      <c r="Y80" s="87" t="s">
        <v>2276</v>
      </c>
      <c r="Z80" s="3" t="s">
        <v>38</v>
      </c>
      <c r="AA80" s="3" t="s">
        <v>86</v>
      </c>
      <c r="AB80" s="3" t="s">
        <v>64</v>
      </c>
      <c r="AC80" s="4" t="s">
        <v>1262</v>
      </c>
      <c r="AD80" s="4" t="s">
        <v>1270</v>
      </c>
    </row>
    <row r="81" spans="1:30" ht="110" customHeight="1">
      <c r="A81" s="11" t="s">
        <v>94</v>
      </c>
      <c r="B81" s="3"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8" t="s">
        <v>2276</v>
      </c>
      <c r="U81" s="87" t="s">
        <v>2276</v>
      </c>
      <c r="V81" s="21" t="s">
        <v>2276</v>
      </c>
      <c r="W81" s="21" t="s">
        <v>2276</v>
      </c>
      <c r="X81" s="21" t="s">
        <v>2276</v>
      </c>
      <c r="Y81" s="87" t="s">
        <v>2276</v>
      </c>
      <c r="Z81" s="3" t="s">
        <v>75</v>
      </c>
      <c r="AA81" s="3" t="s">
        <v>35</v>
      </c>
      <c r="AB81" s="3" t="s">
        <v>64</v>
      </c>
      <c r="AC81" s="4" t="s">
        <v>1261</v>
      </c>
      <c r="AD81" s="4" t="s">
        <v>1271</v>
      </c>
    </row>
    <row r="82" spans="1:30" ht="100" customHeight="1">
      <c r="A82" s="11" t="s">
        <v>94</v>
      </c>
      <c r="B82" s="3"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8" t="s">
        <v>2276</v>
      </c>
      <c r="U82" s="87" t="s">
        <v>2276</v>
      </c>
      <c r="V82" s="21" t="s">
        <v>2276</v>
      </c>
      <c r="W82" s="21" t="s">
        <v>2276</v>
      </c>
      <c r="X82" s="21" t="s">
        <v>2276</v>
      </c>
      <c r="Y82" s="87" t="s">
        <v>2276</v>
      </c>
      <c r="Z82" s="3" t="s">
        <v>38</v>
      </c>
      <c r="AA82" s="3" t="s">
        <v>86</v>
      </c>
      <c r="AB82" s="3" t="s">
        <v>64</v>
      </c>
      <c r="AC82" s="4" t="s">
        <v>1262</v>
      </c>
      <c r="AD82" s="4" t="s">
        <v>1270</v>
      </c>
    </row>
    <row r="83" spans="1:30" ht="100" customHeight="1">
      <c r="A83" s="11" t="s">
        <v>1253</v>
      </c>
      <c r="B83" s="3"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8" t="s">
        <v>2276</v>
      </c>
      <c r="U83" s="87" t="s">
        <v>2276</v>
      </c>
      <c r="V83" s="21" t="s">
        <v>2276</v>
      </c>
      <c r="W83" s="21" t="s">
        <v>2276</v>
      </c>
      <c r="X83" s="21" t="s">
        <v>2276</v>
      </c>
      <c r="Y83" s="87" t="s">
        <v>2276</v>
      </c>
      <c r="Z83" s="3" t="s">
        <v>75</v>
      </c>
      <c r="AA83" s="3" t="s">
        <v>35</v>
      </c>
      <c r="AB83" s="3" t="s">
        <v>64</v>
      </c>
      <c r="AC83" s="4" t="s">
        <v>1261</v>
      </c>
      <c r="AD83" s="4" t="s">
        <v>1269</v>
      </c>
    </row>
    <row r="84" spans="1:30" ht="100" customHeight="1">
      <c r="A84" s="11" t="s">
        <v>1253</v>
      </c>
      <c r="B84" s="3"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8" t="s">
        <v>2276</v>
      </c>
      <c r="U84" s="87" t="s">
        <v>2276</v>
      </c>
      <c r="V84" s="21" t="s">
        <v>2276</v>
      </c>
      <c r="W84" s="21" t="s">
        <v>2276</v>
      </c>
      <c r="X84" s="21" t="s">
        <v>2276</v>
      </c>
      <c r="Y84" s="87" t="s">
        <v>2276</v>
      </c>
      <c r="Z84" s="3" t="s">
        <v>38</v>
      </c>
      <c r="AA84" s="3" t="s">
        <v>86</v>
      </c>
      <c r="AB84" s="3" t="s">
        <v>64</v>
      </c>
      <c r="AC84" s="4" t="s">
        <v>1262</v>
      </c>
      <c r="AD84" s="4" t="s">
        <v>1270</v>
      </c>
    </row>
    <row r="85" spans="1:30" ht="100" customHeight="1">
      <c r="A85" s="11" t="s">
        <v>1253</v>
      </c>
      <c r="B85" s="3"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8" t="s">
        <v>2276</v>
      </c>
      <c r="U85" s="87" t="s">
        <v>2276</v>
      </c>
      <c r="V85" s="21" t="s">
        <v>2276</v>
      </c>
      <c r="W85" s="21" t="s">
        <v>2276</v>
      </c>
      <c r="X85" s="21" t="s">
        <v>2276</v>
      </c>
      <c r="Y85" s="87" t="s">
        <v>2276</v>
      </c>
      <c r="Z85" s="3" t="s">
        <v>75</v>
      </c>
      <c r="AA85" s="3" t="s">
        <v>35</v>
      </c>
      <c r="AB85" s="3" t="s">
        <v>64</v>
      </c>
      <c r="AC85" s="4" t="s">
        <v>1261</v>
      </c>
      <c r="AD85" s="4" t="s">
        <v>1271</v>
      </c>
    </row>
    <row r="86" spans="1:30" ht="100" customHeight="1">
      <c r="A86" s="11" t="s">
        <v>1253</v>
      </c>
      <c r="B86" s="3"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8" t="s">
        <v>2276</v>
      </c>
      <c r="U86" s="87" t="s">
        <v>2276</v>
      </c>
      <c r="V86" s="21" t="s">
        <v>2276</v>
      </c>
      <c r="W86" s="21" t="s">
        <v>2276</v>
      </c>
      <c r="X86" s="21" t="s">
        <v>2276</v>
      </c>
      <c r="Y86" s="87" t="s">
        <v>2276</v>
      </c>
      <c r="Z86" s="3" t="s">
        <v>38</v>
      </c>
      <c r="AA86" s="3" t="s">
        <v>86</v>
      </c>
      <c r="AB86" s="3" t="s">
        <v>64</v>
      </c>
      <c r="AC86" s="4" t="s">
        <v>1262</v>
      </c>
      <c r="AD86" s="4" t="s">
        <v>1270</v>
      </c>
    </row>
    <row r="87" spans="1:30" ht="100" customHeight="1">
      <c r="A87" s="11" t="s">
        <v>1254</v>
      </c>
      <c r="B87" s="3"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8" t="s">
        <v>2276</v>
      </c>
      <c r="U87" s="87" t="s">
        <v>2276</v>
      </c>
      <c r="V87" s="21" t="s">
        <v>2276</v>
      </c>
      <c r="W87" s="21" t="s">
        <v>2276</v>
      </c>
      <c r="X87" s="21" t="s">
        <v>2276</v>
      </c>
      <c r="Y87" s="87" t="s">
        <v>2276</v>
      </c>
      <c r="Z87" s="3" t="s">
        <v>75</v>
      </c>
      <c r="AA87" s="3" t="s">
        <v>35</v>
      </c>
      <c r="AB87" s="3" t="s">
        <v>64</v>
      </c>
      <c r="AC87" s="4" t="s">
        <v>1261</v>
      </c>
      <c r="AD87" s="4" t="s">
        <v>1269</v>
      </c>
    </row>
    <row r="88" spans="1:30" ht="100" customHeight="1">
      <c r="A88" s="11" t="s">
        <v>1254</v>
      </c>
      <c r="B88" s="3"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8" t="s">
        <v>2276</v>
      </c>
      <c r="U88" s="87" t="s">
        <v>2276</v>
      </c>
      <c r="V88" s="21" t="s">
        <v>2276</v>
      </c>
      <c r="W88" s="21" t="s">
        <v>2276</v>
      </c>
      <c r="X88" s="21" t="s">
        <v>2276</v>
      </c>
      <c r="Y88" s="87" t="s">
        <v>2276</v>
      </c>
      <c r="Z88" s="3" t="s">
        <v>38</v>
      </c>
      <c r="AA88" s="3" t="s">
        <v>86</v>
      </c>
      <c r="AB88" s="3" t="s">
        <v>64</v>
      </c>
      <c r="AC88" s="4" t="s">
        <v>1262</v>
      </c>
      <c r="AD88" s="4" t="s">
        <v>1270</v>
      </c>
    </row>
    <row r="89" spans="1:30" ht="100" customHeight="1">
      <c r="A89" s="11" t="s">
        <v>1254</v>
      </c>
      <c r="B89" s="3"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8" t="s">
        <v>2276</v>
      </c>
      <c r="U89" s="87" t="s">
        <v>2276</v>
      </c>
      <c r="V89" s="21" t="s">
        <v>2276</v>
      </c>
      <c r="W89" s="21" t="s">
        <v>2276</v>
      </c>
      <c r="X89" s="21" t="s">
        <v>2276</v>
      </c>
      <c r="Y89" s="87" t="s">
        <v>2276</v>
      </c>
      <c r="Z89" s="3" t="s">
        <v>75</v>
      </c>
      <c r="AA89" s="3" t="s">
        <v>35</v>
      </c>
      <c r="AB89" s="3" t="s">
        <v>64</v>
      </c>
      <c r="AC89" s="4" t="s">
        <v>1261</v>
      </c>
      <c r="AD89" s="4" t="s">
        <v>1271</v>
      </c>
    </row>
    <row r="90" spans="1:30" ht="100" customHeight="1">
      <c r="A90" s="11" t="s">
        <v>1254</v>
      </c>
      <c r="B90" s="3"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8" t="s">
        <v>2276</v>
      </c>
      <c r="U90" s="87" t="s">
        <v>2276</v>
      </c>
      <c r="V90" s="21" t="s">
        <v>2276</v>
      </c>
      <c r="W90" s="21" t="s">
        <v>2276</v>
      </c>
      <c r="X90" s="21" t="s">
        <v>2276</v>
      </c>
      <c r="Y90" s="87"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4" t="s">
        <v>2276</v>
      </c>
      <c r="K91" s="74" t="s">
        <v>2276</v>
      </c>
      <c r="L91" s="74" t="s">
        <v>2276</v>
      </c>
      <c r="M91" s="74" t="s">
        <v>2276</v>
      </c>
      <c r="N91" s="74" t="s">
        <v>2276</v>
      </c>
      <c r="O91" s="74" t="s">
        <v>2276</v>
      </c>
      <c r="P91" s="74" t="s">
        <v>2276</v>
      </c>
      <c r="Q91" s="74" t="s">
        <v>2276</v>
      </c>
      <c r="R91" s="74" t="s">
        <v>2276</v>
      </c>
      <c r="S91" s="74" t="s">
        <v>2276</v>
      </c>
      <c r="T91" s="74" t="s">
        <v>2276</v>
      </c>
      <c r="U91" s="74" t="s">
        <v>2276</v>
      </c>
      <c r="V91" s="74" t="s">
        <v>2276</v>
      </c>
      <c r="W91" s="74" t="s">
        <v>2276</v>
      </c>
      <c r="X91" s="74" t="s">
        <v>2276</v>
      </c>
      <c r="Y91" s="181"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4" t="s">
        <v>2276</v>
      </c>
      <c r="K92" s="74" t="s">
        <v>2276</v>
      </c>
      <c r="L92" s="74" t="s">
        <v>2276</v>
      </c>
      <c r="M92" s="74" t="s">
        <v>2276</v>
      </c>
      <c r="N92" s="74" t="s">
        <v>2276</v>
      </c>
      <c r="O92" s="74" t="s">
        <v>2276</v>
      </c>
      <c r="P92" s="74" t="s">
        <v>2276</v>
      </c>
      <c r="Q92" s="74" t="s">
        <v>2276</v>
      </c>
      <c r="R92" s="74" t="s">
        <v>2276</v>
      </c>
      <c r="S92" s="74" t="s">
        <v>2276</v>
      </c>
      <c r="T92" s="74" t="s">
        <v>2276</v>
      </c>
      <c r="U92" s="74" t="s">
        <v>2276</v>
      </c>
      <c r="V92" s="74" t="s">
        <v>2276</v>
      </c>
      <c r="W92" s="74" t="s">
        <v>2276</v>
      </c>
      <c r="X92" s="74" t="s">
        <v>2276</v>
      </c>
      <c r="Y92" s="181"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4" t="s">
        <v>2276</v>
      </c>
      <c r="K93" s="74" t="s">
        <v>2276</v>
      </c>
      <c r="L93" s="74" t="s">
        <v>2276</v>
      </c>
      <c r="M93" s="74" t="s">
        <v>2276</v>
      </c>
      <c r="N93" s="74" t="s">
        <v>2276</v>
      </c>
      <c r="O93" s="74" t="s">
        <v>2276</v>
      </c>
      <c r="P93" s="74" t="s">
        <v>2276</v>
      </c>
      <c r="Q93" s="74" t="s">
        <v>2276</v>
      </c>
      <c r="R93" s="74" t="s">
        <v>2276</v>
      </c>
      <c r="S93" s="74" t="s">
        <v>2276</v>
      </c>
      <c r="T93" s="74" t="s">
        <v>2276</v>
      </c>
      <c r="U93" s="74" t="s">
        <v>2276</v>
      </c>
      <c r="V93" s="74" t="s">
        <v>2276</v>
      </c>
      <c r="W93" s="74" t="s">
        <v>2276</v>
      </c>
      <c r="X93" s="74" t="s">
        <v>2276</v>
      </c>
      <c r="Y93" s="181"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4" t="s">
        <v>2276</v>
      </c>
      <c r="K94" s="74" t="s">
        <v>2276</v>
      </c>
      <c r="L94" s="74" t="s">
        <v>2276</v>
      </c>
      <c r="M94" s="74" t="s">
        <v>2276</v>
      </c>
      <c r="N94" s="74" t="s">
        <v>2276</v>
      </c>
      <c r="O94" s="74" t="s">
        <v>2276</v>
      </c>
      <c r="P94" s="74" t="s">
        <v>2276</v>
      </c>
      <c r="Q94" s="74" t="s">
        <v>2276</v>
      </c>
      <c r="R94" s="74" t="s">
        <v>2276</v>
      </c>
      <c r="S94" s="74" t="s">
        <v>2276</v>
      </c>
      <c r="T94" s="74" t="s">
        <v>2276</v>
      </c>
      <c r="U94" s="74" t="s">
        <v>2276</v>
      </c>
      <c r="V94" s="74" t="s">
        <v>2276</v>
      </c>
      <c r="W94" s="74" t="s">
        <v>2276</v>
      </c>
      <c r="X94" s="74" t="s">
        <v>2276</v>
      </c>
      <c r="Y94" s="181"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4" t="s">
        <v>2276</v>
      </c>
      <c r="K95" s="74" t="s">
        <v>2276</v>
      </c>
      <c r="L95" s="74" t="s">
        <v>2276</v>
      </c>
      <c r="M95" s="74" t="s">
        <v>2276</v>
      </c>
      <c r="N95" s="74" t="s">
        <v>2276</v>
      </c>
      <c r="O95" s="74" t="s">
        <v>2276</v>
      </c>
      <c r="P95" s="74" t="s">
        <v>2276</v>
      </c>
      <c r="Q95" s="74" t="s">
        <v>2276</v>
      </c>
      <c r="R95" s="74" t="s">
        <v>2276</v>
      </c>
      <c r="S95" s="74" t="s">
        <v>2276</v>
      </c>
      <c r="T95" s="74" t="s">
        <v>2276</v>
      </c>
      <c r="U95" s="74" t="s">
        <v>2276</v>
      </c>
      <c r="V95" s="74" t="s">
        <v>2276</v>
      </c>
      <c r="W95" s="74" t="s">
        <v>2276</v>
      </c>
      <c r="X95" s="74" t="s">
        <v>2276</v>
      </c>
      <c r="Y95" s="181"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4" t="s">
        <v>2276</v>
      </c>
      <c r="K96" s="74" t="s">
        <v>2276</v>
      </c>
      <c r="L96" s="74" t="s">
        <v>2276</v>
      </c>
      <c r="M96" s="74" t="s">
        <v>2276</v>
      </c>
      <c r="N96" s="74" t="s">
        <v>2276</v>
      </c>
      <c r="O96" s="74" t="s">
        <v>2276</v>
      </c>
      <c r="P96" s="74" t="s">
        <v>2276</v>
      </c>
      <c r="Q96" s="74" t="s">
        <v>2276</v>
      </c>
      <c r="R96" s="74" t="s">
        <v>2276</v>
      </c>
      <c r="S96" s="74" t="s">
        <v>2276</v>
      </c>
      <c r="T96" s="74" t="s">
        <v>2276</v>
      </c>
      <c r="U96" s="74" t="s">
        <v>2276</v>
      </c>
      <c r="V96" s="74" t="s">
        <v>2276</v>
      </c>
      <c r="W96" s="74" t="s">
        <v>2276</v>
      </c>
      <c r="X96" s="74" t="s">
        <v>2276</v>
      </c>
      <c r="Y96" s="181"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4" t="s">
        <v>2276</v>
      </c>
      <c r="K97" s="74" t="s">
        <v>2276</v>
      </c>
      <c r="L97" s="74" t="s">
        <v>2276</v>
      </c>
      <c r="M97" s="74" t="s">
        <v>2276</v>
      </c>
      <c r="N97" s="74" t="s">
        <v>2276</v>
      </c>
      <c r="O97" s="74" t="s">
        <v>2276</v>
      </c>
      <c r="P97" s="74" t="s">
        <v>2276</v>
      </c>
      <c r="Q97" s="74" t="s">
        <v>2276</v>
      </c>
      <c r="R97" s="74" t="s">
        <v>2276</v>
      </c>
      <c r="S97" s="74" t="s">
        <v>2276</v>
      </c>
      <c r="T97" s="74" t="s">
        <v>2276</v>
      </c>
      <c r="U97" s="74" t="s">
        <v>2276</v>
      </c>
      <c r="V97" s="74" t="s">
        <v>2276</v>
      </c>
      <c r="W97" s="74" t="s">
        <v>2276</v>
      </c>
      <c r="X97" s="74" t="s">
        <v>2276</v>
      </c>
      <c r="Y97" s="181"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4" t="s">
        <v>2276</v>
      </c>
      <c r="K98" s="74" t="s">
        <v>2276</v>
      </c>
      <c r="L98" s="74" t="s">
        <v>2276</v>
      </c>
      <c r="M98" s="74" t="s">
        <v>2276</v>
      </c>
      <c r="N98" s="74" t="s">
        <v>2276</v>
      </c>
      <c r="O98" s="74" t="s">
        <v>2276</v>
      </c>
      <c r="P98" s="74" t="s">
        <v>2276</v>
      </c>
      <c r="Q98" s="74" t="s">
        <v>2276</v>
      </c>
      <c r="R98" s="74" t="s">
        <v>2276</v>
      </c>
      <c r="S98" s="74" t="s">
        <v>2276</v>
      </c>
      <c r="T98" s="74" t="s">
        <v>2276</v>
      </c>
      <c r="U98" s="74" t="s">
        <v>2276</v>
      </c>
      <c r="V98" s="74" t="s">
        <v>2276</v>
      </c>
      <c r="W98" s="74" t="s">
        <v>2276</v>
      </c>
      <c r="X98" s="74" t="s">
        <v>2276</v>
      </c>
      <c r="Y98" s="181"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4" t="s">
        <v>2276</v>
      </c>
      <c r="K99" s="74" t="s">
        <v>2276</v>
      </c>
      <c r="L99" s="74" t="s">
        <v>2276</v>
      </c>
      <c r="M99" s="74" t="s">
        <v>2276</v>
      </c>
      <c r="N99" s="74" t="s">
        <v>2276</v>
      </c>
      <c r="O99" s="74" t="s">
        <v>2276</v>
      </c>
      <c r="P99" s="74" t="s">
        <v>2276</v>
      </c>
      <c r="Q99" s="74" t="s">
        <v>2276</v>
      </c>
      <c r="R99" s="74" t="s">
        <v>2276</v>
      </c>
      <c r="S99" s="74" t="s">
        <v>2276</v>
      </c>
      <c r="T99" s="74" t="s">
        <v>2276</v>
      </c>
      <c r="U99" s="74" t="s">
        <v>2276</v>
      </c>
      <c r="V99" s="74" t="s">
        <v>2276</v>
      </c>
      <c r="W99" s="74" t="s">
        <v>2276</v>
      </c>
      <c r="X99" s="74" t="s">
        <v>2276</v>
      </c>
      <c r="Y99" s="181"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4" t="s">
        <v>2276</v>
      </c>
      <c r="K100" s="74" t="s">
        <v>2276</v>
      </c>
      <c r="L100" s="74" t="s">
        <v>2276</v>
      </c>
      <c r="M100" s="74" t="s">
        <v>2276</v>
      </c>
      <c r="N100" s="74" t="s">
        <v>2276</v>
      </c>
      <c r="O100" s="74" t="s">
        <v>2276</v>
      </c>
      <c r="P100" s="74" t="s">
        <v>2276</v>
      </c>
      <c r="Q100" s="74" t="s">
        <v>2276</v>
      </c>
      <c r="R100" s="74" t="s">
        <v>2276</v>
      </c>
      <c r="S100" s="74" t="s">
        <v>2276</v>
      </c>
      <c r="T100" s="74" t="s">
        <v>2276</v>
      </c>
      <c r="U100" s="74" t="s">
        <v>2276</v>
      </c>
      <c r="V100" s="74" t="s">
        <v>2276</v>
      </c>
      <c r="W100" s="74" t="s">
        <v>2276</v>
      </c>
      <c r="X100" s="74" t="s">
        <v>2276</v>
      </c>
      <c r="Y100" s="181"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4" t="s">
        <v>2276</v>
      </c>
      <c r="K101" s="74" t="s">
        <v>2276</v>
      </c>
      <c r="L101" s="74" t="s">
        <v>2276</v>
      </c>
      <c r="M101" s="74" t="s">
        <v>2276</v>
      </c>
      <c r="N101" s="74" t="s">
        <v>2276</v>
      </c>
      <c r="O101" s="74" t="s">
        <v>2276</v>
      </c>
      <c r="P101" s="74" t="s">
        <v>2276</v>
      </c>
      <c r="Q101" s="74" t="s">
        <v>2276</v>
      </c>
      <c r="R101" s="74" t="s">
        <v>2276</v>
      </c>
      <c r="S101" s="74" t="s">
        <v>2276</v>
      </c>
      <c r="T101" s="74" t="s">
        <v>2276</v>
      </c>
      <c r="U101" s="74" t="s">
        <v>2276</v>
      </c>
      <c r="V101" s="74" t="s">
        <v>2276</v>
      </c>
      <c r="W101" s="74" t="s">
        <v>2276</v>
      </c>
      <c r="X101" s="74" t="s">
        <v>2276</v>
      </c>
      <c r="Y101" s="181"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4" t="s">
        <v>2276</v>
      </c>
      <c r="K102" s="74" t="s">
        <v>2276</v>
      </c>
      <c r="L102" s="74" t="s">
        <v>2276</v>
      </c>
      <c r="M102" s="74" t="s">
        <v>2276</v>
      </c>
      <c r="N102" s="74" t="s">
        <v>2276</v>
      </c>
      <c r="O102" s="74" t="s">
        <v>2276</v>
      </c>
      <c r="P102" s="74" t="s">
        <v>2276</v>
      </c>
      <c r="Q102" s="74" t="s">
        <v>2276</v>
      </c>
      <c r="R102" s="74" t="s">
        <v>2276</v>
      </c>
      <c r="S102" s="74" t="s">
        <v>2276</v>
      </c>
      <c r="T102" s="74" t="s">
        <v>2276</v>
      </c>
      <c r="U102" s="74" t="s">
        <v>2276</v>
      </c>
      <c r="V102" s="74" t="s">
        <v>2276</v>
      </c>
      <c r="W102" s="74" t="s">
        <v>2276</v>
      </c>
      <c r="X102" s="74" t="s">
        <v>2276</v>
      </c>
      <c r="Y102" s="181"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4" t="s">
        <v>2276</v>
      </c>
      <c r="K103" s="74" t="s">
        <v>2276</v>
      </c>
      <c r="L103" s="74" t="s">
        <v>2276</v>
      </c>
      <c r="M103" s="74" t="s">
        <v>2276</v>
      </c>
      <c r="N103" s="74" t="s">
        <v>2276</v>
      </c>
      <c r="O103" s="74" t="s">
        <v>2276</v>
      </c>
      <c r="P103" s="74" t="s">
        <v>2276</v>
      </c>
      <c r="Q103" s="74" t="s">
        <v>2276</v>
      </c>
      <c r="R103" s="74" t="s">
        <v>2276</v>
      </c>
      <c r="S103" s="74" t="s">
        <v>2276</v>
      </c>
      <c r="T103" s="74" t="s">
        <v>2276</v>
      </c>
      <c r="U103" s="74" t="s">
        <v>2276</v>
      </c>
      <c r="V103" s="74" t="s">
        <v>2276</v>
      </c>
      <c r="W103" s="74" t="s">
        <v>2276</v>
      </c>
      <c r="X103" s="74" t="s">
        <v>2276</v>
      </c>
      <c r="Y103" s="181"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4" t="s">
        <v>2276</v>
      </c>
      <c r="K104" s="74" t="s">
        <v>2276</v>
      </c>
      <c r="L104" s="74" t="s">
        <v>2276</v>
      </c>
      <c r="M104" s="74" t="s">
        <v>2276</v>
      </c>
      <c r="N104" s="74" t="s">
        <v>2276</v>
      </c>
      <c r="O104" s="74" t="s">
        <v>2276</v>
      </c>
      <c r="P104" s="74" t="s">
        <v>2276</v>
      </c>
      <c r="Q104" s="74" t="s">
        <v>2276</v>
      </c>
      <c r="R104" s="74" t="s">
        <v>2276</v>
      </c>
      <c r="S104" s="74" t="s">
        <v>2276</v>
      </c>
      <c r="T104" s="74" t="s">
        <v>2276</v>
      </c>
      <c r="U104" s="74" t="s">
        <v>2276</v>
      </c>
      <c r="V104" s="74" t="s">
        <v>2276</v>
      </c>
      <c r="W104" s="74" t="s">
        <v>2276</v>
      </c>
      <c r="X104" s="74" t="s">
        <v>2276</v>
      </c>
      <c r="Y104" s="181"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4" t="s">
        <v>2276</v>
      </c>
      <c r="K105" s="74" t="s">
        <v>2276</v>
      </c>
      <c r="L105" s="74" t="s">
        <v>2276</v>
      </c>
      <c r="M105" s="74" t="s">
        <v>2276</v>
      </c>
      <c r="N105" s="74" t="s">
        <v>2276</v>
      </c>
      <c r="O105" s="74" t="s">
        <v>2276</v>
      </c>
      <c r="P105" s="74" t="s">
        <v>2276</v>
      </c>
      <c r="Q105" s="74" t="s">
        <v>2276</v>
      </c>
      <c r="R105" s="74" t="s">
        <v>2276</v>
      </c>
      <c r="S105" s="74" t="s">
        <v>2276</v>
      </c>
      <c r="T105" s="74" t="s">
        <v>2276</v>
      </c>
      <c r="U105" s="74" t="s">
        <v>2276</v>
      </c>
      <c r="V105" s="74" t="s">
        <v>2276</v>
      </c>
      <c r="W105" s="74" t="s">
        <v>2276</v>
      </c>
      <c r="X105" s="74" t="s">
        <v>2276</v>
      </c>
      <c r="Y105" s="181"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4" t="s">
        <v>2276</v>
      </c>
      <c r="K106" s="74" t="s">
        <v>2276</v>
      </c>
      <c r="L106" s="74" t="s">
        <v>2276</v>
      </c>
      <c r="M106" s="74" t="s">
        <v>2276</v>
      </c>
      <c r="N106" s="74" t="s">
        <v>2276</v>
      </c>
      <c r="O106" s="74" t="s">
        <v>2276</v>
      </c>
      <c r="P106" s="74" t="s">
        <v>2276</v>
      </c>
      <c r="Q106" s="74" t="s">
        <v>2276</v>
      </c>
      <c r="R106" s="74" t="s">
        <v>2276</v>
      </c>
      <c r="S106" s="74" t="s">
        <v>2276</v>
      </c>
      <c r="T106" s="74" t="s">
        <v>2276</v>
      </c>
      <c r="U106" s="74" t="s">
        <v>2276</v>
      </c>
      <c r="V106" s="74" t="s">
        <v>2276</v>
      </c>
      <c r="W106" s="74" t="s">
        <v>2276</v>
      </c>
      <c r="X106" s="74" t="s">
        <v>2276</v>
      </c>
      <c r="Y106" s="181"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4" t="s">
        <v>2276</v>
      </c>
      <c r="K107" s="74" t="s">
        <v>2276</v>
      </c>
      <c r="L107" s="74" t="s">
        <v>2276</v>
      </c>
      <c r="M107" s="74" t="s">
        <v>2276</v>
      </c>
      <c r="N107" s="74" t="s">
        <v>2276</v>
      </c>
      <c r="O107" s="74" t="s">
        <v>2276</v>
      </c>
      <c r="P107" s="74" t="s">
        <v>2276</v>
      </c>
      <c r="Q107" s="74" t="s">
        <v>2276</v>
      </c>
      <c r="R107" s="74" t="s">
        <v>2276</v>
      </c>
      <c r="S107" s="74" t="s">
        <v>2276</v>
      </c>
      <c r="T107" s="74" t="s">
        <v>2276</v>
      </c>
      <c r="U107" s="74" t="s">
        <v>2276</v>
      </c>
      <c r="V107" s="74" t="s">
        <v>2276</v>
      </c>
      <c r="W107" s="74" t="s">
        <v>2276</v>
      </c>
      <c r="X107" s="74" t="s">
        <v>2276</v>
      </c>
      <c r="Y107" s="181"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4" t="s">
        <v>2276</v>
      </c>
      <c r="K108" s="74" t="s">
        <v>2276</v>
      </c>
      <c r="L108" s="74" t="s">
        <v>2276</v>
      </c>
      <c r="M108" s="74" t="s">
        <v>2276</v>
      </c>
      <c r="N108" s="74" t="s">
        <v>2276</v>
      </c>
      <c r="O108" s="74" t="s">
        <v>2276</v>
      </c>
      <c r="P108" s="74" t="s">
        <v>2276</v>
      </c>
      <c r="Q108" s="74" t="s">
        <v>2276</v>
      </c>
      <c r="R108" s="74" t="s">
        <v>2276</v>
      </c>
      <c r="S108" s="74" t="s">
        <v>2276</v>
      </c>
      <c r="T108" s="74" t="s">
        <v>2276</v>
      </c>
      <c r="U108" s="74" t="s">
        <v>2276</v>
      </c>
      <c r="V108" s="74" t="s">
        <v>2276</v>
      </c>
      <c r="W108" s="74" t="s">
        <v>2276</v>
      </c>
      <c r="X108" s="74" t="s">
        <v>2276</v>
      </c>
      <c r="Y108" s="181"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4" t="s">
        <v>2276</v>
      </c>
      <c r="K109" s="74" t="s">
        <v>2276</v>
      </c>
      <c r="L109" s="74" t="s">
        <v>2276</v>
      </c>
      <c r="M109" s="74" t="s">
        <v>2276</v>
      </c>
      <c r="N109" s="74" t="s">
        <v>2276</v>
      </c>
      <c r="O109" s="74" t="s">
        <v>2276</v>
      </c>
      <c r="P109" s="74" t="s">
        <v>2276</v>
      </c>
      <c r="Q109" s="74" t="s">
        <v>2276</v>
      </c>
      <c r="R109" s="74" t="s">
        <v>2276</v>
      </c>
      <c r="S109" s="74" t="s">
        <v>2276</v>
      </c>
      <c r="T109" s="74" t="s">
        <v>2276</v>
      </c>
      <c r="U109" s="74" t="s">
        <v>2276</v>
      </c>
      <c r="V109" s="74" t="s">
        <v>2276</v>
      </c>
      <c r="W109" s="74" t="s">
        <v>2276</v>
      </c>
      <c r="X109" s="74" t="s">
        <v>2276</v>
      </c>
      <c r="Y109" s="181"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4" t="s">
        <v>2276</v>
      </c>
      <c r="K110" s="74" t="s">
        <v>2276</v>
      </c>
      <c r="L110" s="74" t="s">
        <v>2276</v>
      </c>
      <c r="M110" s="74" t="s">
        <v>2276</v>
      </c>
      <c r="N110" s="74" t="s">
        <v>2276</v>
      </c>
      <c r="O110" s="74" t="s">
        <v>2276</v>
      </c>
      <c r="P110" s="74" t="s">
        <v>2276</v>
      </c>
      <c r="Q110" s="74" t="s">
        <v>2276</v>
      </c>
      <c r="R110" s="74" t="s">
        <v>2276</v>
      </c>
      <c r="S110" s="74" t="s">
        <v>2276</v>
      </c>
      <c r="T110" s="74" t="s">
        <v>2276</v>
      </c>
      <c r="U110" s="74" t="s">
        <v>2276</v>
      </c>
      <c r="V110" s="74" t="s">
        <v>2276</v>
      </c>
      <c r="W110" s="74" t="s">
        <v>2276</v>
      </c>
      <c r="X110" s="74" t="s">
        <v>2276</v>
      </c>
      <c r="Y110" s="181"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4" t="s">
        <v>2276</v>
      </c>
      <c r="K111" s="74" t="s">
        <v>2276</v>
      </c>
      <c r="L111" s="74" t="s">
        <v>2276</v>
      </c>
      <c r="M111" s="74" t="s">
        <v>2276</v>
      </c>
      <c r="N111" s="74" t="s">
        <v>2276</v>
      </c>
      <c r="O111" s="74" t="s">
        <v>2276</v>
      </c>
      <c r="P111" s="74" t="s">
        <v>2276</v>
      </c>
      <c r="Q111" s="74" t="s">
        <v>2276</v>
      </c>
      <c r="R111" s="74" t="s">
        <v>2276</v>
      </c>
      <c r="S111" s="74" t="s">
        <v>2276</v>
      </c>
      <c r="T111" s="74" t="s">
        <v>2276</v>
      </c>
      <c r="U111" s="74" t="s">
        <v>2276</v>
      </c>
      <c r="V111" s="74" t="s">
        <v>2276</v>
      </c>
      <c r="W111" s="74" t="s">
        <v>2276</v>
      </c>
      <c r="X111" s="74" t="s">
        <v>2276</v>
      </c>
      <c r="Y111" s="181"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4" t="s">
        <v>2276</v>
      </c>
      <c r="K112" s="74" t="s">
        <v>2276</v>
      </c>
      <c r="L112" s="74" t="s">
        <v>2276</v>
      </c>
      <c r="M112" s="74" t="s">
        <v>2276</v>
      </c>
      <c r="N112" s="74" t="s">
        <v>2276</v>
      </c>
      <c r="O112" s="74" t="s">
        <v>2276</v>
      </c>
      <c r="P112" s="74" t="s">
        <v>2276</v>
      </c>
      <c r="Q112" s="74" t="s">
        <v>2276</v>
      </c>
      <c r="R112" s="74" t="s">
        <v>2276</v>
      </c>
      <c r="S112" s="74" t="s">
        <v>2276</v>
      </c>
      <c r="T112" s="74" t="s">
        <v>2276</v>
      </c>
      <c r="U112" s="74" t="s">
        <v>2276</v>
      </c>
      <c r="V112" s="74" t="s">
        <v>2276</v>
      </c>
      <c r="W112" s="74" t="s">
        <v>2276</v>
      </c>
      <c r="X112" s="74" t="s">
        <v>2276</v>
      </c>
      <c r="Y112" s="181" t="s">
        <v>2276</v>
      </c>
      <c r="Z112" s="11" t="s">
        <v>38</v>
      </c>
      <c r="AA112" s="11" t="s">
        <v>86</v>
      </c>
      <c r="AB112" s="11" t="s">
        <v>64</v>
      </c>
      <c r="AC112" s="19" t="s">
        <v>1314</v>
      </c>
      <c r="AD112" s="19" t="s">
        <v>5026</v>
      </c>
    </row>
    <row r="113" spans="1:30" ht="50" customHeight="1">
      <c r="A113" s="11" t="s">
        <v>103</v>
      </c>
      <c r="B113" s="3" t="s">
        <v>104</v>
      </c>
      <c r="C113" s="11" t="s">
        <v>24</v>
      </c>
      <c r="D113" s="3"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6" t="s">
        <v>2276</v>
      </c>
      <c r="W113" s="76" t="s">
        <v>2276</v>
      </c>
      <c r="X113" s="76" t="s">
        <v>2276</v>
      </c>
      <c r="Y113" s="21" t="s">
        <v>2276</v>
      </c>
      <c r="Z113" s="3" t="s">
        <v>75</v>
      </c>
      <c r="AA113" s="3" t="s">
        <v>35</v>
      </c>
      <c r="AB113" s="3" t="s">
        <v>64</v>
      </c>
      <c r="AC113" s="4" t="s">
        <v>105</v>
      </c>
      <c r="AD113" s="3" t="s">
        <v>5027</v>
      </c>
    </row>
    <row r="114" spans="1:30" ht="140" customHeight="1">
      <c r="A114" s="11" t="s">
        <v>107</v>
      </c>
      <c r="B114" s="3" t="s">
        <v>110</v>
      </c>
      <c r="C114" s="11" t="s">
        <v>24</v>
      </c>
      <c r="D114" s="3"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3" t="s">
        <v>75</v>
      </c>
      <c r="AA114" s="3" t="s">
        <v>35</v>
      </c>
      <c r="AB114" s="3" t="s">
        <v>64</v>
      </c>
      <c r="AC114" s="4" t="s">
        <v>5030</v>
      </c>
      <c r="AD114" s="4" t="s">
        <v>1359</v>
      </c>
    </row>
    <row r="115" spans="1:30" ht="100.5" customHeight="1">
      <c r="A115" s="11" t="s">
        <v>107</v>
      </c>
      <c r="B115" s="3" t="s">
        <v>111</v>
      </c>
      <c r="C115" s="11" t="s">
        <v>24</v>
      </c>
      <c r="D115" s="3" t="s">
        <v>2659</v>
      </c>
      <c r="E115" s="4" t="s">
        <v>397</v>
      </c>
      <c r="F115" s="19" t="s">
        <v>28</v>
      </c>
      <c r="G115" s="11" t="s">
        <v>2276</v>
      </c>
      <c r="H115" s="3"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3" t="s">
        <v>75</v>
      </c>
      <c r="AA115" s="3" t="s">
        <v>35</v>
      </c>
      <c r="AB115" s="3" t="s">
        <v>64</v>
      </c>
      <c r="AC115" s="4" t="s">
        <v>5030</v>
      </c>
      <c r="AD115" s="4" t="s">
        <v>1358</v>
      </c>
    </row>
    <row r="116" spans="1:30" ht="150.5" customHeight="1">
      <c r="A116" s="11" t="s">
        <v>1317</v>
      </c>
      <c r="B116" s="3" t="s">
        <v>1327</v>
      </c>
      <c r="C116" s="11" t="s">
        <v>24</v>
      </c>
      <c r="D116" s="3"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3" t="s">
        <v>75</v>
      </c>
      <c r="AA116" s="3" t="s">
        <v>35</v>
      </c>
      <c r="AB116" s="3" t="s">
        <v>64</v>
      </c>
      <c r="AC116" s="4" t="s">
        <v>5030</v>
      </c>
      <c r="AD116" s="4" t="s">
        <v>1359</v>
      </c>
    </row>
    <row r="117" spans="1:30" ht="109.5" customHeight="1">
      <c r="A117" s="11" t="s">
        <v>1317</v>
      </c>
      <c r="B117" s="3" t="s">
        <v>1328</v>
      </c>
      <c r="C117" s="11" t="s">
        <v>24</v>
      </c>
      <c r="D117" s="3"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3" t="s">
        <v>75</v>
      </c>
      <c r="AA117" s="3" t="s">
        <v>35</v>
      </c>
      <c r="AB117" s="3" t="s">
        <v>64</v>
      </c>
      <c r="AC117" s="4" t="s">
        <v>5030</v>
      </c>
      <c r="AD117" s="4" t="s">
        <v>1358</v>
      </c>
    </row>
    <row r="118" spans="1:30" ht="146.5" customHeight="1">
      <c r="A118" s="11" t="s">
        <v>1318</v>
      </c>
      <c r="B118" s="3" t="s">
        <v>1340</v>
      </c>
      <c r="C118" s="11" t="s">
        <v>24</v>
      </c>
      <c r="D118" s="3"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3" t="s">
        <v>75</v>
      </c>
      <c r="AA118" s="3" t="s">
        <v>35</v>
      </c>
      <c r="AB118" s="3" t="s">
        <v>64</v>
      </c>
      <c r="AC118" s="4" t="s">
        <v>5030</v>
      </c>
      <c r="AD118" s="4" t="s">
        <v>1359</v>
      </c>
    </row>
    <row r="119" spans="1:30" ht="110.5" customHeight="1">
      <c r="A119" s="11" t="s">
        <v>1318</v>
      </c>
      <c r="B119" s="3" t="s">
        <v>1341</v>
      </c>
      <c r="C119" s="11" t="s">
        <v>24</v>
      </c>
      <c r="D119" s="3"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3" t="s">
        <v>75</v>
      </c>
      <c r="AA119" s="3" t="s">
        <v>35</v>
      </c>
      <c r="AB119" s="3" t="s">
        <v>64</v>
      </c>
      <c r="AC119" s="4" t="s">
        <v>5030</v>
      </c>
      <c r="AD119" s="4" t="s">
        <v>1358</v>
      </c>
    </row>
    <row r="120" spans="1:30" ht="144.5" customHeight="1">
      <c r="A120" s="11" t="s">
        <v>1319</v>
      </c>
      <c r="B120" s="3" t="s">
        <v>1342</v>
      </c>
      <c r="C120" s="11" t="s">
        <v>24</v>
      </c>
      <c r="D120" s="3"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3" t="s">
        <v>75</v>
      </c>
      <c r="AA120" s="3" t="s">
        <v>35</v>
      </c>
      <c r="AB120" s="3" t="s">
        <v>64</v>
      </c>
      <c r="AC120" s="4" t="s">
        <v>5030</v>
      </c>
      <c r="AD120" s="4" t="s">
        <v>1359</v>
      </c>
    </row>
    <row r="121" spans="1:30" ht="110.5" customHeight="1">
      <c r="A121" s="11" t="s">
        <v>1319</v>
      </c>
      <c r="B121" s="3" t="s">
        <v>1343</v>
      </c>
      <c r="C121" s="11" t="s">
        <v>24</v>
      </c>
      <c r="D121" s="3"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3" t="s">
        <v>75</v>
      </c>
      <c r="AA121" s="3" t="s">
        <v>35</v>
      </c>
      <c r="AB121" s="3" t="s">
        <v>64</v>
      </c>
      <c r="AC121" s="4" t="s">
        <v>5030</v>
      </c>
      <c r="AD121" s="4" t="s">
        <v>1358</v>
      </c>
    </row>
    <row r="122" spans="1:30" ht="153" customHeight="1">
      <c r="A122" s="11" t="s">
        <v>1320</v>
      </c>
      <c r="B122" s="3" t="s">
        <v>1344</v>
      </c>
      <c r="C122" s="11" t="s">
        <v>24</v>
      </c>
      <c r="D122" s="3" t="s">
        <v>2659</v>
      </c>
      <c r="E122" s="4" t="s">
        <v>396</v>
      </c>
      <c r="F122" s="19" t="s">
        <v>28</v>
      </c>
      <c r="G122" s="11" t="s">
        <v>2276</v>
      </c>
      <c r="H122" s="3"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3" t="s">
        <v>75</v>
      </c>
      <c r="AA122" s="3" t="s">
        <v>35</v>
      </c>
      <c r="AB122" s="3" t="s">
        <v>64</v>
      </c>
      <c r="AC122" s="4" t="s">
        <v>5030</v>
      </c>
      <c r="AD122" s="4" t="s">
        <v>1359</v>
      </c>
    </row>
    <row r="123" spans="1:30" ht="101" customHeight="1">
      <c r="A123" s="11" t="s">
        <v>1320</v>
      </c>
      <c r="B123" s="3" t="s">
        <v>1345</v>
      </c>
      <c r="C123" s="11" t="s">
        <v>24</v>
      </c>
      <c r="D123" s="3"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3" t="s">
        <v>75</v>
      </c>
      <c r="AA123" s="3" t="s">
        <v>35</v>
      </c>
      <c r="AB123" s="3" t="s">
        <v>64</v>
      </c>
      <c r="AC123" s="4" t="s">
        <v>5030</v>
      </c>
      <c r="AD123" s="4" t="s">
        <v>1358</v>
      </c>
    </row>
    <row r="124" spans="1:30" ht="142" customHeight="1">
      <c r="A124" s="11" t="s">
        <v>1321</v>
      </c>
      <c r="B124" s="3" t="s">
        <v>1346</v>
      </c>
      <c r="C124" s="11" t="s">
        <v>24</v>
      </c>
      <c r="D124" s="3"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3" t="s">
        <v>75</v>
      </c>
      <c r="AA124" s="3" t="s">
        <v>35</v>
      </c>
      <c r="AB124" s="3" t="s">
        <v>64</v>
      </c>
      <c r="AC124" s="4" t="s">
        <v>5030</v>
      </c>
      <c r="AD124" s="4" t="s">
        <v>1359</v>
      </c>
    </row>
    <row r="125" spans="1:30" ht="105.5" customHeight="1">
      <c r="A125" s="11" t="s">
        <v>1321</v>
      </c>
      <c r="B125" s="3" t="s">
        <v>1347</v>
      </c>
      <c r="C125" s="11" t="s">
        <v>24</v>
      </c>
      <c r="D125" s="3"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3" t="s">
        <v>75</v>
      </c>
      <c r="AA125" s="3" t="s">
        <v>35</v>
      </c>
      <c r="AB125" s="3" t="s">
        <v>64</v>
      </c>
      <c r="AC125" s="4" t="s">
        <v>5030</v>
      </c>
      <c r="AD125" s="4" t="s">
        <v>1358</v>
      </c>
    </row>
    <row r="126" spans="1:30" ht="151" customHeight="1">
      <c r="A126" s="11" t="s">
        <v>1322</v>
      </c>
      <c r="B126" s="3" t="s">
        <v>1348</v>
      </c>
      <c r="C126" s="11" t="s">
        <v>24</v>
      </c>
      <c r="D126" s="3"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3" t="s">
        <v>75</v>
      </c>
      <c r="AA126" s="3" t="s">
        <v>35</v>
      </c>
      <c r="AB126" s="3" t="s">
        <v>64</v>
      </c>
      <c r="AC126" s="4" t="s">
        <v>5030</v>
      </c>
      <c r="AD126" s="4" t="s">
        <v>1359</v>
      </c>
    </row>
    <row r="127" spans="1:30" ht="110.5" customHeight="1">
      <c r="A127" s="11" t="s">
        <v>1322</v>
      </c>
      <c r="B127" s="3" t="s">
        <v>1349</v>
      </c>
      <c r="C127" s="11" t="s">
        <v>24</v>
      </c>
      <c r="D127" s="3"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3" t="s">
        <v>75</v>
      </c>
      <c r="AA127" s="3" t="s">
        <v>35</v>
      </c>
      <c r="AB127" s="3" t="s">
        <v>64</v>
      </c>
      <c r="AC127" s="4" t="s">
        <v>5030</v>
      </c>
      <c r="AD127" s="4" t="s">
        <v>1358</v>
      </c>
    </row>
    <row r="128" spans="1:30" ht="110.5" customHeight="1">
      <c r="A128" s="11" t="s">
        <v>1323</v>
      </c>
      <c r="B128" s="3" t="s">
        <v>1350</v>
      </c>
      <c r="C128" s="11" t="s">
        <v>24</v>
      </c>
      <c r="D128" s="3"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3" t="s">
        <v>75</v>
      </c>
      <c r="AA128" s="3" t="s">
        <v>35</v>
      </c>
      <c r="AB128" s="3" t="s">
        <v>64</v>
      </c>
      <c r="AC128" s="4" t="s">
        <v>5030</v>
      </c>
      <c r="AD128" s="4" t="s">
        <v>1359</v>
      </c>
    </row>
    <row r="129" spans="1:30" ht="110.5" customHeight="1">
      <c r="A129" s="11" t="s">
        <v>1323</v>
      </c>
      <c r="B129" s="3" t="s">
        <v>1351</v>
      </c>
      <c r="C129" s="11" t="s">
        <v>24</v>
      </c>
      <c r="D129" s="3"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3" t="s">
        <v>75</v>
      </c>
      <c r="AA129" s="3"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3"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3"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3"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3"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3"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3"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3"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3"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3" t="s">
        <v>1366</v>
      </c>
      <c r="C139" s="11" t="s">
        <v>24</v>
      </c>
      <c r="D139" s="3" t="s">
        <v>2659</v>
      </c>
      <c r="E139" s="4" t="s">
        <v>84</v>
      </c>
      <c r="F139" s="19" t="s">
        <v>28</v>
      </c>
      <c r="G139" s="11" t="s">
        <v>2276</v>
      </c>
      <c r="H139" s="3"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3"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3"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3"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3"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3"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3"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3"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3"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3" t="s">
        <v>124</v>
      </c>
      <c r="C148" s="23" t="s">
        <v>24</v>
      </c>
      <c r="D148" s="23" t="s">
        <v>27</v>
      </c>
      <c r="E148" s="23" t="s">
        <v>130</v>
      </c>
      <c r="F148" s="26" t="s">
        <v>74</v>
      </c>
      <c r="G148" s="26" t="s">
        <v>74</v>
      </c>
      <c r="H148" s="3" t="s">
        <v>523</v>
      </c>
      <c r="I148" s="23"/>
      <c r="J148" s="77" t="s">
        <v>2276</v>
      </c>
      <c r="K148" s="77" t="s">
        <v>2276</v>
      </c>
      <c r="L148" s="77" t="s">
        <v>2276</v>
      </c>
      <c r="M148" s="77" t="s">
        <v>2276</v>
      </c>
      <c r="N148" s="77" t="s">
        <v>2276</v>
      </c>
      <c r="O148" s="77" t="s">
        <v>2276</v>
      </c>
      <c r="P148" s="77" t="s">
        <v>2276</v>
      </c>
      <c r="Q148" s="21" t="s">
        <v>2276</v>
      </c>
      <c r="R148" s="21" t="s">
        <v>2276</v>
      </c>
      <c r="S148" s="77" t="s">
        <v>2276</v>
      </c>
      <c r="T148" s="77" t="s">
        <v>2276</v>
      </c>
      <c r="U148" s="21" t="s">
        <v>2276</v>
      </c>
      <c r="V148" s="77" t="s">
        <v>2276</v>
      </c>
      <c r="W148" s="77" t="s">
        <v>2276</v>
      </c>
      <c r="X148" s="77" t="s">
        <v>2276</v>
      </c>
      <c r="Y148" s="77" t="s">
        <v>2276</v>
      </c>
      <c r="Z148" s="22" t="s">
        <v>68</v>
      </c>
      <c r="AA148" s="22" t="s">
        <v>68</v>
      </c>
      <c r="AB148" s="22" t="s">
        <v>76</v>
      </c>
      <c r="AC148" s="24" t="s">
        <v>131</v>
      </c>
      <c r="AD148" s="22"/>
    </row>
    <row r="149" spans="1:30" ht="149.5" customHeight="1">
      <c r="A149" s="23" t="s">
        <v>123</v>
      </c>
      <c r="B149" s="3" t="s">
        <v>125</v>
      </c>
      <c r="C149" s="23" t="s">
        <v>24</v>
      </c>
      <c r="D149" s="23" t="s">
        <v>27</v>
      </c>
      <c r="E149" s="23" t="s">
        <v>130</v>
      </c>
      <c r="F149" s="26" t="s">
        <v>161</v>
      </c>
      <c r="G149" s="11" t="s">
        <v>2276</v>
      </c>
      <c r="H149" s="3" t="s">
        <v>523</v>
      </c>
      <c r="I149" s="23"/>
      <c r="J149" s="77" t="s">
        <v>2276</v>
      </c>
      <c r="K149" s="77" t="s">
        <v>2276</v>
      </c>
      <c r="L149" s="77" t="s">
        <v>2276</v>
      </c>
      <c r="M149" s="77" t="s">
        <v>2276</v>
      </c>
      <c r="N149" s="77" t="s">
        <v>2276</v>
      </c>
      <c r="O149" s="77" t="s">
        <v>2276</v>
      </c>
      <c r="P149" s="77" t="s">
        <v>2276</v>
      </c>
      <c r="Q149" s="21" t="s">
        <v>2276</v>
      </c>
      <c r="R149" s="21" t="s">
        <v>2276</v>
      </c>
      <c r="S149" s="77" t="s">
        <v>2276</v>
      </c>
      <c r="T149" s="77" t="s">
        <v>2276</v>
      </c>
      <c r="U149" s="21" t="s">
        <v>2276</v>
      </c>
      <c r="V149" s="77" t="s">
        <v>2276</v>
      </c>
      <c r="W149" s="77" t="s">
        <v>2276</v>
      </c>
      <c r="X149" s="77" t="s">
        <v>2276</v>
      </c>
      <c r="Y149" s="77" t="s">
        <v>2276</v>
      </c>
      <c r="Z149" s="22" t="s">
        <v>35</v>
      </c>
      <c r="AA149" s="22" t="s">
        <v>127</v>
      </c>
      <c r="AB149" s="22" t="s">
        <v>128</v>
      </c>
      <c r="AC149" s="24" t="s">
        <v>132</v>
      </c>
      <c r="AD149" s="22"/>
    </row>
    <row r="150" spans="1:30" ht="47" customHeight="1">
      <c r="A150" s="23" t="s">
        <v>133</v>
      </c>
      <c r="B150" s="3"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7" t="s">
        <v>2276</v>
      </c>
      <c r="Z150" s="3" t="s">
        <v>2276</v>
      </c>
      <c r="AA150" s="3" t="s">
        <v>2276</v>
      </c>
      <c r="AB150" s="3" t="s">
        <v>2276</v>
      </c>
      <c r="AC150" s="3" t="s">
        <v>139</v>
      </c>
      <c r="AD150" s="3"/>
    </row>
    <row r="151" spans="1:30" ht="60" customHeight="1">
      <c r="A151" s="23" t="s">
        <v>133</v>
      </c>
      <c r="B151" s="3"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3"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3"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3"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3" t="s">
        <v>2300</v>
      </c>
      <c r="C155" s="23" t="s">
        <v>24</v>
      </c>
      <c r="D155" s="11" t="s">
        <v>2305</v>
      </c>
      <c r="E155" s="3" t="s">
        <v>116</v>
      </c>
      <c r="F155" s="4" t="s">
        <v>74</v>
      </c>
      <c r="G155" s="3" t="s">
        <v>2276</v>
      </c>
      <c r="H155" s="3"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3"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3"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3"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3"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3"/>
      <c r="AD159" s="4" t="s">
        <v>5023</v>
      </c>
    </row>
    <row r="160" spans="1:30" ht="150.5" customHeight="1">
      <c r="A160" s="11" t="s">
        <v>162</v>
      </c>
      <c r="B160" s="3"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3"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3"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3"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3"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3"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3"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3"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3"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3"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3"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3" t="s">
        <v>1399</v>
      </c>
      <c r="C171" s="23" t="s">
        <v>24</v>
      </c>
      <c r="D171" s="11" t="s">
        <v>143</v>
      </c>
      <c r="E171" s="19" t="s">
        <v>396</v>
      </c>
      <c r="F171" s="19" t="s">
        <v>74</v>
      </c>
      <c r="G171" s="11" t="s">
        <v>74</v>
      </c>
      <c r="H171" s="3"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3"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3"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3"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3"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3"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3"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3"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3"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3"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3"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3"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3"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3"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3" t="s">
        <v>1426</v>
      </c>
      <c r="C185" s="23" t="s">
        <v>24</v>
      </c>
      <c r="D185" s="11" t="s">
        <v>143</v>
      </c>
      <c r="E185" s="19" t="s">
        <v>45</v>
      </c>
      <c r="F185" s="19" t="s">
        <v>74</v>
      </c>
      <c r="G185" s="11" t="s">
        <v>74</v>
      </c>
      <c r="H185" s="3"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3"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3"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3"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3"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3"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3"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3"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3"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3"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3"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3">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3">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3">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3"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3" t="s">
        <v>2276</v>
      </c>
      <c r="AC199" s="4" t="s">
        <v>1398</v>
      </c>
      <c r="AD199" s="4" t="s">
        <v>1442</v>
      </c>
    </row>
    <row r="200" spans="1:30" ht="112.5" customHeight="1">
      <c r="A200" s="11" t="s">
        <v>163</v>
      </c>
      <c r="B200" s="3"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3" t="s">
        <v>2276</v>
      </c>
      <c r="AC200" s="4" t="s">
        <v>1398</v>
      </c>
      <c r="AD200" s="4" t="s">
        <v>1442</v>
      </c>
    </row>
    <row r="201" spans="1:30" ht="112.5" customHeight="1">
      <c r="A201" s="11" t="s">
        <v>163</v>
      </c>
      <c r="B201" s="3"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3" t="s">
        <v>2276</v>
      </c>
      <c r="AC201" s="4" t="s">
        <v>1398</v>
      </c>
      <c r="AD201" s="4" t="s">
        <v>1442</v>
      </c>
    </row>
    <row r="202" spans="1:30" ht="112.5" customHeight="1">
      <c r="A202" s="11" t="s">
        <v>163</v>
      </c>
      <c r="B202" s="3"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3" t="s">
        <v>2276</v>
      </c>
      <c r="AC202" s="4" t="s">
        <v>1398</v>
      </c>
      <c r="AD202" s="4" t="s">
        <v>1442</v>
      </c>
    </row>
    <row r="203" spans="1:30" ht="112.5" customHeight="1">
      <c r="A203" s="11" t="s">
        <v>163</v>
      </c>
      <c r="B203" s="3"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3"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3"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3"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3"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3"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3"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3"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3"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3"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3"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3"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3"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3"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3"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3"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3"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3"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3"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3"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3"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3"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3"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3"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3"/>
      <c r="AD226" s="4" t="s">
        <v>1459</v>
      </c>
    </row>
    <row r="227" spans="1:30" ht="52.5" customHeight="1">
      <c r="A227" s="11" t="s">
        <v>175</v>
      </c>
      <c r="B227" s="3"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3"/>
      <c r="AD227" s="4" t="s">
        <v>1459</v>
      </c>
    </row>
    <row r="228" spans="1:30" ht="59.5" customHeight="1">
      <c r="A228" s="11" t="s">
        <v>176</v>
      </c>
      <c r="B228" s="3"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3"/>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3"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3"/>
      <c r="AD231" s="10"/>
    </row>
    <row r="232" spans="1:30" ht="108" customHeight="1">
      <c r="A232" s="3"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3"/>
      <c r="AD232" s="10" t="s">
        <v>415</v>
      </c>
    </row>
    <row r="233" spans="1:30" ht="76.5" customHeight="1">
      <c r="A233" s="3"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3"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3" t="s">
        <v>383</v>
      </c>
      <c r="B235" s="3"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3"/>
      <c r="AD235" s="10"/>
    </row>
    <row r="236" spans="1:30" ht="103" customHeight="1">
      <c r="A236" s="3" t="s">
        <v>383</v>
      </c>
      <c r="B236" s="3"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3"/>
      <c r="AD236" s="10" t="s">
        <v>415</v>
      </c>
    </row>
    <row r="237" spans="1:30" ht="66.5" customHeight="1">
      <c r="A237" s="3"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3" t="s">
        <v>388</v>
      </c>
      <c r="B238" s="3"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3" t="s">
        <v>388</v>
      </c>
      <c r="B239" s="3"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3" t="s">
        <v>389</v>
      </c>
      <c r="B240" s="3"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3"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3"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3"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7" t="s">
        <v>2276</v>
      </c>
      <c r="K246" s="77" t="s">
        <v>2276</v>
      </c>
      <c r="L246" s="77" t="s">
        <v>2276</v>
      </c>
      <c r="M246" s="77" t="s">
        <v>2276</v>
      </c>
      <c r="N246" s="77" t="s">
        <v>2276</v>
      </c>
      <c r="O246" s="77" t="s">
        <v>2276</v>
      </c>
      <c r="P246" s="77" t="s">
        <v>2276</v>
      </c>
      <c r="Q246" s="21" t="s">
        <v>2276</v>
      </c>
      <c r="R246" s="21" t="s">
        <v>2276</v>
      </c>
      <c r="S246" s="77" t="s">
        <v>2276</v>
      </c>
      <c r="T246" s="77" t="s">
        <v>2276</v>
      </c>
      <c r="U246" s="77" t="s">
        <v>2276</v>
      </c>
      <c r="V246" s="77" t="s">
        <v>2276</v>
      </c>
      <c r="W246" s="77" t="s">
        <v>2276</v>
      </c>
      <c r="X246" s="77" t="s">
        <v>2276</v>
      </c>
      <c r="Y246" s="77">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7" t="s">
        <v>2276</v>
      </c>
      <c r="K247" s="77" t="s">
        <v>2276</v>
      </c>
      <c r="L247" s="77" t="s">
        <v>2276</v>
      </c>
      <c r="M247" s="77" t="s">
        <v>2276</v>
      </c>
      <c r="N247" s="77" t="s">
        <v>2276</v>
      </c>
      <c r="O247" s="77" t="s">
        <v>2276</v>
      </c>
      <c r="P247" s="77" t="s">
        <v>2276</v>
      </c>
      <c r="Q247" s="21" t="s">
        <v>2276</v>
      </c>
      <c r="R247" s="21" t="s">
        <v>2276</v>
      </c>
      <c r="S247" s="77" t="s">
        <v>2276</v>
      </c>
      <c r="T247" s="77" t="s">
        <v>2276</v>
      </c>
      <c r="U247" s="77" t="s">
        <v>2276</v>
      </c>
      <c r="V247" s="77" t="s">
        <v>2276</v>
      </c>
      <c r="W247" s="77" t="s">
        <v>2276</v>
      </c>
      <c r="X247" s="77" t="s">
        <v>2276</v>
      </c>
      <c r="Y247" s="77">
        <v>20</v>
      </c>
      <c r="Z247" s="22" t="s">
        <v>2276</v>
      </c>
      <c r="AA247" s="22" t="s">
        <v>2276</v>
      </c>
      <c r="AB247" s="3" t="s">
        <v>2276</v>
      </c>
      <c r="AC247" s="24" t="s">
        <v>437</v>
      </c>
      <c r="AD247" s="24" t="s">
        <v>5013</v>
      </c>
    </row>
    <row r="248" spans="1:30" ht="60" customHeight="1">
      <c r="A248" s="3" t="s">
        <v>438</v>
      </c>
      <c r="B248" s="3"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3"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3"/>
    </row>
    <row r="253" spans="1:30" ht="66" customHeight="1">
      <c r="A253" s="3" t="s">
        <v>455</v>
      </c>
      <c r="B253" s="3"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3"/>
    </row>
    <row r="254" spans="1:30" ht="79.5" customHeight="1">
      <c r="A254" s="3" t="s">
        <v>455</v>
      </c>
      <c r="B254" s="3"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3"/>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3"/>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3"/>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3"/>
      <c r="AD257" s="3"/>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3"/>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3"/>
      <c r="AD263" s="4"/>
    </row>
    <row r="264" spans="1:30" ht="61" customHeight="1">
      <c r="A264" s="11" t="s">
        <v>469</v>
      </c>
      <c r="B264" s="11" t="s">
        <v>488</v>
      </c>
      <c r="C264" s="36" t="s">
        <v>24</v>
      </c>
      <c r="D264" s="36" t="s">
        <v>27</v>
      </c>
      <c r="E264" s="37" t="s">
        <v>130</v>
      </c>
      <c r="F264" s="55" t="s">
        <v>55</v>
      </c>
      <c r="G264" s="11" t="s">
        <v>2276</v>
      </c>
      <c r="H264" s="11" t="s">
        <v>524</v>
      </c>
      <c r="I264" s="3">
        <v>2010</v>
      </c>
      <c r="J264" s="73">
        <v>0</v>
      </c>
      <c r="K264" s="73">
        <v>0</v>
      </c>
      <c r="L264" s="73">
        <v>0</v>
      </c>
      <c r="M264" s="73">
        <v>0</v>
      </c>
      <c r="N264" s="73">
        <v>0</v>
      </c>
      <c r="O264" s="73">
        <v>0</v>
      </c>
      <c r="P264" s="73">
        <v>0</v>
      </c>
      <c r="Q264" s="21" t="s">
        <v>2276</v>
      </c>
      <c r="R264" s="21" t="s">
        <v>2276</v>
      </c>
      <c r="S264" s="73">
        <v>0</v>
      </c>
      <c r="T264" s="73">
        <v>0</v>
      </c>
      <c r="U264" s="73">
        <v>0</v>
      </c>
      <c r="V264" s="73">
        <v>0</v>
      </c>
      <c r="W264" s="73">
        <v>0</v>
      </c>
      <c r="X264" s="73">
        <v>0</v>
      </c>
      <c r="Y264" s="21" t="s">
        <v>2276</v>
      </c>
      <c r="Z264" s="3" t="s">
        <v>2276</v>
      </c>
      <c r="AA264" s="3" t="s">
        <v>2276</v>
      </c>
      <c r="AB264" s="3" t="s">
        <v>2276</v>
      </c>
      <c r="AC264" s="3"/>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3"/>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3"/>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3"/>
      <c r="AD268" s="4"/>
    </row>
    <row r="269" spans="1:30" ht="34.5" customHeight="1">
      <c r="A269" s="11" t="s">
        <v>498</v>
      </c>
      <c r="B269" s="35" t="s">
        <v>503</v>
      </c>
      <c r="C269" s="36" t="s">
        <v>24</v>
      </c>
      <c r="D269" s="36" t="s">
        <v>27</v>
      </c>
      <c r="E269" s="37" t="s">
        <v>130</v>
      </c>
      <c r="F269" s="55" t="s">
        <v>55</v>
      </c>
      <c r="G269" s="11" t="s">
        <v>2276</v>
      </c>
      <c r="H269" s="11" t="s">
        <v>524</v>
      </c>
      <c r="I269" s="3">
        <v>1997</v>
      </c>
      <c r="J269" s="73">
        <v>0</v>
      </c>
      <c r="K269" s="73">
        <v>0</v>
      </c>
      <c r="L269" s="73">
        <v>0</v>
      </c>
      <c r="M269" s="73">
        <v>0</v>
      </c>
      <c r="N269" s="73">
        <v>0</v>
      </c>
      <c r="O269" s="73">
        <v>0</v>
      </c>
      <c r="P269" s="73">
        <v>0</v>
      </c>
      <c r="Q269" s="21" t="s">
        <v>2276</v>
      </c>
      <c r="R269" s="21" t="s">
        <v>2276</v>
      </c>
      <c r="S269" s="73">
        <v>0</v>
      </c>
      <c r="T269" s="73">
        <v>0</v>
      </c>
      <c r="U269" s="73">
        <v>0</v>
      </c>
      <c r="V269" s="73">
        <v>0</v>
      </c>
      <c r="W269" s="73">
        <v>0</v>
      </c>
      <c r="X269" s="73">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3"/>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3"/>
      <c r="AD271" s="4"/>
    </row>
    <row r="272" spans="1:30" ht="39.5" customHeight="1">
      <c r="A272" s="11" t="s">
        <v>499</v>
      </c>
      <c r="B272" s="35" t="s">
        <v>506</v>
      </c>
      <c r="C272" s="36" t="s">
        <v>24</v>
      </c>
      <c r="D272" s="36" t="s">
        <v>27</v>
      </c>
      <c r="E272" s="37" t="s">
        <v>130</v>
      </c>
      <c r="F272" s="55" t="s">
        <v>55</v>
      </c>
      <c r="G272" s="11" t="s">
        <v>2276</v>
      </c>
      <c r="H272" s="11" t="s">
        <v>524</v>
      </c>
      <c r="I272" s="3">
        <v>1990</v>
      </c>
      <c r="J272" s="73">
        <v>0</v>
      </c>
      <c r="K272" s="73">
        <v>0</v>
      </c>
      <c r="L272" s="73">
        <v>0</v>
      </c>
      <c r="M272" s="73">
        <v>0</v>
      </c>
      <c r="N272" s="73">
        <v>0</v>
      </c>
      <c r="O272" s="73">
        <v>0</v>
      </c>
      <c r="P272" s="73">
        <v>0</v>
      </c>
      <c r="Q272" s="21" t="s">
        <v>2276</v>
      </c>
      <c r="R272" s="21" t="s">
        <v>2276</v>
      </c>
      <c r="S272" s="73">
        <v>0</v>
      </c>
      <c r="T272" s="73">
        <v>0</v>
      </c>
      <c r="U272" s="73">
        <v>0</v>
      </c>
      <c r="V272" s="73">
        <v>0</v>
      </c>
      <c r="W272" s="73">
        <v>0</v>
      </c>
      <c r="X272" s="73">
        <v>0</v>
      </c>
      <c r="Y272" s="21" t="s">
        <v>2276</v>
      </c>
      <c r="Z272" s="3" t="s">
        <v>2276</v>
      </c>
      <c r="AA272" s="3" t="s">
        <v>2276</v>
      </c>
      <c r="AB272" s="3" t="s">
        <v>2276</v>
      </c>
      <c r="AC272" s="3"/>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3"/>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3"/>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3"/>
    </row>
    <row r="286" spans="1:30" ht="135" customHeight="1">
      <c r="A286" s="3"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3"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3" t="s">
        <v>2276</v>
      </c>
      <c r="AA355" s="3" t="s">
        <v>2276</v>
      </c>
      <c r="AB355" s="3"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3"/>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3" t="s">
        <v>2276</v>
      </c>
      <c r="AA366" s="3" t="s">
        <v>2276</v>
      </c>
      <c r="AB366" s="3"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3"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3"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3"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3"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3"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3"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3" t="s">
        <v>1966</v>
      </c>
      <c r="AD442" s="4"/>
    </row>
    <row r="443" spans="1:30" ht="55" customHeight="1">
      <c r="A443" s="11" t="s">
        <v>588</v>
      </c>
      <c r="B443" s="11" t="s">
        <v>591</v>
      </c>
      <c r="C443" s="23" t="s">
        <v>24</v>
      </c>
      <c r="D443" s="23" t="s">
        <v>27</v>
      </c>
      <c r="E443" s="26" t="s">
        <v>130</v>
      </c>
      <c r="F443" s="19" t="s">
        <v>161</v>
      </c>
      <c r="G443" s="11" t="s">
        <v>2276</v>
      </c>
      <c r="H443" s="19" t="s">
        <v>523</v>
      </c>
      <c r="I443" s="3"/>
      <c r="J443" s="3" t="s">
        <v>2276</v>
      </c>
      <c r="K443" s="3" t="s">
        <v>2276</v>
      </c>
      <c r="L443" s="3" t="s">
        <v>2276</v>
      </c>
      <c r="M443" s="3" t="s">
        <v>2276</v>
      </c>
      <c r="N443" s="3" t="s">
        <v>2276</v>
      </c>
      <c r="O443" s="3" t="s">
        <v>2276</v>
      </c>
      <c r="P443" s="3" t="s">
        <v>2276</v>
      </c>
      <c r="Q443" s="21" t="s">
        <v>2276</v>
      </c>
      <c r="R443" s="21" t="s">
        <v>2276</v>
      </c>
      <c r="S443" s="3" t="s">
        <v>2276</v>
      </c>
      <c r="T443" s="3" t="s">
        <v>2276</v>
      </c>
      <c r="U443" s="3" t="s">
        <v>2276</v>
      </c>
      <c r="V443" s="3" t="s">
        <v>2276</v>
      </c>
      <c r="W443" s="3" t="s">
        <v>2276</v>
      </c>
      <c r="X443" s="3"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3"/>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3"/>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3"/>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3"/>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3"/>
      <c r="AD452" s="4" t="s">
        <v>2008</v>
      </c>
    </row>
    <row r="453" spans="1:30" ht="43" customHeight="1">
      <c r="A453" s="23" t="s">
        <v>602</v>
      </c>
      <c r="B453" s="23" t="s">
        <v>609</v>
      </c>
      <c r="C453" s="23" t="s">
        <v>24</v>
      </c>
      <c r="D453" s="23" t="s">
        <v>143</v>
      </c>
      <c r="E453" s="26" t="s">
        <v>130</v>
      </c>
      <c r="F453" s="26" t="s">
        <v>74</v>
      </c>
      <c r="G453" s="26" t="s">
        <v>74</v>
      </c>
      <c r="H453" s="26" t="s">
        <v>523</v>
      </c>
      <c r="I453" s="22"/>
      <c r="J453" s="77" t="s">
        <v>2276</v>
      </c>
      <c r="K453" s="77" t="s">
        <v>2276</v>
      </c>
      <c r="L453" s="77" t="s">
        <v>2276</v>
      </c>
      <c r="M453" s="77" t="s">
        <v>2276</v>
      </c>
      <c r="N453" s="77" t="s">
        <v>2276</v>
      </c>
      <c r="O453" s="77" t="s">
        <v>2276</v>
      </c>
      <c r="P453" s="77" t="s">
        <v>2276</v>
      </c>
      <c r="Q453" s="77" t="s">
        <v>2276</v>
      </c>
      <c r="R453" s="77" t="s">
        <v>2276</v>
      </c>
      <c r="S453" s="77" t="s">
        <v>2276</v>
      </c>
      <c r="T453" s="77" t="s">
        <v>2276</v>
      </c>
      <c r="U453" s="77" t="s">
        <v>2276</v>
      </c>
      <c r="V453" s="77" t="s">
        <v>2276</v>
      </c>
      <c r="W453" s="77" t="s">
        <v>2276</v>
      </c>
      <c r="X453" s="77" t="s">
        <v>2276</v>
      </c>
      <c r="Y453" s="77"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7" t="s">
        <v>2276</v>
      </c>
      <c r="K454" s="77" t="s">
        <v>2276</v>
      </c>
      <c r="L454" s="77" t="s">
        <v>2276</v>
      </c>
      <c r="M454" s="77" t="s">
        <v>2276</v>
      </c>
      <c r="N454" s="77" t="s">
        <v>2276</v>
      </c>
      <c r="O454" s="77" t="s">
        <v>2276</v>
      </c>
      <c r="P454" s="77" t="s">
        <v>2276</v>
      </c>
      <c r="Q454" s="77" t="s">
        <v>2276</v>
      </c>
      <c r="R454" s="77" t="s">
        <v>2276</v>
      </c>
      <c r="S454" s="77" t="s">
        <v>2276</v>
      </c>
      <c r="T454" s="77" t="s">
        <v>2276</v>
      </c>
      <c r="U454" s="77" t="s">
        <v>2276</v>
      </c>
      <c r="V454" s="77" t="s">
        <v>2276</v>
      </c>
      <c r="W454" s="77" t="s">
        <v>2276</v>
      </c>
      <c r="X454" s="77" t="s">
        <v>2276</v>
      </c>
      <c r="Y454" s="77"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7" t="s">
        <v>2276</v>
      </c>
      <c r="K455" s="77" t="s">
        <v>2276</v>
      </c>
      <c r="L455" s="77" t="s">
        <v>2276</v>
      </c>
      <c r="M455" s="77" t="s">
        <v>2276</v>
      </c>
      <c r="N455" s="77" t="s">
        <v>2276</v>
      </c>
      <c r="O455" s="77" t="s">
        <v>2276</v>
      </c>
      <c r="P455" s="77" t="s">
        <v>2276</v>
      </c>
      <c r="Q455" s="77" t="s">
        <v>2276</v>
      </c>
      <c r="R455" s="77" t="s">
        <v>2276</v>
      </c>
      <c r="S455" s="77" t="s">
        <v>2276</v>
      </c>
      <c r="T455" s="77" t="s">
        <v>2276</v>
      </c>
      <c r="U455" s="77" t="s">
        <v>2276</v>
      </c>
      <c r="V455" s="77" t="s">
        <v>2276</v>
      </c>
      <c r="W455" s="77" t="s">
        <v>2276</v>
      </c>
      <c r="X455" s="77" t="s">
        <v>2276</v>
      </c>
      <c r="Y455" s="77"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7" t="s">
        <v>2276</v>
      </c>
      <c r="K456" s="77" t="s">
        <v>2276</v>
      </c>
      <c r="L456" s="77" t="s">
        <v>2276</v>
      </c>
      <c r="M456" s="77" t="s">
        <v>2276</v>
      </c>
      <c r="N456" s="77" t="s">
        <v>2276</v>
      </c>
      <c r="O456" s="77" t="s">
        <v>2276</v>
      </c>
      <c r="P456" s="77" t="s">
        <v>2276</v>
      </c>
      <c r="Q456" s="77" t="s">
        <v>2276</v>
      </c>
      <c r="R456" s="77" t="s">
        <v>2276</v>
      </c>
      <c r="S456" s="77" t="s">
        <v>2276</v>
      </c>
      <c r="T456" s="77" t="s">
        <v>2276</v>
      </c>
      <c r="U456" s="77" t="s">
        <v>2276</v>
      </c>
      <c r="V456" s="77" t="s">
        <v>2276</v>
      </c>
      <c r="W456" s="77" t="s">
        <v>2276</v>
      </c>
      <c r="X456" s="77" t="s">
        <v>2276</v>
      </c>
      <c r="Y456" s="77"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3"/>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3"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3"/>
      <c r="AD464" s="4" t="s">
        <v>2018</v>
      </c>
    </row>
    <row r="465" spans="1:30" ht="48.5" customHeight="1">
      <c r="A465" s="11" t="s">
        <v>661</v>
      </c>
      <c r="B465" s="11" t="s">
        <v>665</v>
      </c>
      <c r="C465" s="23" t="s">
        <v>24</v>
      </c>
      <c r="D465" s="23" t="s">
        <v>27</v>
      </c>
      <c r="E465" s="11" t="s">
        <v>130</v>
      </c>
      <c r="F465" s="19" t="s">
        <v>161</v>
      </c>
      <c r="G465" s="11" t="s">
        <v>2276</v>
      </c>
      <c r="H465" s="19" t="s">
        <v>523</v>
      </c>
      <c r="I465" s="19"/>
      <c r="J465" s="82" t="s">
        <v>2276</v>
      </c>
      <c r="K465" s="82" t="s">
        <v>2276</v>
      </c>
      <c r="L465" s="82" t="s">
        <v>2276</v>
      </c>
      <c r="M465" s="82" t="s">
        <v>2276</v>
      </c>
      <c r="N465" s="82" t="s">
        <v>2276</v>
      </c>
      <c r="O465" s="21" t="s">
        <v>2276</v>
      </c>
      <c r="P465" s="82" t="s">
        <v>2276</v>
      </c>
      <c r="Q465" s="21" t="s">
        <v>2276</v>
      </c>
      <c r="R465" s="21" t="s">
        <v>2276</v>
      </c>
      <c r="S465" s="82" t="s">
        <v>2276</v>
      </c>
      <c r="T465" s="82" t="s">
        <v>2276</v>
      </c>
      <c r="U465" s="82" t="s">
        <v>2276</v>
      </c>
      <c r="V465" s="82" t="s">
        <v>2276</v>
      </c>
      <c r="W465" s="82" t="s">
        <v>2276</v>
      </c>
      <c r="X465" s="82" t="s">
        <v>2276</v>
      </c>
      <c r="Y465" s="82">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3"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3"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3" t="s">
        <v>582</v>
      </c>
    </row>
    <row r="470" spans="1:30" ht="56" customHeight="1">
      <c r="A470" s="11" t="s">
        <v>674</v>
      </c>
      <c r="B470" s="3"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3"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3"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3"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3"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3"/>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3"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4" t="s">
        <v>2276</v>
      </c>
      <c r="Z488" s="3" t="s">
        <v>2276</v>
      </c>
      <c r="AA488" s="3" t="s">
        <v>2276</v>
      </c>
      <c r="AB488" s="3" t="s">
        <v>2276</v>
      </c>
      <c r="AC488" s="3" t="s">
        <v>746</v>
      </c>
      <c r="AD488" s="3"/>
    </row>
    <row r="489" spans="1:30" ht="64" customHeight="1">
      <c r="A489" s="11" t="s">
        <v>705</v>
      </c>
      <c r="B489" s="3"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3"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4"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3"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4" t="s">
        <v>2276</v>
      </c>
      <c r="Z492" s="3" t="s">
        <v>2276</v>
      </c>
      <c r="AA492" s="3" t="s">
        <v>2276</v>
      </c>
      <c r="AB492" s="3" t="s">
        <v>2276</v>
      </c>
      <c r="AC492" s="3" t="s">
        <v>746</v>
      </c>
      <c r="AD492" s="3"/>
    </row>
    <row r="493" spans="1:30" ht="39.5" customHeight="1">
      <c r="A493" s="3" t="s">
        <v>725</v>
      </c>
      <c r="B493" s="3"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3" t="s">
        <v>725</v>
      </c>
      <c r="B494" s="3"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3" t="s">
        <v>746</v>
      </c>
      <c r="AD494" s="3"/>
    </row>
    <row r="495" spans="1:30" ht="38" customHeight="1">
      <c r="A495" s="3" t="s">
        <v>726</v>
      </c>
      <c r="B495" s="3"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3" t="s">
        <v>718</v>
      </c>
      <c r="AD495" s="3" t="s">
        <v>2044</v>
      </c>
    </row>
    <row r="496" spans="1:30" ht="38" customHeight="1">
      <c r="A496" s="3" t="s">
        <v>726</v>
      </c>
      <c r="B496" s="3"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3"/>
    </row>
    <row r="497" spans="1:30" ht="37" customHeight="1">
      <c r="A497" s="3" t="s">
        <v>727</v>
      </c>
      <c r="B497" s="3"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3" t="s">
        <v>2044</v>
      </c>
    </row>
    <row r="498" spans="1:30" ht="38.5" customHeight="1">
      <c r="A498" s="3" t="s">
        <v>727</v>
      </c>
      <c r="B498" s="3"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3" t="s">
        <v>746</v>
      </c>
      <c r="AD498" s="3"/>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3"/>
    </row>
    <row r="500" spans="1:30" ht="48.5" customHeight="1">
      <c r="A500" s="11" t="s">
        <v>753</v>
      </c>
      <c r="B500" s="11" t="s">
        <v>763</v>
      </c>
      <c r="C500" s="23" t="s">
        <v>24</v>
      </c>
      <c r="D500" s="23" t="s">
        <v>27</v>
      </c>
      <c r="E500" s="11" t="s">
        <v>130</v>
      </c>
      <c r="F500" s="19" t="s">
        <v>161</v>
      </c>
      <c r="G500" s="19" t="s">
        <v>2276</v>
      </c>
      <c r="H500" s="3"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3"/>
      <c r="AD500" s="4" t="s">
        <v>5017</v>
      </c>
    </row>
    <row r="501" spans="1:30" ht="52.5" customHeight="1">
      <c r="A501" s="11" t="s">
        <v>756</v>
      </c>
      <c r="B501" s="11" t="s">
        <v>764</v>
      </c>
      <c r="C501" s="23" t="s">
        <v>24</v>
      </c>
      <c r="D501" s="23" t="s">
        <v>27</v>
      </c>
      <c r="E501" s="11" t="s">
        <v>130</v>
      </c>
      <c r="F501" s="19" t="s">
        <v>161</v>
      </c>
      <c r="G501" s="19" t="s">
        <v>2276</v>
      </c>
      <c r="H501" s="3"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3"/>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3"/>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3"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3"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4" t="s">
        <v>2276</v>
      </c>
      <c r="P508" s="74" t="s">
        <v>2276</v>
      </c>
      <c r="Q508" s="21" t="s">
        <v>2276</v>
      </c>
      <c r="R508" s="21" t="s">
        <v>2276</v>
      </c>
      <c r="S508" s="74"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4" t="s">
        <v>2276</v>
      </c>
      <c r="P509" s="74" t="s">
        <v>2276</v>
      </c>
      <c r="Q509" s="21" t="s">
        <v>2276</v>
      </c>
      <c r="R509" s="21" t="s">
        <v>2276</v>
      </c>
      <c r="S509" s="74"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4" t="s">
        <v>2276</v>
      </c>
      <c r="P510" s="74" t="s">
        <v>2276</v>
      </c>
      <c r="Q510" s="21" t="s">
        <v>2276</v>
      </c>
      <c r="R510" s="21" t="s">
        <v>2276</v>
      </c>
      <c r="S510" s="74" t="s">
        <v>2276</v>
      </c>
      <c r="T510" s="21" t="s">
        <v>2276</v>
      </c>
      <c r="U510" s="21" t="s">
        <v>2276</v>
      </c>
      <c r="V510" s="21" t="s">
        <v>2276</v>
      </c>
      <c r="W510" s="21" t="s">
        <v>2276</v>
      </c>
      <c r="X510" s="21" t="s">
        <v>2276</v>
      </c>
      <c r="Y510" s="21">
        <v>7.9</v>
      </c>
      <c r="Z510" s="3" t="s">
        <v>2276</v>
      </c>
      <c r="AA510" s="3" t="s">
        <v>2276</v>
      </c>
      <c r="AB510" s="3" t="s">
        <v>2276</v>
      </c>
      <c r="AC510" s="3"/>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4" t="s">
        <v>2276</v>
      </c>
      <c r="P511" s="74" t="s">
        <v>2276</v>
      </c>
      <c r="Q511" s="21" t="s">
        <v>2276</v>
      </c>
      <c r="R511" s="21" t="s">
        <v>2276</v>
      </c>
      <c r="S511" s="74" t="s">
        <v>2276</v>
      </c>
      <c r="T511" s="21" t="s">
        <v>2276</v>
      </c>
      <c r="U511" s="21" t="s">
        <v>2276</v>
      </c>
      <c r="V511" s="21" t="s">
        <v>2276</v>
      </c>
      <c r="W511" s="21" t="s">
        <v>2276</v>
      </c>
      <c r="X511" s="21" t="s">
        <v>2276</v>
      </c>
      <c r="Y511" s="21">
        <v>6.8</v>
      </c>
      <c r="Z511" s="3" t="s">
        <v>2276</v>
      </c>
      <c r="AA511" s="3" t="s">
        <v>2276</v>
      </c>
      <c r="AB511" s="3" t="s">
        <v>2276</v>
      </c>
      <c r="AC511" s="3"/>
      <c r="AD511" s="4" t="s">
        <v>2051</v>
      </c>
    </row>
    <row r="512" spans="1:30" ht="50" customHeight="1">
      <c r="A512" s="11" t="s">
        <v>784</v>
      </c>
      <c r="B512" s="11" t="s">
        <v>794</v>
      </c>
      <c r="C512" s="23" t="s">
        <v>24</v>
      </c>
      <c r="D512" s="23" t="s">
        <v>27</v>
      </c>
      <c r="E512" s="19" t="s">
        <v>397</v>
      </c>
      <c r="F512" s="19" t="s">
        <v>28</v>
      </c>
      <c r="G512" s="19" t="s">
        <v>2276</v>
      </c>
      <c r="H512" s="3"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3" t="s">
        <v>746</v>
      </c>
      <c r="AD512" s="3"/>
    </row>
    <row r="513" spans="1:30" ht="53.5" customHeight="1">
      <c r="A513" s="11" t="s">
        <v>789</v>
      </c>
      <c r="B513" s="11" t="s">
        <v>795</v>
      </c>
      <c r="C513" s="23" t="s">
        <v>24</v>
      </c>
      <c r="D513" s="23" t="s">
        <v>27</v>
      </c>
      <c r="E513" s="11" t="s">
        <v>130</v>
      </c>
      <c r="F513" s="19" t="s">
        <v>161</v>
      </c>
      <c r="G513" s="19" t="s">
        <v>2276</v>
      </c>
      <c r="H513" s="3"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4" t="s">
        <v>2276</v>
      </c>
      <c r="W513" s="74" t="s">
        <v>2276</v>
      </c>
      <c r="X513" s="21" t="s">
        <v>2276</v>
      </c>
      <c r="Y513" s="21">
        <v>9.8000000000000007</v>
      </c>
      <c r="Z513" s="3" t="s">
        <v>2276</v>
      </c>
      <c r="AA513" s="3" t="s">
        <v>2276</v>
      </c>
      <c r="AB513" s="3" t="s">
        <v>2276</v>
      </c>
      <c r="AC513" s="3"/>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3" t="s">
        <v>746</v>
      </c>
      <c r="AD514" s="3"/>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3"/>
      <c r="AD515" s="3"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3"/>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3"/>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3"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3"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3"/>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3"/>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3" t="s">
        <v>833</v>
      </c>
      <c r="AD526" s="3"/>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3"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3"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3" t="s">
        <v>2276</v>
      </c>
      <c r="AA531" s="3" t="s">
        <v>2276</v>
      </c>
      <c r="AB531" s="3" t="s">
        <v>2276</v>
      </c>
      <c r="AC531" s="4"/>
      <c r="AD531" s="4" t="s">
        <v>2419</v>
      </c>
    </row>
    <row r="532" spans="1:30" ht="37.5" customHeight="1">
      <c r="A532" s="3" t="s">
        <v>846</v>
      </c>
      <c r="B532" s="3"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3"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3"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3"/>
      <c r="AD534" s="3"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3"/>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3"/>
    </row>
    <row r="537" spans="1:30" ht="83.5" customHeight="1">
      <c r="A537" s="11" t="s">
        <v>869</v>
      </c>
      <c r="B537" s="11" t="s">
        <v>874</v>
      </c>
      <c r="C537" s="23" t="s">
        <v>24</v>
      </c>
      <c r="D537" s="23" t="s">
        <v>27</v>
      </c>
      <c r="E537" s="11" t="s">
        <v>130</v>
      </c>
      <c r="F537" s="19" t="s">
        <v>161</v>
      </c>
      <c r="G537" s="19"/>
      <c r="H537" s="11" t="s">
        <v>523</v>
      </c>
      <c r="I537" s="11"/>
      <c r="J537" s="74" t="s">
        <v>2276</v>
      </c>
      <c r="K537" s="89">
        <v>0.2</v>
      </c>
      <c r="L537" s="89" t="s">
        <v>2276</v>
      </c>
      <c r="M537" s="89">
        <v>0.5</v>
      </c>
      <c r="N537" s="89" t="s">
        <v>2276</v>
      </c>
      <c r="O537" s="89">
        <v>0.35</v>
      </c>
      <c r="P537" s="89" t="s">
        <v>2276</v>
      </c>
      <c r="Q537" s="89" t="s">
        <v>2276</v>
      </c>
      <c r="R537" s="89" t="s">
        <v>2276</v>
      </c>
      <c r="S537" s="89" t="s">
        <v>2276</v>
      </c>
      <c r="T537" s="89" t="s">
        <v>2276</v>
      </c>
      <c r="U537" s="89" t="s">
        <v>2276</v>
      </c>
      <c r="V537" s="89" t="s">
        <v>2276</v>
      </c>
      <c r="W537" s="89" t="s">
        <v>2276</v>
      </c>
      <c r="X537" s="89" t="s">
        <v>2276</v>
      </c>
      <c r="Y537" s="74">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4" t="s">
        <v>2276</v>
      </c>
      <c r="K538" s="89">
        <v>0.2</v>
      </c>
      <c r="L538" s="89" t="s">
        <v>2276</v>
      </c>
      <c r="M538" s="89">
        <v>0.5</v>
      </c>
      <c r="N538" s="89" t="s">
        <v>2276</v>
      </c>
      <c r="O538" s="89">
        <v>0.35</v>
      </c>
      <c r="P538" s="89" t="s">
        <v>2276</v>
      </c>
      <c r="Q538" s="89" t="s">
        <v>2276</v>
      </c>
      <c r="R538" s="89" t="s">
        <v>2276</v>
      </c>
      <c r="S538" s="89" t="s">
        <v>2276</v>
      </c>
      <c r="T538" s="89" t="s">
        <v>2276</v>
      </c>
      <c r="U538" s="89" t="s">
        <v>2276</v>
      </c>
      <c r="V538" s="89" t="s">
        <v>2276</v>
      </c>
      <c r="W538" s="89" t="s">
        <v>2276</v>
      </c>
      <c r="X538" s="89" t="s">
        <v>2276</v>
      </c>
      <c r="Y538" s="74">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4" t="s">
        <v>2276</v>
      </c>
      <c r="K539" s="89">
        <v>0.2</v>
      </c>
      <c r="L539" s="89" t="s">
        <v>2276</v>
      </c>
      <c r="M539" s="89">
        <v>0.5</v>
      </c>
      <c r="N539" s="89" t="s">
        <v>2276</v>
      </c>
      <c r="O539" s="89">
        <v>0.35</v>
      </c>
      <c r="P539" s="89" t="s">
        <v>2276</v>
      </c>
      <c r="Q539" s="89" t="s">
        <v>2276</v>
      </c>
      <c r="R539" s="89" t="s">
        <v>2276</v>
      </c>
      <c r="S539" s="89" t="s">
        <v>2276</v>
      </c>
      <c r="T539" s="89" t="s">
        <v>2276</v>
      </c>
      <c r="U539" s="89" t="s">
        <v>2276</v>
      </c>
      <c r="V539" s="89" t="s">
        <v>2276</v>
      </c>
      <c r="W539" s="89" t="s">
        <v>2276</v>
      </c>
      <c r="X539" s="89" t="s">
        <v>2276</v>
      </c>
      <c r="Y539" s="74">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4" t="s">
        <v>2276</v>
      </c>
      <c r="K540" s="89">
        <v>0.2</v>
      </c>
      <c r="L540" s="89" t="s">
        <v>2276</v>
      </c>
      <c r="M540" s="89">
        <v>0.5</v>
      </c>
      <c r="N540" s="89" t="s">
        <v>2276</v>
      </c>
      <c r="O540" s="89">
        <v>0.35</v>
      </c>
      <c r="P540" s="89" t="s">
        <v>2276</v>
      </c>
      <c r="Q540" s="89" t="s">
        <v>2276</v>
      </c>
      <c r="R540" s="89" t="s">
        <v>2276</v>
      </c>
      <c r="S540" s="89" t="s">
        <v>2276</v>
      </c>
      <c r="T540" s="89" t="s">
        <v>2276</v>
      </c>
      <c r="U540" s="89" t="s">
        <v>2276</v>
      </c>
      <c r="V540" s="89" t="s">
        <v>2276</v>
      </c>
      <c r="W540" s="89" t="s">
        <v>2276</v>
      </c>
      <c r="X540" s="89" t="s">
        <v>2276</v>
      </c>
      <c r="Y540" s="74">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4" t="s">
        <v>2276</v>
      </c>
      <c r="K541" s="89">
        <v>0.2</v>
      </c>
      <c r="L541" s="89" t="s">
        <v>2276</v>
      </c>
      <c r="M541" s="89">
        <v>0.5</v>
      </c>
      <c r="N541" s="89" t="s">
        <v>2276</v>
      </c>
      <c r="O541" s="89">
        <v>0.35</v>
      </c>
      <c r="P541" s="89" t="s">
        <v>2276</v>
      </c>
      <c r="Q541" s="89" t="s">
        <v>2276</v>
      </c>
      <c r="R541" s="89" t="s">
        <v>2276</v>
      </c>
      <c r="S541" s="89" t="s">
        <v>2276</v>
      </c>
      <c r="T541" s="89" t="s">
        <v>2276</v>
      </c>
      <c r="U541" s="89" t="s">
        <v>2276</v>
      </c>
      <c r="V541" s="89" t="s">
        <v>2276</v>
      </c>
      <c r="W541" s="89" t="s">
        <v>2276</v>
      </c>
      <c r="X541" s="89" t="s">
        <v>2276</v>
      </c>
      <c r="Y541" s="74">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4" t="s">
        <v>2276</v>
      </c>
      <c r="K542" s="89">
        <v>0.2</v>
      </c>
      <c r="L542" s="89" t="s">
        <v>2276</v>
      </c>
      <c r="M542" s="89">
        <v>0.5</v>
      </c>
      <c r="N542" s="89" t="s">
        <v>2276</v>
      </c>
      <c r="O542" s="89">
        <v>0.35</v>
      </c>
      <c r="P542" s="89" t="s">
        <v>2276</v>
      </c>
      <c r="Q542" s="89" t="s">
        <v>2276</v>
      </c>
      <c r="R542" s="89" t="s">
        <v>2276</v>
      </c>
      <c r="S542" s="89" t="s">
        <v>2276</v>
      </c>
      <c r="T542" s="89" t="s">
        <v>2276</v>
      </c>
      <c r="U542" s="89" t="s">
        <v>2276</v>
      </c>
      <c r="V542" s="89" t="s">
        <v>2276</v>
      </c>
      <c r="W542" s="89" t="s">
        <v>2276</v>
      </c>
      <c r="X542" s="89" t="s">
        <v>2276</v>
      </c>
      <c r="Y542" s="74">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4" t="s">
        <v>2276</v>
      </c>
      <c r="K543" s="89">
        <v>0.2</v>
      </c>
      <c r="L543" s="89" t="s">
        <v>2276</v>
      </c>
      <c r="M543" s="89">
        <v>0.5</v>
      </c>
      <c r="N543" s="89" t="s">
        <v>2276</v>
      </c>
      <c r="O543" s="89">
        <v>0.35</v>
      </c>
      <c r="P543" s="89" t="s">
        <v>2276</v>
      </c>
      <c r="Q543" s="89" t="s">
        <v>2276</v>
      </c>
      <c r="R543" s="89" t="s">
        <v>2276</v>
      </c>
      <c r="S543" s="89" t="s">
        <v>2276</v>
      </c>
      <c r="T543" s="89" t="s">
        <v>2276</v>
      </c>
      <c r="U543" s="89" t="s">
        <v>2276</v>
      </c>
      <c r="V543" s="89" t="s">
        <v>2276</v>
      </c>
      <c r="W543" s="89" t="s">
        <v>2276</v>
      </c>
      <c r="X543" s="89" t="s">
        <v>2276</v>
      </c>
      <c r="Y543" s="74">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4" t="s">
        <v>2276</v>
      </c>
      <c r="K544" s="89">
        <v>0.2</v>
      </c>
      <c r="L544" s="89" t="s">
        <v>2276</v>
      </c>
      <c r="M544" s="89">
        <v>0.5</v>
      </c>
      <c r="N544" s="89" t="s">
        <v>2276</v>
      </c>
      <c r="O544" s="89">
        <v>0.35</v>
      </c>
      <c r="P544" s="89" t="s">
        <v>2276</v>
      </c>
      <c r="Q544" s="89" t="s">
        <v>2276</v>
      </c>
      <c r="R544" s="89" t="s">
        <v>2276</v>
      </c>
      <c r="S544" s="89" t="s">
        <v>2276</v>
      </c>
      <c r="T544" s="89" t="s">
        <v>2276</v>
      </c>
      <c r="U544" s="89" t="s">
        <v>2276</v>
      </c>
      <c r="V544" s="89" t="s">
        <v>2276</v>
      </c>
      <c r="W544" s="89" t="s">
        <v>2276</v>
      </c>
      <c r="X544" s="89" t="s">
        <v>2276</v>
      </c>
      <c r="Y544" s="74">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4" t="s">
        <v>2276</v>
      </c>
      <c r="K545" s="89">
        <v>0.2</v>
      </c>
      <c r="L545" s="89" t="s">
        <v>2276</v>
      </c>
      <c r="M545" s="89">
        <v>0.5</v>
      </c>
      <c r="N545" s="89" t="s">
        <v>2276</v>
      </c>
      <c r="O545" s="89">
        <v>0.35</v>
      </c>
      <c r="P545" s="89" t="s">
        <v>2276</v>
      </c>
      <c r="Q545" s="89" t="s">
        <v>2276</v>
      </c>
      <c r="R545" s="89" t="s">
        <v>2276</v>
      </c>
      <c r="S545" s="89" t="s">
        <v>2276</v>
      </c>
      <c r="T545" s="89" t="s">
        <v>2276</v>
      </c>
      <c r="U545" s="89" t="s">
        <v>2276</v>
      </c>
      <c r="V545" s="89" t="s">
        <v>2276</v>
      </c>
      <c r="W545" s="89" t="s">
        <v>2276</v>
      </c>
      <c r="X545" s="89" t="s">
        <v>2276</v>
      </c>
      <c r="Y545" s="74">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4" t="s">
        <v>2276</v>
      </c>
      <c r="K546" s="89">
        <v>0.2</v>
      </c>
      <c r="L546" s="89" t="s">
        <v>2276</v>
      </c>
      <c r="M546" s="89">
        <v>0.5</v>
      </c>
      <c r="N546" s="89" t="s">
        <v>2276</v>
      </c>
      <c r="O546" s="89">
        <v>0.35</v>
      </c>
      <c r="P546" s="89" t="s">
        <v>2276</v>
      </c>
      <c r="Q546" s="89" t="s">
        <v>2276</v>
      </c>
      <c r="R546" s="89" t="s">
        <v>2276</v>
      </c>
      <c r="S546" s="89" t="s">
        <v>2276</v>
      </c>
      <c r="T546" s="89" t="s">
        <v>2276</v>
      </c>
      <c r="U546" s="89" t="s">
        <v>2276</v>
      </c>
      <c r="V546" s="89" t="s">
        <v>2276</v>
      </c>
      <c r="W546" s="89" t="s">
        <v>2276</v>
      </c>
      <c r="X546" s="89" t="s">
        <v>2276</v>
      </c>
      <c r="Y546" s="74">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4" t="s">
        <v>2276</v>
      </c>
      <c r="K547" s="89">
        <v>0.2</v>
      </c>
      <c r="L547" s="89" t="s">
        <v>2276</v>
      </c>
      <c r="M547" s="89">
        <v>0.5</v>
      </c>
      <c r="N547" s="89" t="s">
        <v>2276</v>
      </c>
      <c r="O547" s="89">
        <v>0.35</v>
      </c>
      <c r="P547" s="89" t="s">
        <v>2276</v>
      </c>
      <c r="Q547" s="89" t="s">
        <v>2276</v>
      </c>
      <c r="R547" s="89" t="s">
        <v>2276</v>
      </c>
      <c r="S547" s="89" t="s">
        <v>2276</v>
      </c>
      <c r="T547" s="89" t="s">
        <v>2276</v>
      </c>
      <c r="U547" s="89" t="s">
        <v>2276</v>
      </c>
      <c r="V547" s="89" t="s">
        <v>2276</v>
      </c>
      <c r="W547" s="89" t="s">
        <v>2276</v>
      </c>
      <c r="X547" s="89" t="s">
        <v>2276</v>
      </c>
      <c r="Y547" s="74">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4" t="s">
        <v>2276</v>
      </c>
      <c r="K548" s="89">
        <v>0.2</v>
      </c>
      <c r="L548" s="89" t="s">
        <v>2276</v>
      </c>
      <c r="M548" s="89">
        <v>0.5</v>
      </c>
      <c r="N548" s="89" t="s">
        <v>2276</v>
      </c>
      <c r="O548" s="89">
        <v>0.35</v>
      </c>
      <c r="P548" s="89" t="s">
        <v>2276</v>
      </c>
      <c r="Q548" s="89" t="s">
        <v>2276</v>
      </c>
      <c r="R548" s="89" t="s">
        <v>2276</v>
      </c>
      <c r="S548" s="89" t="s">
        <v>2276</v>
      </c>
      <c r="T548" s="89" t="s">
        <v>2276</v>
      </c>
      <c r="U548" s="89" t="s">
        <v>2276</v>
      </c>
      <c r="V548" s="89" t="s">
        <v>2276</v>
      </c>
      <c r="W548" s="89" t="s">
        <v>2276</v>
      </c>
      <c r="X548" s="89" t="s">
        <v>2276</v>
      </c>
      <c r="Y548" s="74">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4" t="s">
        <v>2276</v>
      </c>
      <c r="K549" s="89">
        <v>0.2</v>
      </c>
      <c r="L549" s="89" t="s">
        <v>2276</v>
      </c>
      <c r="M549" s="89">
        <v>0.5</v>
      </c>
      <c r="N549" s="89" t="s">
        <v>2276</v>
      </c>
      <c r="O549" s="89">
        <v>0.35</v>
      </c>
      <c r="P549" s="89" t="s">
        <v>2276</v>
      </c>
      <c r="Q549" s="89" t="s">
        <v>2276</v>
      </c>
      <c r="R549" s="89" t="s">
        <v>2276</v>
      </c>
      <c r="S549" s="89" t="s">
        <v>2276</v>
      </c>
      <c r="T549" s="89" t="s">
        <v>2276</v>
      </c>
      <c r="U549" s="89" t="s">
        <v>2276</v>
      </c>
      <c r="V549" s="89" t="s">
        <v>2276</v>
      </c>
      <c r="W549" s="89" t="s">
        <v>2276</v>
      </c>
      <c r="X549" s="89" t="s">
        <v>2276</v>
      </c>
      <c r="Y549" s="74">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4" t="s">
        <v>2276</v>
      </c>
      <c r="K550" s="89">
        <v>0.2</v>
      </c>
      <c r="L550" s="89" t="s">
        <v>2276</v>
      </c>
      <c r="M550" s="89">
        <v>0.5</v>
      </c>
      <c r="N550" s="89" t="s">
        <v>2276</v>
      </c>
      <c r="O550" s="89">
        <v>0.35</v>
      </c>
      <c r="P550" s="89" t="s">
        <v>2276</v>
      </c>
      <c r="Q550" s="89" t="s">
        <v>2276</v>
      </c>
      <c r="R550" s="89" t="s">
        <v>2276</v>
      </c>
      <c r="S550" s="89" t="s">
        <v>2276</v>
      </c>
      <c r="T550" s="89" t="s">
        <v>2276</v>
      </c>
      <c r="U550" s="89" t="s">
        <v>2276</v>
      </c>
      <c r="V550" s="89" t="s">
        <v>2276</v>
      </c>
      <c r="W550" s="89" t="s">
        <v>2276</v>
      </c>
      <c r="X550" s="89" t="s">
        <v>2276</v>
      </c>
      <c r="Y550" s="74">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4" t="s">
        <v>2276</v>
      </c>
      <c r="K551" s="89">
        <v>0.2</v>
      </c>
      <c r="L551" s="89" t="s">
        <v>2276</v>
      </c>
      <c r="M551" s="89">
        <v>0.5</v>
      </c>
      <c r="N551" s="89" t="s">
        <v>2276</v>
      </c>
      <c r="O551" s="89">
        <v>0.35</v>
      </c>
      <c r="P551" s="89" t="s">
        <v>2276</v>
      </c>
      <c r="Q551" s="89" t="s">
        <v>2276</v>
      </c>
      <c r="R551" s="89" t="s">
        <v>2276</v>
      </c>
      <c r="S551" s="89" t="s">
        <v>2276</v>
      </c>
      <c r="T551" s="89" t="s">
        <v>2276</v>
      </c>
      <c r="U551" s="89" t="s">
        <v>2276</v>
      </c>
      <c r="V551" s="89" t="s">
        <v>2276</v>
      </c>
      <c r="W551" s="89" t="s">
        <v>2276</v>
      </c>
      <c r="X551" s="89" t="s">
        <v>2276</v>
      </c>
      <c r="Y551" s="74">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4" t="s">
        <v>2276</v>
      </c>
      <c r="K552" s="89">
        <v>0.2</v>
      </c>
      <c r="L552" s="89" t="s">
        <v>2276</v>
      </c>
      <c r="M552" s="89">
        <v>0.5</v>
      </c>
      <c r="N552" s="89" t="s">
        <v>2276</v>
      </c>
      <c r="O552" s="89">
        <v>0.35</v>
      </c>
      <c r="P552" s="89" t="s">
        <v>2276</v>
      </c>
      <c r="Q552" s="89" t="s">
        <v>2276</v>
      </c>
      <c r="R552" s="89" t="s">
        <v>2276</v>
      </c>
      <c r="S552" s="89" t="s">
        <v>2276</v>
      </c>
      <c r="T552" s="89" t="s">
        <v>2276</v>
      </c>
      <c r="U552" s="89" t="s">
        <v>2276</v>
      </c>
      <c r="V552" s="89" t="s">
        <v>2276</v>
      </c>
      <c r="W552" s="89" t="s">
        <v>2276</v>
      </c>
      <c r="X552" s="89" t="s">
        <v>2276</v>
      </c>
      <c r="Y552" s="74">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4" t="s">
        <v>2276</v>
      </c>
      <c r="K553" s="89">
        <v>0.2</v>
      </c>
      <c r="L553" s="89" t="s">
        <v>2276</v>
      </c>
      <c r="M553" s="89">
        <v>0.5</v>
      </c>
      <c r="N553" s="89" t="s">
        <v>2276</v>
      </c>
      <c r="O553" s="89">
        <v>0.35</v>
      </c>
      <c r="P553" s="89" t="s">
        <v>2276</v>
      </c>
      <c r="Q553" s="89" t="s">
        <v>2276</v>
      </c>
      <c r="R553" s="89" t="s">
        <v>2276</v>
      </c>
      <c r="S553" s="89" t="s">
        <v>2276</v>
      </c>
      <c r="T553" s="89" t="s">
        <v>2276</v>
      </c>
      <c r="U553" s="89" t="s">
        <v>2276</v>
      </c>
      <c r="V553" s="89" t="s">
        <v>2276</v>
      </c>
      <c r="W553" s="89" t="s">
        <v>2276</v>
      </c>
      <c r="X553" s="89" t="s">
        <v>2276</v>
      </c>
      <c r="Y553" s="74">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4" t="s">
        <v>2276</v>
      </c>
      <c r="K554" s="89">
        <v>0.2</v>
      </c>
      <c r="L554" s="89" t="s">
        <v>2276</v>
      </c>
      <c r="M554" s="89">
        <v>0.5</v>
      </c>
      <c r="N554" s="89" t="s">
        <v>2276</v>
      </c>
      <c r="O554" s="89">
        <v>0.35</v>
      </c>
      <c r="P554" s="89" t="s">
        <v>2276</v>
      </c>
      <c r="Q554" s="89" t="s">
        <v>2276</v>
      </c>
      <c r="R554" s="89" t="s">
        <v>2276</v>
      </c>
      <c r="S554" s="89" t="s">
        <v>2276</v>
      </c>
      <c r="T554" s="89" t="s">
        <v>2276</v>
      </c>
      <c r="U554" s="89" t="s">
        <v>2276</v>
      </c>
      <c r="V554" s="89" t="s">
        <v>2276</v>
      </c>
      <c r="W554" s="89" t="s">
        <v>2276</v>
      </c>
      <c r="X554" s="89" t="s">
        <v>2276</v>
      </c>
      <c r="Y554" s="74">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4" t="s">
        <v>2276</v>
      </c>
      <c r="K555" s="89">
        <v>0.2</v>
      </c>
      <c r="L555" s="89" t="s">
        <v>2276</v>
      </c>
      <c r="M555" s="89">
        <v>0.5</v>
      </c>
      <c r="N555" s="89" t="s">
        <v>2276</v>
      </c>
      <c r="O555" s="89">
        <v>0.35</v>
      </c>
      <c r="P555" s="89" t="s">
        <v>2276</v>
      </c>
      <c r="Q555" s="89" t="s">
        <v>2276</v>
      </c>
      <c r="R555" s="89" t="s">
        <v>2276</v>
      </c>
      <c r="S555" s="89" t="s">
        <v>2276</v>
      </c>
      <c r="T555" s="89" t="s">
        <v>2276</v>
      </c>
      <c r="U555" s="89" t="s">
        <v>2276</v>
      </c>
      <c r="V555" s="89" t="s">
        <v>2276</v>
      </c>
      <c r="W555" s="89" t="s">
        <v>2276</v>
      </c>
      <c r="X555" s="89" t="s">
        <v>2276</v>
      </c>
      <c r="Y555" s="74">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4" t="s">
        <v>2276</v>
      </c>
      <c r="K556" s="89">
        <v>0.2</v>
      </c>
      <c r="L556" s="89" t="s">
        <v>2276</v>
      </c>
      <c r="M556" s="89">
        <v>0.5</v>
      </c>
      <c r="N556" s="89" t="s">
        <v>2276</v>
      </c>
      <c r="O556" s="89">
        <v>0.35</v>
      </c>
      <c r="P556" s="89" t="s">
        <v>2276</v>
      </c>
      <c r="Q556" s="89" t="s">
        <v>2276</v>
      </c>
      <c r="R556" s="89" t="s">
        <v>2276</v>
      </c>
      <c r="S556" s="89" t="s">
        <v>2276</v>
      </c>
      <c r="T556" s="89" t="s">
        <v>2276</v>
      </c>
      <c r="U556" s="89" t="s">
        <v>2276</v>
      </c>
      <c r="V556" s="89" t="s">
        <v>2276</v>
      </c>
      <c r="W556" s="89" t="s">
        <v>2276</v>
      </c>
      <c r="X556" s="89" t="s">
        <v>2276</v>
      </c>
      <c r="Y556" s="74">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4" t="s">
        <v>2276</v>
      </c>
      <c r="K557" s="89">
        <v>0.2</v>
      </c>
      <c r="L557" s="89" t="s">
        <v>2276</v>
      </c>
      <c r="M557" s="89">
        <v>0.5</v>
      </c>
      <c r="N557" s="89" t="s">
        <v>2276</v>
      </c>
      <c r="O557" s="89">
        <v>0.35</v>
      </c>
      <c r="P557" s="89" t="s">
        <v>2276</v>
      </c>
      <c r="Q557" s="89" t="s">
        <v>2276</v>
      </c>
      <c r="R557" s="89" t="s">
        <v>2276</v>
      </c>
      <c r="S557" s="89" t="s">
        <v>2276</v>
      </c>
      <c r="T557" s="89" t="s">
        <v>2276</v>
      </c>
      <c r="U557" s="89" t="s">
        <v>2276</v>
      </c>
      <c r="V557" s="89" t="s">
        <v>2276</v>
      </c>
      <c r="W557" s="89" t="s">
        <v>2276</v>
      </c>
      <c r="X557" s="89" t="s">
        <v>2276</v>
      </c>
      <c r="Y557" s="74">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4" t="s">
        <v>2276</v>
      </c>
      <c r="K558" s="89">
        <v>0.2</v>
      </c>
      <c r="L558" s="89" t="s">
        <v>2276</v>
      </c>
      <c r="M558" s="89">
        <v>0.5</v>
      </c>
      <c r="N558" s="89" t="s">
        <v>2276</v>
      </c>
      <c r="O558" s="89">
        <v>0.35</v>
      </c>
      <c r="P558" s="89" t="s">
        <v>2276</v>
      </c>
      <c r="Q558" s="89" t="s">
        <v>2276</v>
      </c>
      <c r="R558" s="89" t="s">
        <v>2276</v>
      </c>
      <c r="S558" s="89" t="s">
        <v>2276</v>
      </c>
      <c r="T558" s="89" t="s">
        <v>2276</v>
      </c>
      <c r="U558" s="89" t="s">
        <v>2276</v>
      </c>
      <c r="V558" s="89" t="s">
        <v>2276</v>
      </c>
      <c r="W558" s="89" t="s">
        <v>2276</v>
      </c>
      <c r="X558" s="89" t="s">
        <v>2276</v>
      </c>
      <c r="Y558" s="74">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4" t="s">
        <v>2276</v>
      </c>
      <c r="K559" s="89">
        <v>0.2</v>
      </c>
      <c r="L559" s="89" t="s">
        <v>2276</v>
      </c>
      <c r="M559" s="89">
        <v>0.5</v>
      </c>
      <c r="N559" s="89" t="s">
        <v>2276</v>
      </c>
      <c r="O559" s="89">
        <v>0.35</v>
      </c>
      <c r="P559" s="89" t="s">
        <v>2276</v>
      </c>
      <c r="Q559" s="89" t="s">
        <v>2276</v>
      </c>
      <c r="R559" s="89" t="s">
        <v>2276</v>
      </c>
      <c r="S559" s="89" t="s">
        <v>2276</v>
      </c>
      <c r="T559" s="89" t="s">
        <v>2276</v>
      </c>
      <c r="U559" s="89" t="s">
        <v>2276</v>
      </c>
      <c r="V559" s="89" t="s">
        <v>2276</v>
      </c>
      <c r="W559" s="89" t="s">
        <v>2276</v>
      </c>
      <c r="X559" s="89" t="s">
        <v>2276</v>
      </c>
      <c r="Y559" s="74">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4" t="s">
        <v>2276</v>
      </c>
      <c r="K560" s="89">
        <v>0.2</v>
      </c>
      <c r="L560" s="89" t="s">
        <v>2276</v>
      </c>
      <c r="M560" s="89">
        <v>0.5</v>
      </c>
      <c r="N560" s="89" t="s">
        <v>2276</v>
      </c>
      <c r="O560" s="89">
        <v>0.35</v>
      </c>
      <c r="P560" s="89" t="s">
        <v>2276</v>
      </c>
      <c r="Q560" s="89" t="s">
        <v>2276</v>
      </c>
      <c r="R560" s="89" t="s">
        <v>2276</v>
      </c>
      <c r="S560" s="89" t="s">
        <v>2276</v>
      </c>
      <c r="T560" s="89" t="s">
        <v>2276</v>
      </c>
      <c r="U560" s="89" t="s">
        <v>2276</v>
      </c>
      <c r="V560" s="89" t="s">
        <v>2276</v>
      </c>
      <c r="W560" s="89" t="s">
        <v>2276</v>
      </c>
      <c r="X560" s="89" t="s">
        <v>2276</v>
      </c>
      <c r="Y560" s="74">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4" t="s">
        <v>2276</v>
      </c>
      <c r="K561" s="89">
        <v>0.2</v>
      </c>
      <c r="L561" s="89" t="s">
        <v>2276</v>
      </c>
      <c r="M561" s="89">
        <v>0.5</v>
      </c>
      <c r="N561" s="89" t="s">
        <v>2276</v>
      </c>
      <c r="O561" s="89">
        <v>0.35</v>
      </c>
      <c r="P561" s="89" t="s">
        <v>2276</v>
      </c>
      <c r="Q561" s="89" t="s">
        <v>2276</v>
      </c>
      <c r="R561" s="89" t="s">
        <v>2276</v>
      </c>
      <c r="S561" s="89" t="s">
        <v>2276</v>
      </c>
      <c r="T561" s="89" t="s">
        <v>2276</v>
      </c>
      <c r="U561" s="89" t="s">
        <v>2276</v>
      </c>
      <c r="V561" s="89" t="s">
        <v>2276</v>
      </c>
      <c r="W561" s="89" t="s">
        <v>2276</v>
      </c>
      <c r="X561" s="89" t="s">
        <v>2276</v>
      </c>
      <c r="Y561" s="74">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4" t="s">
        <v>2276</v>
      </c>
      <c r="K562" s="89">
        <v>0.2</v>
      </c>
      <c r="L562" s="89" t="s">
        <v>2276</v>
      </c>
      <c r="M562" s="89">
        <v>0.5</v>
      </c>
      <c r="N562" s="89" t="s">
        <v>2276</v>
      </c>
      <c r="O562" s="89">
        <v>0.35</v>
      </c>
      <c r="P562" s="89" t="s">
        <v>2276</v>
      </c>
      <c r="Q562" s="89" t="s">
        <v>2276</v>
      </c>
      <c r="R562" s="89" t="s">
        <v>2276</v>
      </c>
      <c r="S562" s="89" t="s">
        <v>2276</v>
      </c>
      <c r="T562" s="89" t="s">
        <v>2276</v>
      </c>
      <c r="U562" s="89" t="s">
        <v>2276</v>
      </c>
      <c r="V562" s="89" t="s">
        <v>2276</v>
      </c>
      <c r="W562" s="89" t="s">
        <v>2276</v>
      </c>
      <c r="X562" s="89" t="s">
        <v>2276</v>
      </c>
      <c r="Y562" s="74">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4" t="s">
        <v>2276</v>
      </c>
      <c r="K563" s="89">
        <v>0.2</v>
      </c>
      <c r="L563" s="89" t="s">
        <v>2276</v>
      </c>
      <c r="M563" s="89">
        <v>0.5</v>
      </c>
      <c r="N563" s="89" t="s">
        <v>2276</v>
      </c>
      <c r="O563" s="89">
        <v>0.35</v>
      </c>
      <c r="P563" s="89" t="s">
        <v>2276</v>
      </c>
      <c r="Q563" s="89" t="s">
        <v>2276</v>
      </c>
      <c r="R563" s="89" t="s">
        <v>2276</v>
      </c>
      <c r="S563" s="89" t="s">
        <v>2276</v>
      </c>
      <c r="T563" s="89" t="s">
        <v>2276</v>
      </c>
      <c r="U563" s="89" t="s">
        <v>2276</v>
      </c>
      <c r="V563" s="89" t="s">
        <v>2276</v>
      </c>
      <c r="W563" s="89" t="s">
        <v>2276</v>
      </c>
      <c r="X563" s="89" t="s">
        <v>2276</v>
      </c>
      <c r="Y563" s="74">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4" t="s">
        <v>2276</v>
      </c>
      <c r="K564" s="89">
        <v>0.2</v>
      </c>
      <c r="L564" s="89" t="s">
        <v>2276</v>
      </c>
      <c r="M564" s="89">
        <v>0.5</v>
      </c>
      <c r="N564" s="89" t="s">
        <v>2276</v>
      </c>
      <c r="O564" s="89">
        <v>0.35</v>
      </c>
      <c r="P564" s="89" t="s">
        <v>2276</v>
      </c>
      <c r="Q564" s="89" t="s">
        <v>2276</v>
      </c>
      <c r="R564" s="89" t="s">
        <v>2276</v>
      </c>
      <c r="S564" s="89" t="s">
        <v>2276</v>
      </c>
      <c r="T564" s="89" t="s">
        <v>2276</v>
      </c>
      <c r="U564" s="89" t="s">
        <v>2276</v>
      </c>
      <c r="V564" s="89" t="s">
        <v>2276</v>
      </c>
      <c r="W564" s="89" t="s">
        <v>2276</v>
      </c>
      <c r="X564" s="89" t="s">
        <v>2276</v>
      </c>
      <c r="Y564" s="74">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4" t="s">
        <v>2276</v>
      </c>
      <c r="K565" s="89">
        <v>0.2</v>
      </c>
      <c r="L565" s="89" t="s">
        <v>2276</v>
      </c>
      <c r="M565" s="89">
        <v>0.5</v>
      </c>
      <c r="N565" s="89" t="s">
        <v>2276</v>
      </c>
      <c r="O565" s="89">
        <v>0.35</v>
      </c>
      <c r="P565" s="89" t="s">
        <v>2276</v>
      </c>
      <c r="Q565" s="89" t="s">
        <v>2276</v>
      </c>
      <c r="R565" s="89" t="s">
        <v>2276</v>
      </c>
      <c r="S565" s="89" t="s">
        <v>2276</v>
      </c>
      <c r="T565" s="89" t="s">
        <v>2276</v>
      </c>
      <c r="U565" s="89" t="s">
        <v>2276</v>
      </c>
      <c r="V565" s="89" t="s">
        <v>2276</v>
      </c>
      <c r="W565" s="89" t="s">
        <v>2276</v>
      </c>
      <c r="X565" s="89" t="s">
        <v>2276</v>
      </c>
      <c r="Y565" s="74">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4" t="s">
        <v>2276</v>
      </c>
      <c r="K566" s="89">
        <v>0.2</v>
      </c>
      <c r="L566" s="89" t="s">
        <v>2276</v>
      </c>
      <c r="M566" s="89">
        <v>0.5</v>
      </c>
      <c r="N566" s="89" t="s">
        <v>2276</v>
      </c>
      <c r="O566" s="89">
        <v>0.35</v>
      </c>
      <c r="P566" s="89" t="s">
        <v>2276</v>
      </c>
      <c r="Q566" s="89" t="s">
        <v>2276</v>
      </c>
      <c r="R566" s="89" t="s">
        <v>2276</v>
      </c>
      <c r="S566" s="89" t="s">
        <v>2276</v>
      </c>
      <c r="T566" s="89" t="s">
        <v>2276</v>
      </c>
      <c r="U566" s="89" t="s">
        <v>2276</v>
      </c>
      <c r="V566" s="89" t="s">
        <v>2276</v>
      </c>
      <c r="W566" s="89" t="s">
        <v>2276</v>
      </c>
      <c r="X566" s="89" t="s">
        <v>2276</v>
      </c>
      <c r="Y566" s="74">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4" t="s">
        <v>2276</v>
      </c>
      <c r="K567" s="89">
        <v>0.2</v>
      </c>
      <c r="L567" s="89" t="s">
        <v>2276</v>
      </c>
      <c r="M567" s="89">
        <v>0.5</v>
      </c>
      <c r="N567" s="89" t="s">
        <v>2276</v>
      </c>
      <c r="O567" s="89">
        <v>0.35</v>
      </c>
      <c r="P567" s="89" t="s">
        <v>2276</v>
      </c>
      <c r="Q567" s="89" t="s">
        <v>2276</v>
      </c>
      <c r="R567" s="89" t="s">
        <v>2276</v>
      </c>
      <c r="S567" s="89" t="s">
        <v>2276</v>
      </c>
      <c r="T567" s="89" t="s">
        <v>2276</v>
      </c>
      <c r="U567" s="89" t="s">
        <v>2276</v>
      </c>
      <c r="V567" s="89" t="s">
        <v>2276</v>
      </c>
      <c r="W567" s="89" t="s">
        <v>2276</v>
      </c>
      <c r="X567" s="89" t="s">
        <v>2276</v>
      </c>
      <c r="Y567" s="74">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4" t="s">
        <v>2276</v>
      </c>
      <c r="K568" s="89">
        <v>0.2</v>
      </c>
      <c r="L568" s="89" t="s">
        <v>2276</v>
      </c>
      <c r="M568" s="89">
        <v>0.5</v>
      </c>
      <c r="N568" s="89" t="s">
        <v>2276</v>
      </c>
      <c r="O568" s="89">
        <v>0.35</v>
      </c>
      <c r="P568" s="89" t="s">
        <v>2276</v>
      </c>
      <c r="Q568" s="89" t="s">
        <v>2276</v>
      </c>
      <c r="R568" s="89" t="s">
        <v>2276</v>
      </c>
      <c r="S568" s="89" t="s">
        <v>2276</v>
      </c>
      <c r="T568" s="89" t="s">
        <v>2276</v>
      </c>
      <c r="U568" s="89" t="s">
        <v>2276</v>
      </c>
      <c r="V568" s="89" t="s">
        <v>2276</v>
      </c>
      <c r="W568" s="89" t="s">
        <v>2276</v>
      </c>
      <c r="X568" s="89" t="s">
        <v>2276</v>
      </c>
      <c r="Y568" s="74">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4" t="s">
        <v>2276</v>
      </c>
      <c r="K569" s="89">
        <v>0.2</v>
      </c>
      <c r="L569" s="89" t="s">
        <v>2276</v>
      </c>
      <c r="M569" s="89">
        <v>0.5</v>
      </c>
      <c r="N569" s="89" t="s">
        <v>2276</v>
      </c>
      <c r="O569" s="89">
        <v>0.35</v>
      </c>
      <c r="P569" s="89" t="s">
        <v>2276</v>
      </c>
      <c r="Q569" s="89" t="s">
        <v>2276</v>
      </c>
      <c r="R569" s="89" t="s">
        <v>2276</v>
      </c>
      <c r="S569" s="89" t="s">
        <v>2276</v>
      </c>
      <c r="T569" s="89" t="s">
        <v>2276</v>
      </c>
      <c r="U569" s="89" t="s">
        <v>2276</v>
      </c>
      <c r="V569" s="89" t="s">
        <v>2276</v>
      </c>
      <c r="W569" s="89" t="s">
        <v>2276</v>
      </c>
      <c r="X569" s="89" t="s">
        <v>2276</v>
      </c>
      <c r="Y569" s="74">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4" t="s">
        <v>2276</v>
      </c>
      <c r="K570" s="89">
        <v>0.2</v>
      </c>
      <c r="L570" s="89" t="s">
        <v>2276</v>
      </c>
      <c r="M570" s="89">
        <v>0.5</v>
      </c>
      <c r="N570" s="89" t="s">
        <v>2276</v>
      </c>
      <c r="O570" s="89">
        <v>0.35</v>
      </c>
      <c r="P570" s="89" t="s">
        <v>2276</v>
      </c>
      <c r="Q570" s="89" t="s">
        <v>2276</v>
      </c>
      <c r="R570" s="89" t="s">
        <v>2276</v>
      </c>
      <c r="S570" s="89" t="s">
        <v>2276</v>
      </c>
      <c r="T570" s="89" t="s">
        <v>2276</v>
      </c>
      <c r="U570" s="89" t="s">
        <v>2276</v>
      </c>
      <c r="V570" s="89" t="s">
        <v>2276</v>
      </c>
      <c r="W570" s="89" t="s">
        <v>2276</v>
      </c>
      <c r="X570" s="89" t="s">
        <v>2276</v>
      </c>
      <c r="Y570" s="74">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4" t="s">
        <v>2276</v>
      </c>
      <c r="K571" s="89">
        <v>0.2</v>
      </c>
      <c r="L571" s="89" t="s">
        <v>2276</v>
      </c>
      <c r="M571" s="89">
        <v>0.5</v>
      </c>
      <c r="N571" s="89" t="s">
        <v>2276</v>
      </c>
      <c r="O571" s="89">
        <v>0.35</v>
      </c>
      <c r="P571" s="89" t="s">
        <v>2276</v>
      </c>
      <c r="Q571" s="89" t="s">
        <v>2276</v>
      </c>
      <c r="R571" s="89" t="s">
        <v>2276</v>
      </c>
      <c r="S571" s="89" t="s">
        <v>2276</v>
      </c>
      <c r="T571" s="89" t="s">
        <v>2276</v>
      </c>
      <c r="U571" s="89" t="s">
        <v>2276</v>
      </c>
      <c r="V571" s="89" t="s">
        <v>2276</v>
      </c>
      <c r="W571" s="89" t="s">
        <v>2276</v>
      </c>
      <c r="X571" s="89" t="s">
        <v>2276</v>
      </c>
      <c r="Y571" s="74">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4" t="s">
        <v>2276</v>
      </c>
      <c r="K572" s="89">
        <v>0.2</v>
      </c>
      <c r="L572" s="89" t="s">
        <v>2276</v>
      </c>
      <c r="M572" s="89">
        <v>0.5</v>
      </c>
      <c r="N572" s="89" t="s">
        <v>2276</v>
      </c>
      <c r="O572" s="89">
        <v>0.35</v>
      </c>
      <c r="P572" s="89" t="s">
        <v>2276</v>
      </c>
      <c r="Q572" s="89" t="s">
        <v>2276</v>
      </c>
      <c r="R572" s="89" t="s">
        <v>2276</v>
      </c>
      <c r="S572" s="89" t="s">
        <v>2276</v>
      </c>
      <c r="T572" s="89" t="s">
        <v>2276</v>
      </c>
      <c r="U572" s="89" t="s">
        <v>2276</v>
      </c>
      <c r="V572" s="89" t="s">
        <v>2276</v>
      </c>
      <c r="W572" s="89" t="s">
        <v>2276</v>
      </c>
      <c r="X572" s="89" t="s">
        <v>2276</v>
      </c>
      <c r="Y572" s="74">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4" t="s">
        <v>2276</v>
      </c>
      <c r="K573" s="89">
        <v>0.2</v>
      </c>
      <c r="L573" s="89" t="s">
        <v>2276</v>
      </c>
      <c r="M573" s="89">
        <v>0.5</v>
      </c>
      <c r="N573" s="89" t="s">
        <v>2276</v>
      </c>
      <c r="O573" s="89">
        <v>0.35</v>
      </c>
      <c r="P573" s="89" t="s">
        <v>2276</v>
      </c>
      <c r="Q573" s="89" t="s">
        <v>2276</v>
      </c>
      <c r="R573" s="89" t="s">
        <v>2276</v>
      </c>
      <c r="S573" s="89" t="s">
        <v>2276</v>
      </c>
      <c r="T573" s="89" t="s">
        <v>2276</v>
      </c>
      <c r="U573" s="89" t="s">
        <v>2276</v>
      </c>
      <c r="V573" s="89" t="s">
        <v>2276</v>
      </c>
      <c r="W573" s="89" t="s">
        <v>2276</v>
      </c>
      <c r="X573" s="89" t="s">
        <v>2276</v>
      </c>
      <c r="Y573" s="74">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4" t="s">
        <v>2276</v>
      </c>
      <c r="K574" s="89">
        <v>0.2</v>
      </c>
      <c r="L574" s="89" t="s">
        <v>2276</v>
      </c>
      <c r="M574" s="89">
        <v>0.5</v>
      </c>
      <c r="N574" s="89" t="s">
        <v>2276</v>
      </c>
      <c r="O574" s="89">
        <v>0.35</v>
      </c>
      <c r="P574" s="89" t="s">
        <v>2276</v>
      </c>
      <c r="Q574" s="89" t="s">
        <v>2276</v>
      </c>
      <c r="R574" s="89" t="s">
        <v>2276</v>
      </c>
      <c r="S574" s="89" t="s">
        <v>2276</v>
      </c>
      <c r="T574" s="89" t="s">
        <v>2276</v>
      </c>
      <c r="U574" s="89" t="s">
        <v>2276</v>
      </c>
      <c r="V574" s="89" t="s">
        <v>2276</v>
      </c>
      <c r="W574" s="89" t="s">
        <v>2276</v>
      </c>
      <c r="X574" s="89" t="s">
        <v>2276</v>
      </c>
      <c r="Y574" s="74">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4" t="s">
        <v>2276</v>
      </c>
      <c r="K575" s="89">
        <v>0.2</v>
      </c>
      <c r="L575" s="89" t="s">
        <v>2276</v>
      </c>
      <c r="M575" s="89">
        <v>0.5</v>
      </c>
      <c r="N575" s="89" t="s">
        <v>2276</v>
      </c>
      <c r="O575" s="89">
        <v>0.35</v>
      </c>
      <c r="P575" s="89" t="s">
        <v>2276</v>
      </c>
      <c r="Q575" s="89" t="s">
        <v>2276</v>
      </c>
      <c r="R575" s="89" t="s">
        <v>2276</v>
      </c>
      <c r="S575" s="89" t="s">
        <v>2276</v>
      </c>
      <c r="T575" s="89" t="s">
        <v>2276</v>
      </c>
      <c r="U575" s="89" t="s">
        <v>2276</v>
      </c>
      <c r="V575" s="89" t="s">
        <v>2276</v>
      </c>
      <c r="W575" s="89" t="s">
        <v>2276</v>
      </c>
      <c r="X575" s="89" t="s">
        <v>2276</v>
      </c>
      <c r="Y575" s="74">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4" t="s">
        <v>2276</v>
      </c>
      <c r="K576" s="89">
        <v>0.2</v>
      </c>
      <c r="L576" s="89" t="s">
        <v>2276</v>
      </c>
      <c r="M576" s="89">
        <v>0.5</v>
      </c>
      <c r="N576" s="89" t="s">
        <v>2276</v>
      </c>
      <c r="O576" s="89">
        <v>0.35</v>
      </c>
      <c r="P576" s="89" t="s">
        <v>2276</v>
      </c>
      <c r="Q576" s="89" t="s">
        <v>2276</v>
      </c>
      <c r="R576" s="89" t="s">
        <v>2276</v>
      </c>
      <c r="S576" s="89" t="s">
        <v>2276</v>
      </c>
      <c r="T576" s="89" t="s">
        <v>2276</v>
      </c>
      <c r="U576" s="89" t="s">
        <v>2276</v>
      </c>
      <c r="V576" s="89" t="s">
        <v>2276</v>
      </c>
      <c r="W576" s="89" t="s">
        <v>2276</v>
      </c>
      <c r="X576" s="89" t="s">
        <v>2276</v>
      </c>
      <c r="Y576" s="74">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4" t="s">
        <v>2276</v>
      </c>
      <c r="K577" s="89">
        <v>0.2</v>
      </c>
      <c r="L577" s="89" t="s">
        <v>2276</v>
      </c>
      <c r="M577" s="89">
        <v>0.5</v>
      </c>
      <c r="N577" s="89" t="s">
        <v>2276</v>
      </c>
      <c r="O577" s="89">
        <v>0.35</v>
      </c>
      <c r="P577" s="89" t="s">
        <v>2276</v>
      </c>
      <c r="Q577" s="89" t="s">
        <v>2276</v>
      </c>
      <c r="R577" s="89" t="s">
        <v>2276</v>
      </c>
      <c r="S577" s="89" t="s">
        <v>2276</v>
      </c>
      <c r="T577" s="89" t="s">
        <v>2276</v>
      </c>
      <c r="U577" s="89" t="s">
        <v>2276</v>
      </c>
      <c r="V577" s="89" t="s">
        <v>2276</v>
      </c>
      <c r="W577" s="89" t="s">
        <v>2276</v>
      </c>
      <c r="X577" s="89" t="s">
        <v>2276</v>
      </c>
      <c r="Y577" s="74">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4" t="s">
        <v>2276</v>
      </c>
      <c r="K578" s="89">
        <v>0.2</v>
      </c>
      <c r="L578" s="89" t="s">
        <v>2276</v>
      </c>
      <c r="M578" s="89">
        <v>0.5</v>
      </c>
      <c r="N578" s="89" t="s">
        <v>2276</v>
      </c>
      <c r="O578" s="89">
        <v>0.35</v>
      </c>
      <c r="P578" s="89" t="s">
        <v>2276</v>
      </c>
      <c r="Q578" s="89" t="s">
        <v>2276</v>
      </c>
      <c r="R578" s="89" t="s">
        <v>2276</v>
      </c>
      <c r="S578" s="89" t="s">
        <v>2276</v>
      </c>
      <c r="T578" s="89" t="s">
        <v>2276</v>
      </c>
      <c r="U578" s="89" t="s">
        <v>2276</v>
      </c>
      <c r="V578" s="89" t="s">
        <v>2276</v>
      </c>
      <c r="W578" s="89" t="s">
        <v>2276</v>
      </c>
      <c r="X578" s="89" t="s">
        <v>2276</v>
      </c>
      <c r="Y578" s="74">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4" t="s">
        <v>2276</v>
      </c>
      <c r="K579" s="89">
        <v>0.2</v>
      </c>
      <c r="L579" s="89" t="s">
        <v>2276</v>
      </c>
      <c r="M579" s="89">
        <v>0.5</v>
      </c>
      <c r="N579" s="89" t="s">
        <v>2276</v>
      </c>
      <c r="O579" s="89">
        <v>0.35</v>
      </c>
      <c r="P579" s="89" t="s">
        <v>2276</v>
      </c>
      <c r="Q579" s="89" t="s">
        <v>2276</v>
      </c>
      <c r="R579" s="89" t="s">
        <v>2276</v>
      </c>
      <c r="S579" s="89" t="s">
        <v>2276</v>
      </c>
      <c r="T579" s="89" t="s">
        <v>2276</v>
      </c>
      <c r="U579" s="89" t="s">
        <v>2276</v>
      </c>
      <c r="V579" s="89" t="s">
        <v>2276</v>
      </c>
      <c r="W579" s="89" t="s">
        <v>2276</v>
      </c>
      <c r="X579" s="89" t="s">
        <v>2276</v>
      </c>
      <c r="Y579" s="74">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4" t="s">
        <v>2276</v>
      </c>
      <c r="K580" s="89">
        <v>0.2</v>
      </c>
      <c r="L580" s="89" t="s">
        <v>2276</v>
      </c>
      <c r="M580" s="89">
        <v>0.5</v>
      </c>
      <c r="N580" s="89" t="s">
        <v>2276</v>
      </c>
      <c r="O580" s="89">
        <v>0.35</v>
      </c>
      <c r="P580" s="89" t="s">
        <v>2276</v>
      </c>
      <c r="Q580" s="89" t="s">
        <v>2276</v>
      </c>
      <c r="R580" s="89" t="s">
        <v>2276</v>
      </c>
      <c r="S580" s="89" t="s">
        <v>2276</v>
      </c>
      <c r="T580" s="89" t="s">
        <v>2276</v>
      </c>
      <c r="U580" s="89" t="s">
        <v>2276</v>
      </c>
      <c r="V580" s="89" t="s">
        <v>2276</v>
      </c>
      <c r="W580" s="89" t="s">
        <v>2276</v>
      </c>
      <c r="X580" s="89" t="s">
        <v>2276</v>
      </c>
      <c r="Y580" s="74">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4" t="s">
        <v>2276</v>
      </c>
      <c r="K581" s="89">
        <v>0.2</v>
      </c>
      <c r="L581" s="89" t="s">
        <v>2276</v>
      </c>
      <c r="M581" s="89">
        <v>0.5</v>
      </c>
      <c r="N581" s="89" t="s">
        <v>2276</v>
      </c>
      <c r="O581" s="89">
        <v>0.35</v>
      </c>
      <c r="P581" s="89" t="s">
        <v>2276</v>
      </c>
      <c r="Q581" s="89" t="s">
        <v>2276</v>
      </c>
      <c r="R581" s="89" t="s">
        <v>2276</v>
      </c>
      <c r="S581" s="89" t="s">
        <v>2276</v>
      </c>
      <c r="T581" s="89" t="s">
        <v>2276</v>
      </c>
      <c r="U581" s="89" t="s">
        <v>2276</v>
      </c>
      <c r="V581" s="89" t="s">
        <v>2276</v>
      </c>
      <c r="W581" s="89" t="s">
        <v>2276</v>
      </c>
      <c r="X581" s="89" t="s">
        <v>2276</v>
      </c>
      <c r="Y581" s="74">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4" t="s">
        <v>2276</v>
      </c>
      <c r="K582" s="89">
        <v>0.2</v>
      </c>
      <c r="L582" s="89" t="s">
        <v>2276</v>
      </c>
      <c r="M582" s="89">
        <v>0.5</v>
      </c>
      <c r="N582" s="89" t="s">
        <v>2276</v>
      </c>
      <c r="O582" s="89">
        <v>0.35</v>
      </c>
      <c r="P582" s="89" t="s">
        <v>2276</v>
      </c>
      <c r="Q582" s="89" t="s">
        <v>2276</v>
      </c>
      <c r="R582" s="89" t="s">
        <v>2276</v>
      </c>
      <c r="S582" s="89" t="s">
        <v>2276</v>
      </c>
      <c r="T582" s="89" t="s">
        <v>2276</v>
      </c>
      <c r="U582" s="89" t="s">
        <v>2276</v>
      </c>
      <c r="V582" s="89" t="s">
        <v>2276</v>
      </c>
      <c r="W582" s="89" t="s">
        <v>2276</v>
      </c>
      <c r="X582" s="89" t="s">
        <v>2276</v>
      </c>
      <c r="Y582" s="74">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4" t="s">
        <v>2276</v>
      </c>
      <c r="K583" s="89">
        <v>0.2</v>
      </c>
      <c r="L583" s="89" t="s">
        <v>2276</v>
      </c>
      <c r="M583" s="89">
        <v>0.5</v>
      </c>
      <c r="N583" s="89" t="s">
        <v>2276</v>
      </c>
      <c r="O583" s="89">
        <v>0.35</v>
      </c>
      <c r="P583" s="89" t="s">
        <v>2276</v>
      </c>
      <c r="Q583" s="89" t="s">
        <v>2276</v>
      </c>
      <c r="R583" s="89" t="s">
        <v>2276</v>
      </c>
      <c r="S583" s="89" t="s">
        <v>2276</v>
      </c>
      <c r="T583" s="89" t="s">
        <v>2276</v>
      </c>
      <c r="U583" s="89" t="s">
        <v>2276</v>
      </c>
      <c r="V583" s="89" t="s">
        <v>2276</v>
      </c>
      <c r="W583" s="89" t="s">
        <v>2276</v>
      </c>
      <c r="X583" s="89" t="s">
        <v>2276</v>
      </c>
      <c r="Y583" s="74">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4" t="s">
        <v>2276</v>
      </c>
      <c r="K584" s="89">
        <v>0.2</v>
      </c>
      <c r="L584" s="89" t="s">
        <v>2276</v>
      </c>
      <c r="M584" s="89">
        <v>0.5</v>
      </c>
      <c r="N584" s="89" t="s">
        <v>2276</v>
      </c>
      <c r="O584" s="89">
        <v>0.35</v>
      </c>
      <c r="P584" s="89" t="s">
        <v>2276</v>
      </c>
      <c r="Q584" s="89" t="s">
        <v>2276</v>
      </c>
      <c r="R584" s="89" t="s">
        <v>2276</v>
      </c>
      <c r="S584" s="89" t="s">
        <v>2276</v>
      </c>
      <c r="T584" s="89" t="s">
        <v>2276</v>
      </c>
      <c r="U584" s="89" t="s">
        <v>2276</v>
      </c>
      <c r="V584" s="89" t="s">
        <v>2276</v>
      </c>
      <c r="W584" s="89" t="s">
        <v>2276</v>
      </c>
      <c r="X584" s="89" t="s">
        <v>2276</v>
      </c>
      <c r="Y584" s="74">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4" t="s">
        <v>2276</v>
      </c>
      <c r="K585" s="89">
        <v>0.2</v>
      </c>
      <c r="L585" s="89" t="s">
        <v>2276</v>
      </c>
      <c r="M585" s="89">
        <v>0.5</v>
      </c>
      <c r="N585" s="89" t="s">
        <v>2276</v>
      </c>
      <c r="O585" s="89">
        <v>0.35</v>
      </c>
      <c r="P585" s="89" t="s">
        <v>2276</v>
      </c>
      <c r="Q585" s="89" t="s">
        <v>2276</v>
      </c>
      <c r="R585" s="89" t="s">
        <v>2276</v>
      </c>
      <c r="S585" s="89" t="s">
        <v>2276</v>
      </c>
      <c r="T585" s="89" t="s">
        <v>2276</v>
      </c>
      <c r="U585" s="89" t="s">
        <v>2276</v>
      </c>
      <c r="V585" s="89" t="s">
        <v>2276</v>
      </c>
      <c r="W585" s="89" t="s">
        <v>2276</v>
      </c>
      <c r="X585" s="89" t="s">
        <v>2276</v>
      </c>
      <c r="Y585" s="74">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4" t="s">
        <v>2276</v>
      </c>
      <c r="K586" s="89">
        <v>0.2</v>
      </c>
      <c r="L586" s="89" t="s">
        <v>2276</v>
      </c>
      <c r="M586" s="89">
        <v>0.5</v>
      </c>
      <c r="N586" s="89" t="s">
        <v>2276</v>
      </c>
      <c r="O586" s="89">
        <v>0.35</v>
      </c>
      <c r="P586" s="89" t="s">
        <v>2276</v>
      </c>
      <c r="Q586" s="89" t="s">
        <v>2276</v>
      </c>
      <c r="R586" s="89" t="s">
        <v>2276</v>
      </c>
      <c r="S586" s="89" t="s">
        <v>2276</v>
      </c>
      <c r="T586" s="89" t="s">
        <v>2276</v>
      </c>
      <c r="U586" s="89" t="s">
        <v>2276</v>
      </c>
      <c r="V586" s="89" t="s">
        <v>2276</v>
      </c>
      <c r="W586" s="89" t="s">
        <v>2276</v>
      </c>
      <c r="X586" s="89" t="s">
        <v>2276</v>
      </c>
      <c r="Y586" s="74">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4" t="s">
        <v>2276</v>
      </c>
      <c r="K587" s="89">
        <v>0.2</v>
      </c>
      <c r="L587" s="89" t="s">
        <v>2276</v>
      </c>
      <c r="M587" s="89">
        <v>0.5</v>
      </c>
      <c r="N587" s="89" t="s">
        <v>2276</v>
      </c>
      <c r="O587" s="89">
        <v>0.35</v>
      </c>
      <c r="P587" s="89" t="s">
        <v>2276</v>
      </c>
      <c r="Q587" s="89" t="s">
        <v>2276</v>
      </c>
      <c r="R587" s="89" t="s">
        <v>2276</v>
      </c>
      <c r="S587" s="89" t="s">
        <v>2276</v>
      </c>
      <c r="T587" s="89" t="s">
        <v>2276</v>
      </c>
      <c r="U587" s="89" t="s">
        <v>2276</v>
      </c>
      <c r="V587" s="89" t="s">
        <v>2276</v>
      </c>
      <c r="W587" s="89" t="s">
        <v>2276</v>
      </c>
      <c r="X587" s="89" t="s">
        <v>2276</v>
      </c>
      <c r="Y587" s="74">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4" t="s">
        <v>2276</v>
      </c>
      <c r="K588" s="89">
        <v>0.2</v>
      </c>
      <c r="L588" s="89" t="s">
        <v>2276</v>
      </c>
      <c r="M588" s="89">
        <v>0.5</v>
      </c>
      <c r="N588" s="89" t="s">
        <v>2276</v>
      </c>
      <c r="O588" s="89">
        <v>0.35</v>
      </c>
      <c r="P588" s="89" t="s">
        <v>2276</v>
      </c>
      <c r="Q588" s="89" t="s">
        <v>2276</v>
      </c>
      <c r="R588" s="89" t="s">
        <v>2276</v>
      </c>
      <c r="S588" s="89" t="s">
        <v>2276</v>
      </c>
      <c r="T588" s="89" t="s">
        <v>2276</v>
      </c>
      <c r="U588" s="89" t="s">
        <v>2276</v>
      </c>
      <c r="V588" s="89" t="s">
        <v>2276</v>
      </c>
      <c r="W588" s="89" t="s">
        <v>2276</v>
      </c>
      <c r="X588" s="89" t="s">
        <v>2276</v>
      </c>
      <c r="Y588" s="74">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3" t="s">
        <v>523</v>
      </c>
      <c r="I589" s="3"/>
      <c r="J589" s="21" t="s">
        <v>2276</v>
      </c>
      <c r="K589" s="74">
        <v>0.2</v>
      </c>
      <c r="L589" s="74" t="s">
        <v>2276</v>
      </c>
      <c r="M589" s="74">
        <v>0.7</v>
      </c>
      <c r="N589" s="21" t="s">
        <v>2276</v>
      </c>
      <c r="O589" s="74">
        <v>0.45</v>
      </c>
      <c r="P589" s="74" t="s">
        <v>2276</v>
      </c>
      <c r="Q589" s="21" t="s">
        <v>2276</v>
      </c>
      <c r="R589" s="21" t="s">
        <v>2276</v>
      </c>
      <c r="S589" s="74"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3"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3" t="s">
        <v>523</v>
      </c>
      <c r="I591" s="3"/>
      <c r="J591" s="21" t="s">
        <v>2276</v>
      </c>
      <c r="K591" s="21" t="s">
        <v>2276</v>
      </c>
      <c r="L591" s="74" t="s">
        <v>2276</v>
      </c>
      <c r="M591" s="74" t="s">
        <v>2276</v>
      </c>
      <c r="N591" s="21" t="s">
        <v>2276</v>
      </c>
      <c r="O591" s="21" t="s">
        <v>2276</v>
      </c>
      <c r="P591" s="74" t="s">
        <v>2276</v>
      </c>
      <c r="Q591" s="21" t="s">
        <v>2276</v>
      </c>
      <c r="R591" s="21" t="s">
        <v>2276</v>
      </c>
      <c r="S591" s="74"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3"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3"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3" t="s">
        <v>911</v>
      </c>
      <c r="B599" s="3"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3" t="s">
        <v>911</v>
      </c>
      <c r="B600" s="3"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3"/>
      <c r="AD602" s="3"/>
    </row>
    <row r="603" spans="1:30" ht="41.5" customHeight="1">
      <c r="A603" s="11" t="s">
        <v>933</v>
      </c>
      <c r="B603" s="11" t="s">
        <v>5060</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5069</v>
      </c>
      <c r="AD603" s="4" t="s">
        <v>5077</v>
      </c>
    </row>
    <row r="604" spans="1:30" ht="41.5" customHeight="1">
      <c r="A604" s="11" t="s">
        <v>933</v>
      </c>
      <c r="B604" s="11" t="s">
        <v>5061</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5069</v>
      </c>
      <c r="AD604" s="4" t="s">
        <v>5077</v>
      </c>
    </row>
    <row r="605" spans="1:30" ht="41.5" customHeight="1">
      <c r="A605" s="11" t="s">
        <v>933</v>
      </c>
      <c r="B605" s="11" t="s">
        <v>5062</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5069</v>
      </c>
      <c r="AD605" s="4" t="s">
        <v>5077</v>
      </c>
    </row>
    <row r="606" spans="1:30" ht="41.5" customHeight="1">
      <c r="A606" s="11" t="s">
        <v>933</v>
      </c>
      <c r="B606" s="11" t="s">
        <v>5063</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5069</v>
      </c>
      <c r="AD606" s="4" t="s">
        <v>5077</v>
      </c>
    </row>
    <row r="607" spans="1:30" ht="41.5" customHeight="1">
      <c r="A607" s="11" t="s">
        <v>933</v>
      </c>
      <c r="B607" s="11" t="s">
        <v>5064</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5069</v>
      </c>
      <c r="AD607" s="4" t="s">
        <v>5077</v>
      </c>
    </row>
    <row r="608" spans="1:30" ht="41.5" customHeight="1">
      <c r="A608" s="11" t="s">
        <v>933</v>
      </c>
      <c r="B608" s="11" t="s">
        <v>5065</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5069</v>
      </c>
      <c r="AD608" s="4" t="s">
        <v>5077</v>
      </c>
    </row>
    <row r="609" spans="1:30" ht="41.5" customHeight="1">
      <c r="A609" s="11" t="s">
        <v>933</v>
      </c>
      <c r="B609" s="11" t="s">
        <v>5066</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5069</v>
      </c>
      <c r="AD609" s="4" t="s">
        <v>5077</v>
      </c>
    </row>
    <row r="610" spans="1:30" ht="41.5" customHeight="1">
      <c r="A610" s="11" t="s">
        <v>933</v>
      </c>
      <c r="B610" s="11" t="s">
        <v>5067</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3" t="s">
        <v>2276</v>
      </c>
      <c r="AA610" s="103" t="s">
        <v>2276</v>
      </c>
      <c r="AB610" s="103" t="s">
        <v>2276</v>
      </c>
      <c r="AC610" s="4" t="s">
        <v>5078</v>
      </c>
      <c r="AD610" s="103" t="s">
        <v>2276</v>
      </c>
    </row>
    <row r="611" spans="1:30" ht="41.5" customHeight="1">
      <c r="A611" s="11" t="s">
        <v>5059</v>
      </c>
      <c r="B611" s="11" t="s">
        <v>5068</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5069</v>
      </c>
      <c r="AD611" s="4" t="s">
        <v>5077</v>
      </c>
    </row>
    <row r="612" spans="1:30" ht="41.5" customHeight="1">
      <c r="A612" s="11" t="s">
        <v>5059</v>
      </c>
      <c r="B612" s="11" t="s">
        <v>5070</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5069</v>
      </c>
      <c r="AD612" s="4" t="s">
        <v>5077</v>
      </c>
    </row>
    <row r="613" spans="1:30" ht="41.5" customHeight="1">
      <c r="A613" s="11" t="s">
        <v>5059</v>
      </c>
      <c r="B613" s="11" t="s">
        <v>5071</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5069</v>
      </c>
      <c r="AD613" s="4" t="s">
        <v>5077</v>
      </c>
    </row>
    <row r="614" spans="1:30" ht="41.5" customHeight="1">
      <c r="A614" s="11" t="s">
        <v>5059</v>
      </c>
      <c r="B614" s="11" t="s">
        <v>5072</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5069</v>
      </c>
      <c r="AD614" s="4" t="s">
        <v>5077</v>
      </c>
    </row>
    <row r="615" spans="1:30" ht="41.5" customHeight="1">
      <c r="A615" s="11" t="s">
        <v>5059</v>
      </c>
      <c r="B615" s="11" t="s">
        <v>5073</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5069</v>
      </c>
      <c r="AD615" s="4" t="s">
        <v>5077</v>
      </c>
    </row>
    <row r="616" spans="1:30" ht="41.5" customHeight="1">
      <c r="A616" s="11" t="s">
        <v>5059</v>
      </c>
      <c r="B616" s="11" t="s">
        <v>5074</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5069</v>
      </c>
      <c r="AD616" s="4" t="s">
        <v>5077</v>
      </c>
    </row>
    <row r="617" spans="1:30" ht="41.5" customHeight="1">
      <c r="A617" s="11" t="s">
        <v>5059</v>
      </c>
      <c r="B617" s="11" t="s">
        <v>5075</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5069</v>
      </c>
      <c r="AD617" s="4" t="s">
        <v>5077</v>
      </c>
    </row>
    <row r="618" spans="1:30" ht="41.5" customHeight="1">
      <c r="A618" s="11" t="s">
        <v>5059</v>
      </c>
      <c r="B618" s="11" t="s">
        <v>5076</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3" t="s">
        <v>2276</v>
      </c>
      <c r="AA618" s="103" t="s">
        <v>2276</v>
      </c>
      <c r="AB618" s="103" t="s">
        <v>2276</v>
      </c>
      <c r="AC618" s="4" t="s">
        <v>5078</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3"/>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3"/>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3"/>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3"/>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3"/>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3"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3"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3"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4">
        <v>5</v>
      </c>
      <c r="Z631" s="3" t="s">
        <v>2276</v>
      </c>
      <c r="AA631" s="3" t="s">
        <v>2276</v>
      </c>
      <c r="AB631" s="3" t="s">
        <v>2276</v>
      </c>
      <c r="AC631" s="3"/>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3"/>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3"/>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3"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3"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3"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3"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3"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3"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3"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3"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3"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3"/>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3"/>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3"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3"/>
    </row>
    <row r="658" spans="1:30" ht="43.5" customHeight="1">
      <c r="A658" s="33" t="s">
        <v>1098</v>
      </c>
      <c r="B658" s="33" t="s">
        <v>1101</v>
      </c>
      <c r="C658" s="56" t="s">
        <v>24</v>
      </c>
      <c r="D658" s="36" t="s">
        <v>25</v>
      </c>
      <c r="E658" s="35" t="s">
        <v>45</v>
      </c>
      <c r="F658" s="55" t="s">
        <v>29</v>
      </c>
      <c r="G658" s="55"/>
      <c r="H658" s="38" t="s">
        <v>523</v>
      </c>
      <c r="I658" s="38"/>
      <c r="J658" s="73" t="s">
        <v>2276</v>
      </c>
      <c r="K658" s="73" t="s">
        <v>2276</v>
      </c>
      <c r="L658" s="73" t="s">
        <v>2276</v>
      </c>
      <c r="M658" s="73" t="s">
        <v>2276</v>
      </c>
      <c r="N658" s="73" t="s">
        <v>2276</v>
      </c>
      <c r="O658" s="73" t="s">
        <v>2276</v>
      </c>
      <c r="P658" s="73" t="s">
        <v>2276</v>
      </c>
      <c r="Q658" s="21" t="s">
        <v>2276</v>
      </c>
      <c r="R658" s="21" t="s">
        <v>2276</v>
      </c>
      <c r="S658" s="73" t="s">
        <v>2276</v>
      </c>
      <c r="T658" s="73" t="s">
        <v>2276</v>
      </c>
      <c r="U658" s="73" t="s">
        <v>2276</v>
      </c>
      <c r="V658" s="73" t="s">
        <v>2276</v>
      </c>
      <c r="W658" s="73" t="s">
        <v>2276</v>
      </c>
      <c r="X658" s="73" t="s">
        <v>2276</v>
      </c>
      <c r="Y658" s="73"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3"/>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3"/>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3"/>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3"/>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3"/>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3"/>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3"/>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3"/>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3"/>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3"/>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3"/>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3"/>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3"/>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3"/>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3"/>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3"/>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3"/>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3"/>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3"/>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3"/>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3"/>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3"/>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3"/>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3"/>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3"/>
      <c r="AD683" s="3"/>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3"/>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3"/>
      <c r="AD685" s="3"/>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3"/>
      <c r="AD686" s="3"/>
    </row>
    <row r="687" spans="1:30" ht="49.5" customHeight="1">
      <c r="A687" s="23" t="s">
        <v>1145</v>
      </c>
      <c r="B687" s="3"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3"/>
    </row>
    <row r="688" spans="1:30" ht="49.5" customHeight="1">
      <c r="A688" s="23" t="s">
        <v>1503</v>
      </c>
      <c r="B688" s="3" t="s">
        <v>1653</v>
      </c>
      <c r="C688" s="23" t="s">
        <v>24</v>
      </c>
      <c r="D688" s="23" t="s">
        <v>143</v>
      </c>
      <c r="E688" s="3"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3"/>
    </row>
    <row r="689" spans="1:30" ht="49.5" customHeight="1">
      <c r="A689" s="23" t="s">
        <v>1504</v>
      </c>
      <c r="B689" s="3" t="s">
        <v>1654</v>
      </c>
      <c r="C689" s="23" t="s">
        <v>24</v>
      </c>
      <c r="D689" s="23" t="s">
        <v>143</v>
      </c>
      <c r="E689" s="3"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3"/>
    </row>
    <row r="690" spans="1:30" ht="49.5" customHeight="1">
      <c r="A690" s="23" t="s">
        <v>1505</v>
      </c>
      <c r="B690" s="3" t="s">
        <v>1655</v>
      </c>
      <c r="C690" s="23" t="s">
        <v>24</v>
      </c>
      <c r="D690" s="23" t="s">
        <v>143</v>
      </c>
      <c r="E690" s="3"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3"/>
    </row>
    <row r="691" spans="1:30" ht="49.5" customHeight="1">
      <c r="A691" s="23" t="s">
        <v>1506</v>
      </c>
      <c r="B691" s="3"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3" t="s">
        <v>2276</v>
      </c>
      <c r="AA691" s="3" t="s">
        <v>2276</v>
      </c>
      <c r="AB691" s="3" t="s">
        <v>2276</v>
      </c>
      <c r="AC691" s="4" t="s">
        <v>1726</v>
      </c>
      <c r="AD691" s="3"/>
    </row>
    <row r="692" spans="1:30" ht="49.5" customHeight="1">
      <c r="A692" s="23" t="s">
        <v>1507</v>
      </c>
      <c r="B692" s="3"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3" t="s">
        <v>2276</v>
      </c>
      <c r="AA692" s="3" t="s">
        <v>2276</v>
      </c>
      <c r="AB692" s="3" t="s">
        <v>2276</v>
      </c>
      <c r="AC692" s="4" t="s">
        <v>1726</v>
      </c>
      <c r="AD692" s="3"/>
    </row>
    <row r="693" spans="1:30" ht="49.5" customHeight="1">
      <c r="A693" s="23" t="s">
        <v>1508</v>
      </c>
      <c r="B693" s="3" t="s">
        <v>1658</v>
      </c>
      <c r="C693" s="23" t="s">
        <v>24</v>
      </c>
      <c r="D693" s="23" t="s">
        <v>143</v>
      </c>
      <c r="E693" s="3"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3" t="s">
        <v>2276</v>
      </c>
      <c r="AA693" s="3" t="s">
        <v>2276</v>
      </c>
      <c r="AB693" s="3" t="s">
        <v>2276</v>
      </c>
      <c r="AC693" s="4" t="s">
        <v>1726</v>
      </c>
      <c r="AD693" s="3"/>
    </row>
    <row r="694" spans="1:30" ht="49.5" customHeight="1">
      <c r="A694" s="23" t="s">
        <v>1509</v>
      </c>
      <c r="B694" s="3" t="s">
        <v>1659</v>
      </c>
      <c r="C694" s="23" t="s">
        <v>24</v>
      </c>
      <c r="D694" s="23" t="s">
        <v>143</v>
      </c>
      <c r="E694" s="3"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3" t="s">
        <v>2276</v>
      </c>
      <c r="AA694" s="3" t="s">
        <v>2276</v>
      </c>
      <c r="AB694" s="3" t="s">
        <v>2276</v>
      </c>
      <c r="AC694" s="4" t="s">
        <v>1726</v>
      </c>
      <c r="AD694" s="3"/>
    </row>
    <row r="695" spans="1:30" ht="49.5" customHeight="1">
      <c r="A695" s="23" t="s">
        <v>1510</v>
      </c>
      <c r="B695" s="3" t="s">
        <v>1660</v>
      </c>
      <c r="C695" s="23" t="s">
        <v>24</v>
      </c>
      <c r="D695" s="23" t="s">
        <v>143</v>
      </c>
      <c r="E695" s="3"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3" t="s">
        <v>2276</v>
      </c>
      <c r="AA695" s="3" t="s">
        <v>2276</v>
      </c>
      <c r="AB695" s="3" t="s">
        <v>2276</v>
      </c>
      <c r="AC695" s="4" t="s">
        <v>1726</v>
      </c>
      <c r="AD695" s="3"/>
    </row>
    <row r="696" spans="1:30" ht="49.5" customHeight="1">
      <c r="A696" s="23" t="s">
        <v>1511</v>
      </c>
      <c r="B696" s="3" t="s">
        <v>1661</v>
      </c>
      <c r="C696" s="23" t="s">
        <v>24</v>
      </c>
      <c r="D696" s="23" t="s">
        <v>143</v>
      </c>
      <c r="E696" s="3"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3" t="s">
        <v>2276</v>
      </c>
      <c r="AA696" s="3" t="s">
        <v>2276</v>
      </c>
      <c r="AB696" s="3" t="s">
        <v>2276</v>
      </c>
      <c r="AC696" s="4" t="s">
        <v>1726</v>
      </c>
      <c r="AD696" s="3"/>
    </row>
    <row r="697" spans="1:30" ht="49.5" customHeight="1">
      <c r="A697" s="23" t="s">
        <v>1512</v>
      </c>
      <c r="B697" s="3"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3" t="s">
        <v>2276</v>
      </c>
      <c r="AA697" s="3" t="s">
        <v>2276</v>
      </c>
      <c r="AB697" s="3" t="s">
        <v>2276</v>
      </c>
      <c r="AC697" s="4" t="s">
        <v>1726</v>
      </c>
      <c r="AD697" s="3"/>
    </row>
    <row r="698" spans="1:30" ht="49.5" customHeight="1">
      <c r="A698" s="23" t="s">
        <v>1513</v>
      </c>
      <c r="B698" s="3"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3" t="s">
        <v>2276</v>
      </c>
      <c r="AA698" s="3" t="s">
        <v>2276</v>
      </c>
      <c r="AB698" s="3" t="s">
        <v>2276</v>
      </c>
      <c r="AC698" s="4" t="s">
        <v>1726</v>
      </c>
      <c r="AD698" s="3"/>
    </row>
    <row r="699" spans="1:30" ht="49.5" customHeight="1">
      <c r="A699" s="23" t="s">
        <v>1514</v>
      </c>
      <c r="B699" s="3"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3" t="s">
        <v>2276</v>
      </c>
      <c r="AA699" s="3" t="s">
        <v>2276</v>
      </c>
      <c r="AB699" s="3" t="s">
        <v>2276</v>
      </c>
      <c r="AC699" s="4" t="s">
        <v>1726</v>
      </c>
      <c r="AD699" s="3"/>
    </row>
    <row r="700" spans="1:30" ht="49.5" customHeight="1">
      <c r="A700" s="23" t="s">
        <v>1515</v>
      </c>
      <c r="B700" s="3"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3" t="s">
        <v>2276</v>
      </c>
      <c r="AA700" s="3" t="s">
        <v>2276</v>
      </c>
      <c r="AB700" s="3" t="s">
        <v>2276</v>
      </c>
      <c r="AC700" s="4" t="s">
        <v>1726</v>
      </c>
      <c r="AD700" s="3"/>
    </row>
    <row r="701" spans="1:30" ht="49.5" customHeight="1">
      <c r="A701" s="23" t="s">
        <v>1516</v>
      </c>
      <c r="B701" s="3"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3" t="s">
        <v>2276</v>
      </c>
      <c r="AA701" s="3" t="s">
        <v>2276</v>
      </c>
      <c r="AB701" s="3" t="s">
        <v>2276</v>
      </c>
      <c r="AC701" s="4" t="s">
        <v>1726</v>
      </c>
      <c r="AD701" s="3"/>
    </row>
    <row r="702" spans="1:30" ht="49.5" customHeight="1">
      <c r="A702" s="23" t="s">
        <v>1517</v>
      </c>
      <c r="B702" s="3"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3" t="s">
        <v>2276</v>
      </c>
      <c r="AA702" s="3" t="s">
        <v>2276</v>
      </c>
      <c r="AB702" s="3" t="s">
        <v>2276</v>
      </c>
      <c r="AC702" s="4" t="s">
        <v>1726</v>
      </c>
      <c r="AD702" s="3"/>
    </row>
    <row r="703" spans="1:30" ht="49.5" customHeight="1">
      <c r="A703" s="23" t="s">
        <v>1518</v>
      </c>
      <c r="B703" s="3"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3" t="s">
        <v>2276</v>
      </c>
      <c r="AA703" s="3" t="s">
        <v>2276</v>
      </c>
      <c r="AB703" s="3" t="s">
        <v>2276</v>
      </c>
      <c r="AC703" s="4" t="s">
        <v>1726</v>
      </c>
      <c r="AD703" s="3"/>
    </row>
    <row r="704" spans="1:30" ht="49.5" customHeight="1">
      <c r="A704" s="23" t="s">
        <v>1519</v>
      </c>
      <c r="B704" s="3"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3" t="s">
        <v>2276</v>
      </c>
      <c r="AA704" s="3" t="s">
        <v>2276</v>
      </c>
      <c r="AB704" s="3" t="s">
        <v>2276</v>
      </c>
      <c r="AC704" s="4" t="s">
        <v>1726</v>
      </c>
      <c r="AD704" s="3"/>
    </row>
    <row r="705" spans="1:30" ht="49.5" customHeight="1">
      <c r="A705" s="23" t="s">
        <v>1520</v>
      </c>
      <c r="B705" s="3"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3" t="s">
        <v>2276</v>
      </c>
      <c r="AA705" s="3" t="s">
        <v>2276</v>
      </c>
      <c r="AB705" s="3" t="s">
        <v>2276</v>
      </c>
      <c r="AC705" s="4" t="s">
        <v>1726</v>
      </c>
      <c r="AD705" s="3"/>
    </row>
    <row r="706" spans="1:30" ht="49.5" customHeight="1">
      <c r="A706" s="23" t="s">
        <v>1521</v>
      </c>
      <c r="B706" s="3"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3" t="s">
        <v>2276</v>
      </c>
      <c r="AA706" s="3" t="s">
        <v>2276</v>
      </c>
      <c r="AB706" s="3"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3"/>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3"/>
    </row>
    <row r="709" spans="1:30" ht="49.5" customHeight="1">
      <c r="A709" s="23" t="s">
        <v>1524</v>
      </c>
      <c r="B709" s="3" t="s">
        <v>1674</v>
      </c>
      <c r="C709" s="23" t="s">
        <v>24</v>
      </c>
      <c r="D709" s="23" t="s">
        <v>143</v>
      </c>
      <c r="E709" s="3"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3" t="s">
        <v>2276</v>
      </c>
      <c r="AA709" s="3" t="s">
        <v>2276</v>
      </c>
      <c r="AB709" s="3" t="s">
        <v>2276</v>
      </c>
      <c r="AC709" s="4" t="s">
        <v>1726</v>
      </c>
      <c r="AD709" s="3"/>
    </row>
    <row r="710" spans="1:30" ht="49.5" customHeight="1">
      <c r="A710" s="23" t="s">
        <v>1525</v>
      </c>
      <c r="B710" s="3" t="s">
        <v>1675</v>
      </c>
      <c r="C710" s="23" t="s">
        <v>24</v>
      </c>
      <c r="D710" s="23" t="s">
        <v>143</v>
      </c>
      <c r="E710" s="3"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3" t="s">
        <v>2276</v>
      </c>
      <c r="AA710" s="3" t="s">
        <v>2276</v>
      </c>
      <c r="AB710" s="3" t="s">
        <v>2276</v>
      </c>
      <c r="AC710" s="4" t="s">
        <v>1726</v>
      </c>
      <c r="AD710" s="3"/>
    </row>
    <row r="711" spans="1:30" ht="49.5" customHeight="1">
      <c r="A711" s="23" t="s">
        <v>1526</v>
      </c>
      <c r="B711" s="3" t="s">
        <v>1676</v>
      </c>
      <c r="C711" s="23" t="s">
        <v>24</v>
      </c>
      <c r="D711" s="23" t="s">
        <v>143</v>
      </c>
      <c r="E711" s="3"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3" t="s">
        <v>2276</v>
      </c>
      <c r="AA711" s="3" t="s">
        <v>2276</v>
      </c>
      <c r="AB711" s="3" t="s">
        <v>2276</v>
      </c>
      <c r="AC711" s="4" t="s">
        <v>1726</v>
      </c>
      <c r="AD711" s="3"/>
    </row>
    <row r="712" spans="1:30" ht="49.5" customHeight="1">
      <c r="A712" s="23" t="s">
        <v>1527</v>
      </c>
      <c r="B712" s="3" t="s">
        <v>1677</v>
      </c>
      <c r="C712" s="23" t="s">
        <v>24</v>
      </c>
      <c r="D712" s="23" t="s">
        <v>143</v>
      </c>
      <c r="E712" s="3"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3" t="s">
        <v>2276</v>
      </c>
      <c r="AA712" s="3" t="s">
        <v>2276</v>
      </c>
      <c r="AB712" s="3" t="s">
        <v>2276</v>
      </c>
      <c r="AC712" s="4" t="s">
        <v>1726</v>
      </c>
      <c r="AD712" s="3"/>
    </row>
    <row r="713" spans="1:30" ht="49.5" customHeight="1">
      <c r="A713" s="23" t="s">
        <v>1528</v>
      </c>
      <c r="B713" s="3" t="s">
        <v>1678</v>
      </c>
      <c r="C713" s="23" t="s">
        <v>24</v>
      </c>
      <c r="D713" s="23" t="s">
        <v>143</v>
      </c>
      <c r="E713" s="3"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3" t="s">
        <v>2276</v>
      </c>
      <c r="AA713" s="3" t="s">
        <v>2276</v>
      </c>
      <c r="AB713" s="3" t="s">
        <v>2276</v>
      </c>
      <c r="AC713" s="4" t="s">
        <v>1726</v>
      </c>
      <c r="AD713" s="3"/>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3"/>
    </row>
    <row r="715" spans="1:30" ht="49.5" customHeight="1">
      <c r="A715" s="23" t="s">
        <v>1530</v>
      </c>
      <c r="B715" s="3" t="s">
        <v>1680</v>
      </c>
      <c r="C715" s="23" t="s">
        <v>24</v>
      </c>
      <c r="D715" s="23" t="s">
        <v>143</v>
      </c>
      <c r="E715" s="3"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3"/>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3"/>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3"/>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3"/>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3"/>
    </row>
    <row r="720" spans="1:30" ht="49.5" customHeight="1">
      <c r="A720" s="23" t="s">
        <v>1535</v>
      </c>
      <c r="B720" s="3"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3"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3"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3"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3"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3"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3"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3"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3"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3"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3" t="s">
        <v>2276</v>
      </c>
      <c r="AA729" s="3" t="s">
        <v>2276</v>
      </c>
      <c r="AB729" s="3" t="s">
        <v>2276</v>
      </c>
      <c r="AC729" s="4" t="s">
        <v>1726</v>
      </c>
      <c r="AD729" s="3"/>
    </row>
    <row r="730" spans="1:30" ht="49.5" customHeight="1">
      <c r="A730" s="23" t="s">
        <v>1545</v>
      </c>
      <c r="B730" s="3"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3" t="s">
        <v>2276</v>
      </c>
      <c r="AA730" s="3" t="s">
        <v>2276</v>
      </c>
      <c r="AB730" s="3" t="s">
        <v>2276</v>
      </c>
      <c r="AC730" s="4" t="s">
        <v>1726</v>
      </c>
      <c r="AD730" s="3"/>
    </row>
    <row r="731" spans="1:30" ht="49.5" customHeight="1">
      <c r="A731" s="23" t="s">
        <v>1546</v>
      </c>
      <c r="B731" s="3"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3" t="s">
        <v>2276</v>
      </c>
      <c r="AA731" s="3" t="s">
        <v>2276</v>
      </c>
      <c r="AB731" s="3" t="s">
        <v>2276</v>
      </c>
      <c r="AC731" s="4" t="s">
        <v>1726</v>
      </c>
      <c r="AD731" s="3"/>
    </row>
    <row r="732" spans="1:30" ht="49.5" customHeight="1">
      <c r="A732" s="23" t="s">
        <v>1547</v>
      </c>
      <c r="B732" s="3"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3" t="s">
        <v>2276</v>
      </c>
      <c r="AA732" s="3" t="s">
        <v>2276</v>
      </c>
      <c r="AB732" s="3" t="s">
        <v>2276</v>
      </c>
      <c r="AC732" s="4" t="s">
        <v>1726</v>
      </c>
      <c r="AD732" s="3"/>
    </row>
    <row r="733" spans="1:30" ht="49.5" customHeight="1">
      <c r="A733" s="23" t="s">
        <v>1548</v>
      </c>
      <c r="B733" s="3"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3"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3" t="s">
        <v>2276</v>
      </c>
      <c r="AA734" s="3" t="s">
        <v>2276</v>
      </c>
      <c r="AB734" s="3" t="s">
        <v>2276</v>
      </c>
      <c r="AC734" s="4" t="s">
        <v>1726</v>
      </c>
      <c r="AD734" s="3"/>
    </row>
    <row r="735" spans="1:30" ht="49.5" customHeight="1">
      <c r="A735" s="23" t="s">
        <v>1550</v>
      </c>
      <c r="B735" s="3"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3" t="s">
        <v>2276</v>
      </c>
      <c r="AA735" s="3" t="s">
        <v>2276</v>
      </c>
      <c r="AB735" s="3" t="s">
        <v>2276</v>
      </c>
      <c r="AC735" s="4" t="s">
        <v>1726</v>
      </c>
      <c r="AD735" s="3"/>
    </row>
    <row r="736" spans="1:30" ht="49.5" customHeight="1">
      <c r="A736" s="23" t="s">
        <v>1551</v>
      </c>
      <c r="B736" s="3" t="s">
        <v>1701</v>
      </c>
      <c r="C736" s="23" t="s">
        <v>24</v>
      </c>
      <c r="D736" s="23" t="s">
        <v>143</v>
      </c>
      <c r="E736" s="3" t="s">
        <v>863</v>
      </c>
      <c r="F736" s="19" t="s">
        <v>74</v>
      </c>
      <c r="G736" s="19"/>
      <c r="H736" s="11" t="s">
        <v>524</v>
      </c>
      <c r="I736" s="3"/>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3" t="s">
        <v>2276</v>
      </c>
      <c r="AA736" s="3" t="s">
        <v>2276</v>
      </c>
      <c r="AB736" s="3" t="s">
        <v>2276</v>
      </c>
      <c r="AC736" s="4" t="s">
        <v>1726</v>
      </c>
      <c r="AD736" s="3"/>
    </row>
    <row r="737" spans="1:30" ht="49.5" customHeight="1">
      <c r="A737" s="23" t="s">
        <v>1552</v>
      </c>
      <c r="B737" s="3"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3" t="s">
        <v>2276</v>
      </c>
      <c r="AA737" s="3" t="s">
        <v>2276</v>
      </c>
      <c r="AB737" s="3" t="s">
        <v>2276</v>
      </c>
      <c r="AC737" s="4" t="s">
        <v>1726</v>
      </c>
      <c r="AD737" s="3"/>
    </row>
    <row r="738" spans="1:30" ht="49.5" customHeight="1">
      <c r="A738" s="23" t="s">
        <v>1553</v>
      </c>
      <c r="B738" s="3"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3" t="s">
        <v>2276</v>
      </c>
      <c r="AA738" s="3" t="s">
        <v>2276</v>
      </c>
      <c r="AB738" s="3" t="s">
        <v>2276</v>
      </c>
      <c r="AC738" s="4" t="s">
        <v>1726</v>
      </c>
      <c r="AD738" s="3"/>
    </row>
    <row r="739" spans="1:30" ht="49.5" customHeight="1">
      <c r="A739" s="23" t="s">
        <v>1554</v>
      </c>
      <c r="B739" s="3"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3" t="s">
        <v>2276</v>
      </c>
      <c r="AA739" s="3" t="s">
        <v>2276</v>
      </c>
      <c r="AB739" s="3" t="s">
        <v>2276</v>
      </c>
      <c r="AC739" s="4" t="s">
        <v>1726</v>
      </c>
      <c r="AD739" s="3"/>
    </row>
    <row r="740" spans="1:30" ht="49.5" customHeight="1">
      <c r="A740" s="23" t="s">
        <v>1555</v>
      </c>
      <c r="B740" s="3"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3" t="s">
        <v>2276</v>
      </c>
      <c r="AA740" s="3" t="s">
        <v>2276</v>
      </c>
      <c r="AB740" s="3" t="s">
        <v>2276</v>
      </c>
      <c r="AC740" s="4" t="s">
        <v>1726</v>
      </c>
      <c r="AD740" s="3"/>
    </row>
    <row r="741" spans="1:30" ht="49.5" customHeight="1">
      <c r="A741" s="23" t="s">
        <v>1556</v>
      </c>
      <c r="B741" s="3"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3"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3" t="s">
        <v>2276</v>
      </c>
      <c r="AA742" s="3" t="s">
        <v>2276</v>
      </c>
      <c r="AB742" s="3" t="s">
        <v>2276</v>
      </c>
      <c r="AC742" s="4" t="s">
        <v>1726</v>
      </c>
      <c r="AD742" s="3"/>
    </row>
    <row r="743" spans="1:30" ht="49.5" customHeight="1">
      <c r="A743" s="23" t="s">
        <v>1558</v>
      </c>
      <c r="B743" s="3"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3" t="s">
        <v>2276</v>
      </c>
      <c r="AA743" s="3" t="s">
        <v>2276</v>
      </c>
      <c r="AB743" s="3" t="s">
        <v>2276</v>
      </c>
      <c r="AC743" s="4" t="s">
        <v>1726</v>
      </c>
      <c r="AD743" s="3"/>
    </row>
    <row r="744" spans="1:30" ht="49.5" customHeight="1">
      <c r="A744" s="23" t="s">
        <v>1559</v>
      </c>
      <c r="B744" s="3"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3" t="s">
        <v>2276</v>
      </c>
      <c r="AA744" s="3" t="s">
        <v>2276</v>
      </c>
      <c r="AB744" s="3" t="s">
        <v>2276</v>
      </c>
      <c r="AC744" s="4" t="s">
        <v>1726</v>
      </c>
      <c r="AD744" s="3"/>
    </row>
    <row r="745" spans="1:30" ht="49.5" customHeight="1">
      <c r="A745" s="23" t="s">
        <v>1560</v>
      </c>
      <c r="B745" s="3"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3" t="s">
        <v>2276</v>
      </c>
      <c r="AA745" s="3" t="s">
        <v>2276</v>
      </c>
      <c r="AB745" s="3" t="s">
        <v>2276</v>
      </c>
      <c r="AC745" s="4" t="s">
        <v>1726</v>
      </c>
      <c r="AD745" s="3"/>
    </row>
    <row r="746" spans="1:30" ht="49.5" customHeight="1">
      <c r="A746" s="23" t="s">
        <v>1561</v>
      </c>
      <c r="B746" s="3" t="s">
        <v>1711</v>
      </c>
      <c r="C746" s="23" t="s">
        <v>24</v>
      </c>
      <c r="D746" s="23" t="s">
        <v>143</v>
      </c>
      <c r="E746" s="3" t="s">
        <v>863</v>
      </c>
      <c r="F746" s="19" t="s">
        <v>74</v>
      </c>
      <c r="G746" s="19"/>
      <c r="H746" s="11" t="s">
        <v>524</v>
      </c>
      <c r="I746" s="3"/>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3" t="s">
        <v>2276</v>
      </c>
      <c r="AA746" s="3" t="s">
        <v>2276</v>
      </c>
      <c r="AB746" s="3" t="s">
        <v>2276</v>
      </c>
      <c r="AC746" s="4" t="s">
        <v>1726</v>
      </c>
      <c r="AD746" s="3"/>
    </row>
    <row r="747" spans="1:30" ht="49.5" customHeight="1">
      <c r="A747" s="23" t="s">
        <v>1562</v>
      </c>
      <c r="B747" s="3" t="s">
        <v>1712</v>
      </c>
      <c r="C747" s="23" t="s">
        <v>24</v>
      </c>
      <c r="D747" s="23" t="s">
        <v>143</v>
      </c>
      <c r="E747" s="3" t="s">
        <v>863</v>
      </c>
      <c r="F747" s="19" t="s">
        <v>74</v>
      </c>
      <c r="G747" s="19"/>
      <c r="H747" s="11" t="s">
        <v>524</v>
      </c>
      <c r="I747" s="3"/>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3" t="s">
        <v>2276</v>
      </c>
      <c r="AA747" s="3" t="s">
        <v>2276</v>
      </c>
      <c r="AB747" s="3" t="s">
        <v>2276</v>
      </c>
      <c r="AC747" s="4" t="s">
        <v>1726</v>
      </c>
      <c r="AD747" s="3"/>
    </row>
    <row r="748" spans="1:30" ht="49.5" customHeight="1">
      <c r="A748" s="23" t="s">
        <v>1563</v>
      </c>
      <c r="B748" s="3"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3" t="s">
        <v>2276</v>
      </c>
      <c r="AA748" s="3" t="s">
        <v>2276</v>
      </c>
      <c r="AB748" s="3" t="s">
        <v>2276</v>
      </c>
      <c r="AC748" s="4" t="s">
        <v>1726</v>
      </c>
      <c r="AD748" s="3"/>
    </row>
    <row r="749" spans="1:30" ht="49.5" customHeight="1">
      <c r="A749" s="23" t="s">
        <v>1564</v>
      </c>
      <c r="B749" s="3"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3" t="s">
        <v>2276</v>
      </c>
      <c r="AA749" s="3" t="s">
        <v>2276</v>
      </c>
      <c r="AB749" s="3" t="s">
        <v>2276</v>
      </c>
      <c r="AC749" s="4" t="s">
        <v>1726</v>
      </c>
      <c r="AD749" s="3"/>
    </row>
    <row r="750" spans="1:30" ht="49.5" customHeight="1">
      <c r="A750" s="23" t="s">
        <v>1565</v>
      </c>
      <c r="B750" s="3"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3" t="s">
        <v>2276</v>
      </c>
      <c r="AA750" s="3" t="s">
        <v>2276</v>
      </c>
      <c r="AB750" s="3" t="s">
        <v>2276</v>
      </c>
      <c r="AC750" s="4" t="s">
        <v>1726</v>
      </c>
      <c r="AD750" s="3"/>
    </row>
    <row r="751" spans="1:30" ht="49.5" customHeight="1">
      <c r="A751" s="23" t="s">
        <v>1566</v>
      </c>
      <c r="B751" s="3"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3" t="s">
        <v>2276</v>
      </c>
      <c r="AA751" s="3" t="s">
        <v>2276</v>
      </c>
      <c r="AB751" s="3" t="s">
        <v>2276</v>
      </c>
      <c r="AC751" s="4" t="s">
        <v>1726</v>
      </c>
      <c r="AD751" s="3"/>
    </row>
    <row r="752" spans="1:30" ht="49.5" customHeight="1">
      <c r="A752" s="23" t="s">
        <v>1567</v>
      </c>
      <c r="B752" s="3"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3" t="s">
        <v>2276</v>
      </c>
      <c r="AA752" s="3" t="s">
        <v>2276</v>
      </c>
      <c r="AB752" s="3" t="s">
        <v>2276</v>
      </c>
      <c r="AC752" s="4" t="s">
        <v>1726</v>
      </c>
      <c r="AD752" s="3"/>
    </row>
    <row r="753" spans="1:30" ht="49.5" customHeight="1">
      <c r="A753" s="23" t="s">
        <v>1568</v>
      </c>
      <c r="B753" s="3" t="s">
        <v>1718</v>
      </c>
      <c r="C753" s="23" t="s">
        <v>24</v>
      </c>
      <c r="D753" s="23" t="s">
        <v>143</v>
      </c>
      <c r="E753" s="3" t="s">
        <v>863</v>
      </c>
      <c r="F753" s="19" t="s">
        <v>74</v>
      </c>
      <c r="G753" s="19"/>
      <c r="H753" s="11" t="s">
        <v>524</v>
      </c>
      <c r="I753" s="3"/>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3" t="s">
        <v>2276</v>
      </c>
      <c r="AA753" s="3" t="s">
        <v>2276</v>
      </c>
      <c r="AB753" s="3" t="s">
        <v>2276</v>
      </c>
      <c r="AC753" s="4" t="s">
        <v>1726</v>
      </c>
      <c r="AD753" s="3"/>
    </row>
    <row r="754" spans="1:30" ht="49.5" customHeight="1">
      <c r="A754" s="23" t="s">
        <v>1569</v>
      </c>
      <c r="B754" s="3"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3" t="s">
        <v>2276</v>
      </c>
      <c r="AA754" s="3" t="s">
        <v>2276</v>
      </c>
      <c r="AB754" s="3" t="s">
        <v>2276</v>
      </c>
      <c r="AC754" s="4" t="s">
        <v>1726</v>
      </c>
      <c r="AD754" s="3"/>
    </row>
    <row r="755" spans="1:30" ht="49.5" customHeight="1">
      <c r="A755" s="23" t="s">
        <v>1570</v>
      </c>
      <c r="B755" s="3" t="s">
        <v>1720</v>
      </c>
      <c r="C755" s="23" t="s">
        <v>24</v>
      </c>
      <c r="D755" s="23" t="s">
        <v>143</v>
      </c>
      <c r="E755" s="3" t="s">
        <v>863</v>
      </c>
      <c r="F755" s="19" t="s">
        <v>74</v>
      </c>
      <c r="G755" s="19"/>
      <c r="H755" s="11" t="s">
        <v>524</v>
      </c>
      <c r="I755" s="3"/>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3" t="s">
        <v>2276</v>
      </c>
      <c r="AA755" s="3" t="s">
        <v>2276</v>
      </c>
      <c r="AB755" s="3" t="s">
        <v>2276</v>
      </c>
      <c r="AC755" s="4" t="s">
        <v>1726</v>
      </c>
      <c r="AD755" s="3"/>
    </row>
    <row r="756" spans="1:30" ht="49.5" customHeight="1">
      <c r="A756" s="23" t="s">
        <v>1571</v>
      </c>
      <c r="B756" s="3"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3" t="s">
        <v>2276</v>
      </c>
      <c r="AA756" s="3" t="s">
        <v>2276</v>
      </c>
      <c r="AB756" s="3" t="s">
        <v>2276</v>
      </c>
      <c r="AC756" s="4" t="s">
        <v>1726</v>
      </c>
      <c r="AD756" s="3"/>
    </row>
    <row r="757" spans="1:30" ht="49.5" customHeight="1">
      <c r="A757" s="23" t="s">
        <v>1572</v>
      </c>
      <c r="B757" s="3" t="s">
        <v>1722</v>
      </c>
      <c r="C757" s="23" t="s">
        <v>24</v>
      </c>
      <c r="D757" s="23" t="s">
        <v>143</v>
      </c>
      <c r="E757" s="3" t="s">
        <v>863</v>
      </c>
      <c r="F757" s="19" t="s">
        <v>74</v>
      </c>
      <c r="G757" s="19"/>
      <c r="H757" s="11" t="s">
        <v>524</v>
      </c>
      <c r="I757" s="3"/>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3" t="s">
        <v>2276</v>
      </c>
      <c r="AA757" s="3" t="s">
        <v>2276</v>
      </c>
      <c r="AB757" s="3" t="s">
        <v>2276</v>
      </c>
      <c r="AC757" s="4" t="s">
        <v>1726</v>
      </c>
      <c r="AD757" s="3"/>
    </row>
    <row r="758" spans="1:30" ht="49.5" customHeight="1">
      <c r="A758" s="23" t="s">
        <v>1573</v>
      </c>
      <c r="B758" s="3"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3" t="s">
        <v>2276</v>
      </c>
      <c r="AA758" s="3" t="s">
        <v>2276</v>
      </c>
      <c r="AB758" s="3" t="s">
        <v>2276</v>
      </c>
      <c r="AC758" s="4" t="s">
        <v>1726</v>
      </c>
      <c r="AD758" s="3"/>
    </row>
    <row r="759" spans="1:30" ht="49.5" customHeight="1">
      <c r="A759" s="23" t="s">
        <v>1574</v>
      </c>
      <c r="B759" s="3" t="s">
        <v>1724</v>
      </c>
      <c r="C759" s="23" t="s">
        <v>24</v>
      </c>
      <c r="D759" s="23" t="s">
        <v>143</v>
      </c>
      <c r="E759" s="3" t="s">
        <v>863</v>
      </c>
      <c r="F759" s="19" t="s">
        <v>74</v>
      </c>
      <c r="G759" s="19"/>
      <c r="H759" s="11" t="s">
        <v>524</v>
      </c>
      <c r="I759" s="3"/>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3" t="s">
        <v>2276</v>
      </c>
      <c r="AA759" s="3" t="s">
        <v>2276</v>
      </c>
      <c r="AB759" s="3" t="s">
        <v>2276</v>
      </c>
      <c r="AC759" s="4" t="s">
        <v>1726</v>
      </c>
      <c r="AD759" s="3"/>
    </row>
    <row r="760" spans="1:30" ht="49.5" customHeight="1">
      <c r="A760" s="23" t="s">
        <v>1575</v>
      </c>
      <c r="B760" s="3" t="s">
        <v>1725</v>
      </c>
      <c r="C760" s="23" t="s">
        <v>24</v>
      </c>
      <c r="D760" s="23" t="s">
        <v>143</v>
      </c>
      <c r="E760" s="3"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3"/>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3" t="s">
        <v>1176</v>
      </c>
      <c r="AD761" s="3"/>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3" t="s">
        <v>2276</v>
      </c>
      <c r="AA762" s="3" t="s">
        <v>2276</v>
      </c>
      <c r="AB762" s="3"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3" t="s">
        <v>2276</v>
      </c>
      <c r="AA763" s="3" t="s">
        <v>2276</v>
      </c>
      <c r="AB763" s="3"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3"/>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3" t="s">
        <v>189</v>
      </c>
      <c r="AA765" s="3" t="s">
        <v>189</v>
      </c>
      <c r="AB765" s="3"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3" t="s">
        <v>189</v>
      </c>
      <c r="AA766" s="3" t="s">
        <v>189</v>
      </c>
      <c r="AB766" s="3"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3" t="s">
        <v>189</v>
      </c>
      <c r="AA767" s="3" t="s">
        <v>189</v>
      </c>
      <c r="AB767" s="3"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3" t="s">
        <v>2276</v>
      </c>
      <c r="AA768" s="3" t="s">
        <v>2276</v>
      </c>
      <c r="AB768" s="3"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3" t="s">
        <v>2276</v>
      </c>
      <c r="AA769" s="3" t="s">
        <v>2276</v>
      </c>
      <c r="AB769" s="3"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3" t="s">
        <v>2276</v>
      </c>
      <c r="AA770" s="3" t="s">
        <v>2276</v>
      </c>
      <c r="AB770" s="3"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3" t="s">
        <v>2276</v>
      </c>
      <c r="AA771" s="3" t="s">
        <v>2276</v>
      </c>
      <c r="AB771" s="3"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3" t="s">
        <v>2276</v>
      </c>
      <c r="AA772" s="3" t="s">
        <v>2276</v>
      </c>
      <c r="AB772" s="3" t="s">
        <v>2276</v>
      </c>
      <c r="AC772" s="3"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3" t="s">
        <v>2276</v>
      </c>
      <c r="AA773" s="3" t="s">
        <v>2276</v>
      </c>
      <c r="AB773" s="3"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3" t="s">
        <v>2276</v>
      </c>
      <c r="AA774" s="3" t="s">
        <v>2276</v>
      </c>
      <c r="AB774" s="3"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3" t="s">
        <v>2276</v>
      </c>
      <c r="AA776" s="3" t="s">
        <v>2276</v>
      </c>
      <c r="AB776" s="3"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3" t="s">
        <v>2276</v>
      </c>
      <c r="AA777" s="3" t="s">
        <v>2276</v>
      </c>
      <c r="AB777" s="3"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3" t="s">
        <v>2276</v>
      </c>
      <c r="AA778" s="3" t="s">
        <v>2276</v>
      </c>
      <c r="AB778" s="3"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3" t="s">
        <v>2276</v>
      </c>
      <c r="AA779" s="3" t="s">
        <v>2276</v>
      </c>
      <c r="AB779" s="3"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3" t="s">
        <v>404</v>
      </c>
      <c r="AA780" s="3" t="s">
        <v>35</v>
      </c>
      <c r="AB780" s="3"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3" t="s">
        <v>2276</v>
      </c>
      <c r="AA781" s="3" t="s">
        <v>2276</v>
      </c>
      <c r="AB781" s="3"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3" t="s">
        <v>2276</v>
      </c>
      <c r="AA782" s="3" t="s">
        <v>2276</v>
      </c>
      <c r="AB782" s="3"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3" t="s">
        <v>86</v>
      </c>
      <c r="AA783" s="3" t="s">
        <v>404</v>
      </c>
      <c r="AB783" s="3"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3" t="s">
        <v>1246</v>
      </c>
      <c r="AA784" s="3" t="s">
        <v>405</v>
      </c>
      <c r="AB784" s="3" t="s">
        <v>64</v>
      </c>
      <c r="AC784" s="3"/>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3" t="s">
        <v>2456</v>
      </c>
      <c r="AD786" s="4" t="s">
        <v>2455</v>
      </c>
    </row>
    <row r="787" spans="1:30" ht="57" customHeight="1">
      <c r="A787" s="11" t="s">
        <v>2449</v>
      </c>
      <c r="B787" s="11" t="s">
        <v>2460</v>
      </c>
      <c r="C787" s="23" t="s">
        <v>24</v>
      </c>
      <c r="D787" s="11" t="s">
        <v>27</v>
      </c>
      <c r="E787" s="11" t="s">
        <v>130</v>
      </c>
      <c r="F787" s="19" t="s">
        <v>161</v>
      </c>
      <c r="G787" s="11" t="s">
        <v>161</v>
      </c>
      <c r="H787" s="3" t="s">
        <v>523</v>
      </c>
      <c r="I787" s="3"/>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3"/>
      <c r="AD787" s="3"/>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3" t="s">
        <v>2466</v>
      </c>
      <c r="B789" s="3"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4" t="s">
        <v>64</v>
      </c>
      <c r="AC789" s="3"/>
      <c r="AD789" s="3"/>
    </row>
    <row r="790" spans="1:30" ht="64.5" customHeight="1">
      <c r="A790" s="3" t="s">
        <v>2467</v>
      </c>
      <c r="B790" s="3"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4" t="s">
        <v>64</v>
      </c>
      <c r="AC790" s="3"/>
      <c r="AD790" s="3"/>
    </row>
    <row r="791" spans="1:30" ht="64.5" customHeight="1">
      <c r="A791" s="3" t="s">
        <v>2468</v>
      </c>
      <c r="B791" s="3"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4" t="s">
        <v>64</v>
      </c>
      <c r="AC791" s="3"/>
      <c r="AD791" s="3"/>
    </row>
    <row r="792" spans="1:30" ht="64.5" customHeight="1">
      <c r="A792" s="3" t="s">
        <v>2469</v>
      </c>
      <c r="B792" s="3"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4" t="s">
        <v>64</v>
      </c>
      <c r="AC792" s="3"/>
      <c r="AD792" s="3"/>
    </row>
    <row r="793" spans="1:30" ht="64.5" customHeight="1">
      <c r="A793" s="3" t="s">
        <v>2470</v>
      </c>
      <c r="B793" s="3" t="s">
        <v>2504</v>
      </c>
      <c r="C793" s="23" t="s">
        <v>24</v>
      </c>
      <c r="D793" s="11" t="s">
        <v>27</v>
      </c>
      <c r="E793" s="11" t="s">
        <v>130</v>
      </c>
      <c r="F793" s="19" t="s">
        <v>161</v>
      </c>
      <c r="G793" s="11" t="s">
        <v>2276</v>
      </c>
      <c r="H793" s="3"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4" t="s">
        <v>64</v>
      </c>
      <c r="AC793" s="3"/>
      <c r="AD793" s="3"/>
    </row>
    <row r="794" spans="1:30" ht="64.5" customHeight="1">
      <c r="A794" s="3" t="s">
        <v>2471</v>
      </c>
      <c r="B794" s="3" t="s">
        <v>2505</v>
      </c>
      <c r="C794" s="23" t="s">
        <v>24</v>
      </c>
      <c r="D794" s="11" t="s">
        <v>27</v>
      </c>
      <c r="E794" s="11" t="s">
        <v>130</v>
      </c>
      <c r="F794" s="19" t="s">
        <v>161</v>
      </c>
      <c r="G794" s="11" t="s">
        <v>2276</v>
      </c>
      <c r="H794" s="3"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4" t="s">
        <v>64</v>
      </c>
      <c r="AC794" s="3"/>
      <c r="AD794" s="3"/>
    </row>
    <row r="795" spans="1:30" ht="64.5" customHeight="1">
      <c r="A795" s="3" t="s">
        <v>2472</v>
      </c>
      <c r="B795" s="3" t="s">
        <v>2506</v>
      </c>
      <c r="C795" s="23" t="s">
        <v>24</v>
      </c>
      <c r="D795" s="11" t="s">
        <v>27</v>
      </c>
      <c r="E795" s="11" t="s">
        <v>130</v>
      </c>
      <c r="F795" s="19" t="s">
        <v>161</v>
      </c>
      <c r="G795" s="11" t="s">
        <v>2276</v>
      </c>
      <c r="H795" s="3"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4" t="s">
        <v>64</v>
      </c>
      <c r="AC795" s="3"/>
      <c r="AD795" s="3"/>
    </row>
    <row r="796" spans="1:30" ht="64.5" customHeight="1">
      <c r="A796" s="3" t="s">
        <v>2473</v>
      </c>
      <c r="B796" s="3" t="s">
        <v>2507</v>
      </c>
      <c r="C796" s="23" t="s">
        <v>24</v>
      </c>
      <c r="D796" s="11" t="s">
        <v>27</v>
      </c>
      <c r="E796" s="11" t="s">
        <v>130</v>
      </c>
      <c r="F796" s="19" t="s">
        <v>161</v>
      </c>
      <c r="G796" s="11" t="s">
        <v>2276</v>
      </c>
      <c r="H796" s="3"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4" t="s">
        <v>64</v>
      </c>
      <c r="AC796" s="3"/>
      <c r="AD796" s="3"/>
    </row>
    <row r="797" spans="1:30" ht="64.5" customHeight="1">
      <c r="A797" s="3" t="s">
        <v>2474</v>
      </c>
      <c r="B797" s="3" t="s">
        <v>2508</v>
      </c>
      <c r="C797" s="23" t="s">
        <v>24</v>
      </c>
      <c r="D797" s="11" t="s">
        <v>27</v>
      </c>
      <c r="E797" s="11" t="s">
        <v>130</v>
      </c>
      <c r="F797" s="19" t="s">
        <v>161</v>
      </c>
      <c r="G797" s="11" t="s">
        <v>2276</v>
      </c>
      <c r="H797" s="3"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4" t="s">
        <v>64</v>
      </c>
      <c r="AC797" s="3"/>
      <c r="AD797" s="3"/>
    </row>
    <row r="798" spans="1:30" ht="64.5" customHeight="1">
      <c r="A798" s="3" t="s">
        <v>2475</v>
      </c>
      <c r="B798" s="3" t="s">
        <v>2509</v>
      </c>
      <c r="C798" s="23" t="s">
        <v>24</v>
      </c>
      <c r="D798" s="11" t="s">
        <v>27</v>
      </c>
      <c r="E798" s="11" t="s">
        <v>130</v>
      </c>
      <c r="F798" s="19" t="s">
        <v>161</v>
      </c>
      <c r="G798" s="11" t="s">
        <v>2276</v>
      </c>
      <c r="H798" s="3"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4" t="s">
        <v>64</v>
      </c>
      <c r="AC798" s="3"/>
      <c r="AD798" s="3"/>
    </row>
    <row r="799" spans="1:30" ht="64.5" customHeight="1">
      <c r="A799" s="3" t="s">
        <v>2476</v>
      </c>
      <c r="B799" s="3" t="s">
        <v>2510</v>
      </c>
      <c r="C799" s="23" t="s">
        <v>24</v>
      </c>
      <c r="D799" s="11" t="s">
        <v>27</v>
      </c>
      <c r="E799" s="11" t="s">
        <v>130</v>
      </c>
      <c r="F799" s="19" t="s">
        <v>161</v>
      </c>
      <c r="G799" s="11" t="s">
        <v>2276</v>
      </c>
      <c r="H799" s="3"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4" t="s">
        <v>64</v>
      </c>
      <c r="AC799" s="3"/>
      <c r="AD799" s="3"/>
    </row>
    <row r="800" spans="1:30" ht="64.5" customHeight="1">
      <c r="A800" s="3" t="s">
        <v>2477</v>
      </c>
      <c r="B800" s="3" t="s">
        <v>2511</v>
      </c>
      <c r="C800" s="23" t="s">
        <v>24</v>
      </c>
      <c r="D800" s="11" t="s">
        <v>27</v>
      </c>
      <c r="E800" s="11" t="s">
        <v>130</v>
      </c>
      <c r="F800" s="19" t="s">
        <v>161</v>
      </c>
      <c r="G800" s="11" t="s">
        <v>2276</v>
      </c>
      <c r="H800" s="3"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4" t="s">
        <v>64</v>
      </c>
      <c r="AC800" s="3"/>
      <c r="AD800" s="3"/>
    </row>
    <row r="801" spans="1:30" ht="64.5" customHeight="1">
      <c r="A801" s="3" t="s">
        <v>2478</v>
      </c>
      <c r="B801" s="3" t="s">
        <v>2512</v>
      </c>
      <c r="C801" s="23" t="s">
        <v>24</v>
      </c>
      <c r="D801" s="11" t="s">
        <v>27</v>
      </c>
      <c r="E801" s="11" t="s">
        <v>130</v>
      </c>
      <c r="F801" s="19" t="s">
        <v>161</v>
      </c>
      <c r="G801" s="11" t="s">
        <v>2276</v>
      </c>
      <c r="H801" s="3" t="s">
        <v>523</v>
      </c>
      <c r="I801" s="3"/>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4" t="s">
        <v>64</v>
      </c>
      <c r="AC801" s="3"/>
      <c r="AD801" s="3"/>
    </row>
    <row r="802" spans="1:30" ht="64.5" customHeight="1">
      <c r="A802" s="3" t="s">
        <v>2479</v>
      </c>
      <c r="B802" s="3" t="s">
        <v>2513</v>
      </c>
      <c r="C802" s="23" t="s">
        <v>24</v>
      </c>
      <c r="D802" s="11" t="s">
        <v>27</v>
      </c>
      <c r="E802" s="11" t="s">
        <v>130</v>
      </c>
      <c r="F802" s="19" t="s">
        <v>161</v>
      </c>
      <c r="G802" s="11" t="s">
        <v>2276</v>
      </c>
      <c r="H802" s="3" t="s">
        <v>523</v>
      </c>
      <c r="I802" s="3"/>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4" t="s">
        <v>64</v>
      </c>
      <c r="AC802" s="3"/>
      <c r="AD802" s="3"/>
    </row>
    <row r="803" spans="1:30" ht="64.5" customHeight="1">
      <c r="A803" s="3" t="s">
        <v>2480</v>
      </c>
      <c r="B803" s="3" t="s">
        <v>2514</v>
      </c>
      <c r="C803" s="23" t="s">
        <v>24</v>
      </c>
      <c r="D803" s="11" t="s">
        <v>27</v>
      </c>
      <c r="E803" s="11" t="s">
        <v>130</v>
      </c>
      <c r="F803" s="19" t="s">
        <v>161</v>
      </c>
      <c r="G803" s="11" t="s">
        <v>2276</v>
      </c>
      <c r="H803" s="3" t="s">
        <v>523</v>
      </c>
      <c r="I803" s="3"/>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4" t="s">
        <v>64</v>
      </c>
      <c r="AC803" s="3"/>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4" t="s">
        <v>64</v>
      </c>
      <c r="AC804" s="3"/>
      <c r="AD804" s="3"/>
    </row>
    <row r="805" spans="1:30" ht="31" customHeight="1">
      <c r="A805" s="11" t="s">
        <v>2518</v>
      </c>
      <c r="B805" s="11" t="s">
        <v>2523</v>
      </c>
      <c r="C805" s="23" t="s">
        <v>24</v>
      </c>
      <c r="D805" s="11" t="s">
        <v>27</v>
      </c>
      <c r="E805" s="11" t="s">
        <v>130</v>
      </c>
      <c r="F805" s="19" t="s">
        <v>161</v>
      </c>
      <c r="G805" s="11" t="s">
        <v>2276</v>
      </c>
      <c r="H805" s="3"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3"/>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3"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3"/>
      <c r="AD807" s="3"/>
    </row>
    <row r="808" spans="1:30" ht="31" customHeight="1">
      <c r="A808" s="11" t="s">
        <v>2520</v>
      </c>
      <c r="B808" s="11" t="s">
        <v>2526</v>
      </c>
      <c r="C808" s="23" t="s">
        <v>24</v>
      </c>
      <c r="D808" s="11" t="s">
        <v>27</v>
      </c>
      <c r="E808" s="11" t="s">
        <v>130</v>
      </c>
      <c r="F808" s="19" t="s">
        <v>74</v>
      </c>
      <c r="G808" s="11" t="s">
        <v>2276</v>
      </c>
      <c r="H808" s="3"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3"/>
      <c r="AD808" s="3"/>
    </row>
    <row r="809" spans="1:30" ht="31" customHeight="1">
      <c r="A809" s="12" t="s">
        <v>2520</v>
      </c>
      <c r="B809" s="12" t="s">
        <v>2547</v>
      </c>
      <c r="C809" s="93" t="s">
        <v>24</v>
      </c>
      <c r="D809" s="12" t="s">
        <v>27</v>
      </c>
      <c r="E809" s="12" t="s">
        <v>84</v>
      </c>
      <c r="F809" s="92" t="s">
        <v>74</v>
      </c>
      <c r="G809" s="12" t="s">
        <v>2276</v>
      </c>
      <c r="H809" s="12" t="s">
        <v>524</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v>0</v>
      </c>
      <c r="Y809" s="88">
        <v>0</v>
      </c>
      <c r="Z809" s="88" t="s">
        <v>2276</v>
      </c>
      <c r="AA809" s="88" t="s">
        <v>2276</v>
      </c>
      <c r="AB809" s="88" t="s">
        <v>2276</v>
      </c>
      <c r="AC809" s="12"/>
      <c r="AD809" s="12"/>
    </row>
    <row r="810" spans="1:30" ht="31" customHeight="1">
      <c r="A810" s="12" t="s">
        <v>2520</v>
      </c>
      <c r="B810" s="12" t="s">
        <v>2548</v>
      </c>
      <c r="C810" s="93" t="s">
        <v>24</v>
      </c>
      <c r="D810" s="12" t="s">
        <v>143</v>
      </c>
      <c r="E810" s="12" t="s">
        <v>84</v>
      </c>
      <c r="F810" s="92" t="s">
        <v>74</v>
      </c>
      <c r="G810" s="12" t="s">
        <v>2276</v>
      </c>
      <c r="H810" s="12" t="s">
        <v>524</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v>0</v>
      </c>
      <c r="Y810" s="88">
        <v>0</v>
      </c>
      <c r="Z810" s="88" t="s">
        <v>2276</v>
      </c>
      <c r="AA810" s="88" t="s">
        <v>2276</v>
      </c>
      <c r="AB810" s="88" t="s">
        <v>2276</v>
      </c>
      <c r="AC810" s="12"/>
      <c r="AD810" s="12"/>
    </row>
    <row r="811" spans="1:30" ht="41.5" customHeight="1">
      <c r="A811" s="11" t="s">
        <v>2531</v>
      </c>
      <c r="B811" s="11" t="s">
        <v>2534</v>
      </c>
      <c r="C811" s="23" t="s">
        <v>24</v>
      </c>
      <c r="D811" s="11" t="s">
        <v>27</v>
      </c>
      <c r="E811" s="11" t="s">
        <v>130</v>
      </c>
      <c r="F811" s="19" t="s">
        <v>161</v>
      </c>
      <c r="G811" s="11" t="s">
        <v>2276</v>
      </c>
      <c r="H811" s="3"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3"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3"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3"/>
      <c r="AD813" s="3"/>
    </row>
    <row r="814" spans="1:30" ht="39.5" customHeight="1">
      <c r="A814" s="11" t="s">
        <v>2540</v>
      </c>
      <c r="B814" s="11" t="s">
        <v>2545</v>
      </c>
      <c r="C814" s="23" t="s">
        <v>24</v>
      </c>
      <c r="D814" s="11" t="s">
        <v>27</v>
      </c>
      <c r="E814" s="11" t="s">
        <v>130</v>
      </c>
      <c r="F814" s="19" t="s">
        <v>161</v>
      </c>
      <c r="G814" s="11" t="s">
        <v>2276</v>
      </c>
      <c r="H814" s="3"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3"/>
      <c r="AD814" s="3"/>
    </row>
    <row r="815" spans="1:30" ht="67.5" customHeight="1">
      <c r="A815" s="3" t="s">
        <v>2550</v>
      </c>
      <c r="B815" s="11" t="s">
        <v>2554</v>
      </c>
      <c r="C815" s="23" t="s">
        <v>24</v>
      </c>
      <c r="D815" s="11" t="s">
        <v>27</v>
      </c>
      <c r="E815" s="11" t="s">
        <v>130</v>
      </c>
      <c r="F815" s="19" t="s">
        <v>161</v>
      </c>
      <c r="G815" s="11" t="s">
        <v>2276</v>
      </c>
      <c r="H815" s="3"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3" t="s">
        <v>188</v>
      </c>
      <c r="AA815" s="3" t="s">
        <v>188</v>
      </c>
      <c r="AB815" s="3"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3" t="s">
        <v>399</v>
      </c>
      <c r="AA816" s="3" t="s">
        <v>399</v>
      </c>
      <c r="AB816" s="3"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3" t="s">
        <v>188</v>
      </c>
      <c r="AA817" s="3" t="s">
        <v>188</v>
      </c>
      <c r="AB817" s="3" t="s">
        <v>64</v>
      </c>
      <c r="AC817" s="3"/>
      <c r="AD817" s="3"/>
    </row>
    <row r="818" spans="1:30">
      <c r="A818" s="3" t="s">
        <v>2557</v>
      </c>
      <c r="B818" s="11" t="s">
        <v>2559</v>
      </c>
      <c r="C818" s="23" t="s">
        <v>24</v>
      </c>
      <c r="D818" s="11" t="s">
        <v>27</v>
      </c>
      <c r="E818" s="11" t="s">
        <v>130</v>
      </c>
      <c r="F818" s="19" t="s">
        <v>161</v>
      </c>
      <c r="G818" s="11" t="s">
        <v>2276</v>
      </c>
      <c r="H818" s="3"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3" t="s">
        <v>188</v>
      </c>
      <c r="AA818" s="3" t="s">
        <v>188</v>
      </c>
      <c r="AB818" s="3" t="s">
        <v>64</v>
      </c>
      <c r="AC818" s="3"/>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3" t="s">
        <v>188</v>
      </c>
      <c r="AA819" s="3" t="s">
        <v>188</v>
      </c>
      <c r="AB819" s="3" t="s">
        <v>64</v>
      </c>
      <c r="AC819" s="3"/>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3" t="s">
        <v>188</v>
      </c>
      <c r="AA820" s="3" t="s">
        <v>188</v>
      </c>
      <c r="AB820" s="3" t="s">
        <v>64</v>
      </c>
      <c r="AC820" s="3"/>
      <c r="AD820" s="3"/>
    </row>
    <row r="821" spans="1:30">
      <c r="A821" s="3" t="s">
        <v>2557</v>
      </c>
      <c r="B821" s="11" t="s">
        <v>2562</v>
      </c>
      <c r="C821" s="23" t="s">
        <v>24</v>
      </c>
      <c r="D821" s="11" t="s">
        <v>27</v>
      </c>
      <c r="E821" s="11" t="s">
        <v>130</v>
      </c>
      <c r="F821" s="19" t="s">
        <v>161</v>
      </c>
      <c r="G821" s="11" t="s">
        <v>2276</v>
      </c>
      <c r="H821" s="3"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3" t="s">
        <v>188</v>
      </c>
      <c r="AA821" s="3" t="s">
        <v>188</v>
      </c>
      <c r="AB821" s="3" t="s">
        <v>64</v>
      </c>
      <c r="AC821" s="3"/>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3" t="s">
        <v>399</v>
      </c>
      <c r="AA822" s="3" t="s">
        <v>399</v>
      </c>
      <c r="AB822" s="3"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3"/>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3"/>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3"/>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3"/>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3"/>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3"/>
      <c r="AD829" s="3"/>
    </row>
    <row r="830" spans="1:30" ht="36" customHeight="1">
      <c r="A830" s="11" t="s">
        <v>2589</v>
      </c>
      <c r="B830" s="11" t="s">
        <v>2607</v>
      </c>
      <c r="C830" s="23" t="s">
        <v>24</v>
      </c>
      <c r="D830" s="11" t="s">
        <v>27</v>
      </c>
      <c r="E830" s="11" t="s">
        <v>130</v>
      </c>
      <c r="F830" s="19" t="s">
        <v>74</v>
      </c>
      <c r="G830" s="11" t="s">
        <v>2276</v>
      </c>
      <c r="H830" s="3"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3"/>
      <c r="AD830" s="3"/>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3"/>
      <c r="AD831" s="3"/>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3"/>
      <c r="AD832" s="3"/>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3"/>
      <c r="AD833" s="3"/>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3"/>
      <c r="AD834" s="3"/>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3"/>
      <c r="AD835" s="3"/>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3"/>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3"/>
    </row>
    <row r="840" spans="1:30" ht="36" customHeight="1">
      <c r="A840" s="11" t="s">
        <v>2594</v>
      </c>
      <c r="B840" s="11" t="s">
        <v>2617</v>
      </c>
      <c r="C840" s="23" t="s">
        <v>24</v>
      </c>
      <c r="D840" s="11" t="s">
        <v>27</v>
      </c>
      <c r="E840" s="11" t="s">
        <v>130</v>
      </c>
      <c r="F840" s="19" t="s">
        <v>74</v>
      </c>
      <c r="G840" s="11" t="s">
        <v>2276</v>
      </c>
      <c r="H840" s="3" t="s">
        <v>523</v>
      </c>
      <c r="I840" s="3"/>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3"/>
      <c r="AD840" s="3"/>
    </row>
    <row r="841" spans="1:30" ht="36" customHeight="1">
      <c r="A841" s="11" t="s">
        <v>2595</v>
      </c>
      <c r="B841" s="11" t="s">
        <v>2618</v>
      </c>
      <c r="C841" s="23" t="s">
        <v>24</v>
      </c>
      <c r="D841" s="11" t="s">
        <v>27</v>
      </c>
      <c r="E841" s="11" t="s">
        <v>130</v>
      </c>
      <c r="F841" s="19" t="s">
        <v>161</v>
      </c>
      <c r="G841" s="11" t="s">
        <v>2276</v>
      </c>
      <c r="H841" s="3" t="s">
        <v>523</v>
      </c>
      <c r="I841" s="3"/>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3"/>
      <c r="AD841" s="3"/>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3"/>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3" t="s">
        <v>2624</v>
      </c>
      <c r="B845" s="3"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3" t="s">
        <v>2625</v>
      </c>
      <c r="B846" s="3"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3" t="s">
        <v>2625</v>
      </c>
      <c r="B847" s="3"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3" t="s">
        <v>2625</v>
      </c>
      <c r="B848" s="3"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3" t="s">
        <v>2678</v>
      </c>
      <c r="B849" s="3"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3" t="s">
        <v>2682</v>
      </c>
      <c r="B850" s="3"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3"/>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3"/>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3"/>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3"/>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3"/>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3" t="s">
        <v>523</v>
      </c>
      <c r="I860" s="3"/>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3"/>
      <c r="AD860" s="3"/>
    </row>
    <row r="861" spans="1:30" ht="34.5" customHeight="1">
      <c r="A861" s="11" t="s">
        <v>2751</v>
      </c>
      <c r="B861" s="11" t="s">
        <v>2757</v>
      </c>
      <c r="C861" s="23" t="s">
        <v>24</v>
      </c>
      <c r="D861" s="11" t="s">
        <v>27</v>
      </c>
      <c r="E861" s="11" t="s">
        <v>130</v>
      </c>
      <c r="F861" s="19" t="s">
        <v>161</v>
      </c>
      <c r="G861" s="3"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3"/>
      <c r="AD861" s="3" t="s">
        <v>2760</v>
      </c>
    </row>
    <row r="862" spans="1:30" ht="30" customHeight="1">
      <c r="A862" s="11" t="s">
        <v>2756</v>
      </c>
      <c r="B862" s="11" t="s">
        <v>2758</v>
      </c>
      <c r="C862" s="23" t="s">
        <v>24</v>
      </c>
      <c r="D862" s="11" t="s">
        <v>27</v>
      </c>
      <c r="E862" s="11" t="s">
        <v>130</v>
      </c>
      <c r="F862" s="19" t="s">
        <v>161</v>
      </c>
      <c r="G862" s="3"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3"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3" t="s">
        <v>68</v>
      </c>
      <c r="AA863" s="3" t="s">
        <v>68</v>
      </c>
      <c r="AB863" s="74" t="s">
        <v>64</v>
      </c>
      <c r="AC863" s="3"/>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4" t="s">
        <v>405</v>
      </c>
      <c r="AA864" s="74" t="s">
        <v>405</v>
      </c>
      <c r="AB864" s="74" t="s">
        <v>64</v>
      </c>
      <c r="AC864" s="3"/>
      <c r="AD864" s="4" t="s">
        <v>2789</v>
      </c>
    </row>
    <row r="865" spans="1:30" ht="43.5">
      <c r="A865" s="11" t="s">
        <v>2773</v>
      </c>
      <c r="B865" s="11" t="s">
        <v>2783</v>
      </c>
      <c r="C865" s="23" t="s">
        <v>24</v>
      </c>
      <c r="D865" s="11" t="s">
        <v>27</v>
      </c>
      <c r="E865" s="11" t="s">
        <v>130</v>
      </c>
      <c r="F865" s="19" t="s">
        <v>28</v>
      </c>
      <c r="G865" s="3"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4" t="s">
        <v>405</v>
      </c>
      <c r="AA865" s="74" t="s">
        <v>405</v>
      </c>
      <c r="AB865" s="74" t="s">
        <v>64</v>
      </c>
      <c r="AC865" s="3"/>
      <c r="AD865" s="4" t="s">
        <v>2789</v>
      </c>
    </row>
    <row r="866" spans="1:30" ht="43.5">
      <c r="A866" s="11" t="s">
        <v>2774</v>
      </c>
      <c r="B866" s="11" t="s">
        <v>2784</v>
      </c>
      <c r="C866" s="23" t="s">
        <v>24</v>
      </c>
      <c r="D866" s="11" t="s">
        <v>27</v>
      </c>
      <c r="E866" s="11" t="s">
        <v>130</v>
      </c>
      <c r="F866" s="19" t="s">
        <v>28</v>
      </c>
      <c r="G866" s="3"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4" t="s">
        <v>405</v>
      </c>
      <c r="AA866" s="74" t="s">
        <v>405</v>
      </c>
      <c r="AB866" s="74" t="s">
        <v>64</v>
      </c>
      <c r="AC866" s="3"/>
      <c r="AD866" s="4" t="s">
        <v>2789</v>
      </c>
    </row>
    <row r="867" spans="1:30" ht="43.5">
      <c r="A867" s="11" t="s">
        <v>2775</v>
      </c>
      <c r="B867" s="11" t="s">
        <v>2785</v>
      </c>
      <c r="C867" s="23" t="s">
        <v>24</v>
      </c>
      <c r="D867" s="11" t="s">
        <v>27</v>
      </c>
      <c r="E867" s="11" t="s">
        <v>130</v>
      </c>
      <c r="F867" s="19" t="s">
        <v>28</v>
      </c>
      <c r="G867" s="3"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4" t="s">
        <v>405</v>
      </c>
      <c r="AA867" s="74" t="s">
        <v>405</v>
      </c>
      <c r="AB867" s="74" t="s">
        <v>64</v>
      </c>
      <c r="AC867" s="3"/>
      <c r="AD867" s="4" t="s">
        <v>2789</v>
      </c>
    </row>
    <row r="868" spans="1:30" ht="43.5">
      <c r="A868" s="11" t="s">
        <v>2776</v>
      </c>
      <c r="B868" s="11" t="s">
        <v>2786</v>
      </c>
      <c r="C868" s="23" t="s">
        <v>24</v>
      </c>
      <c r="D868" s="11" t="s">
        <v>27</v>
      </c>
      <c r="E868" s="11" t="s">
        <v>130</v>
      </c>
      <c r="F868" s="19" t="s">
        <v>28</v>
      </c>
      <c r="G868" s="3"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4" t="s">
        <v>405</v>
      </c>
      <c r="AA868" s="74" t="s">
        <v>405</v>
      </c>
      <c r="AB868" s="74" t="s">
        <v>64</v>
      </c>
      <c r="AC868" s="3"/>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3"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3"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3"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3"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3"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3"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3"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3"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3"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3"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3"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3"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3"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3"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3"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3" t="s">
        <v>2844</v>
      </c>
      <c r="C885" s="23" t="s">
        <v>24</v>
      </c>
      <c r="D885" s="3" t="s">
        <v>27</v>
      </c>
      <c r="E885" s="3" t="s">
        <v>130</v>
      </c>
      <c r="F885" s="4" t="s">
        <v>161</v>
      </c>
      <c r="G885" s="3"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3" t="s">
        <v>2847</v>
      </c>
      <c r="C886" s="23" t="s">
        <v>24</v>
      </c>
      <c r="D886" s="3" t="s">
        <v>27</v>
      </c>
      <c r="E886" s="3" t="s">
        <v>130</v>
      </c>
      <c r="F886" s="4" t="s">
        <v>161</v>
      </c>
      <c r="G886" s="3"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3"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3"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3"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3"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3"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3"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3"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3"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3" t="s">
        <v>863</v>
      </c>
      <c r="F896" s="4" t="s">
        <v>2662</v>
      </c>
      <c r="G896" s="3" t="s">
        <v>2276</v>
      </c>
      <c r="H896" s="3" t="s">
        <v>523</v>
      </c>
      <c r="I896" s="3"/>
      <c r="J896" s="3" t="s">
        <v>2276</v>
      </c>
      <c r="K896" s="3" t="s">
        <v>2276</v>
      </c>
      <c r="L896" s="3" t="s">
        <v>2276</v>
      </c>
      <c r="M896" s="3" t="s">
        <v>2276</v>
      </c>
      <c r="N896" s="3" t="s">
        <v>2276</v>
      </c>
      <c r="O896" s="3" t="s">
        <v>2276</v>
      </c>
      <c r="P896" s="3" t="s">
        <v>2276</v>
      </c>
      <c r="Q896" s="3" t="s">
        <v>2276</v>
      </c>
      <c r="R896" s="3" t="s">
        <v>2276</v>
      </c>
      <c r="S896" s="3" t="s">
        <v>2276</v>
      </c>
      <c r="T896" s="3" t="s">
        <v>2276</v>
      </c>
      <c r="U896" s="3" t="s">
        <v>2276</v>
      </c>
      <c r="V896" s="3" t="s">
        <v>2276</v>
      </c>
      <c r="W896" s="3" t="s">
        <v>2276</v>
      </c>
      <c r="X896" s="3" t="s">
        <v>2276</v>
      </c>
      <c r="Y896" s="3" t="s">
        <v>2276</v>
      </c>
      <c r="Z896" s="3" t="s">
        <v>2276</v>
      </c>
      <c r="AA896" s="3" t="s">
        <v>2276</v>
      </c>
      <c r="AB896" s="3" t="s">
        <v>2276</v>
      </c>
      <c r="AC896" s="3"/>
      <c r="AD896" s="3"/>
    </row>
    <row r="897" spans="1:30" ht="36" customHeight="1">
      <c r="A897" s="11" t="s">
        <v>2886</v>
      </c>
      <c r="B897" s="11" t="s">
        <v>2897</v>
      </c>
      <c r="C897" s="3" t="s">
        <v>24</v>
      </c>
      <c r="D897" s="3" t="s">
        <v>26</v>
      </c>
      <c r="E897" s="3" t="s">
        <v>863</v>
      </c>
      <c r="F897" s="4" t="s">
        <v>2662</v>
      </c>
      <c r="G897" s="3" t="s">
        <v>2276</v>
      </c>
      <c r="H897" s="3" t="s">
        <v>523</v>
      </c>
      <c r="I897" s="3"/>
      <c r="J897" s="3" t="s">
        <v>2276</v>
      </c>
      <c r="K897" s="3" t="s">
        <v>2276</v>
      </c>
      <c r="L897" s="3" t="s">
        <v>2276</v>
      </c>
      <c r="M897" s="3" t="s">
        <v>2276</v>
      </c>
      <c r="N897" s="3" t="s">
        <v>2276</v>
      </c>
      <c r="O897" s="3" t="s">
        <v>2276</v>
      </c>
      <c r="P897" s="3" t="s">
        <v>2276</v>
      </c>
      <c r="Q897" s="3" t="s">
        <v>2276</v>
      </c>
      <c r="R897" s="3" t="s">
        <v>2276</v>
      </c>
      <c r="S897" s="3" t="s">
        <v>2276</v>
      </c>
      <c r="T897" s="3" t="s">
        <v>2276</v>
      </c>
      <c r="U897" s="3" t="s">
        <v>2276</v>
      </c>
      <c r="V897" s="3" t="s">
        <v>2276</v>
      </c>
      <c r="W897" s="3" t="s">
        <v>2276</v>
      </c>
      <c r="X897" s="3" t="s">
        <v>2276</v>
      </c>
      <c r="Y897" s="3" t="s">
        <v>2276</v>
      </c>
      <c r="Z897" s="3" t="s">
        <v>2276</v>
      </c>
      <c r="AA897" s="3" t="s">
        <v>2276</v>
      </c>
      <c r="AB897" s="3" t="s">
        <v>2276</v>
      </c>
      <c r="AC897" s="4" t="s">
        <v>2904</v>
      </c>
      <c r="AD897" s="3"/>
    </row>
    <row r="898" spans="1:30" ht="36" customHeight="1">
      <c r="A898" s="11" t="s">
        <v>2886</v>
      </c>
      <c r="B898" s="11" t="s">
        <v>2898</v>
      </c>
      <c r="C898" s="3" t="s">
        <v>24</v>
      </c>
      <c r="D898" s="3" t="s">
        <v>2341</v>
      </c>
      <c r="E898" s="3" t="s">
        <v>863</v>
      </c>
      <c r="F898" s="4" t="s">
        <v>2662</v>
      </c>
      <c r="G898" s="3" t="s">
        <v>2276</v>
      </c>
      <c r="H898" s="3" t="s">
        <v>523</v>
      </c>
      <c r="I898" s="3"/>
      <c r="J898" s="3" t="s">
        <v>2276</v>
      </c>
      <c r="K898" s="3" t="s">
        <v>2276</v>
      </c>
      <c r="L898" s="3" t="s">
        <v>2276</v>
      </c>
      <c r="M898" s="3" t="s">
        <v>2276</v>
      </c>
      <c r="N898" s="3" t="s">
        <v>2276</v>
      </c>
      <c r="O898" s="3" t="s">
        <v>2276</v>
      </c>
      <c r="P898" s="3" t="s">
        <v>2276</v>
      </c>
      <c r="Q898" s="3" t="s">
        <v>2276</v>
      </c>
      <c r="R898" s="3" t="s">
        <v>2276</v>
      </c>
      <c r="S898" s="3" t="s">
        <v>2276</v>
      </c>
      <c r="T898" s="3" t="s">
        <v>2276</v>
      </c>
      <c r="U898" s="3" t="s">
        <v>2276</v>
      </c>
      <c r="V898" s="3" t="s">
        <v>2276</v>
      </c>
      <c r="W898" s="3" t="s">
        <v>2276</v>
      </c>
      <c r="X898" s="3" t="s">
        <v>2276</v>
      </c>
      <c r="Y898" s="3" t="s">
        <v>2276</v>
      </c>
      <c r="Z898" s="3" t="s">
        <v>2276</v>
      </c>
      <c r="AA898" s="3" t="s">
        <v>2276</v>
      </c>
      <c r="AB898" s="3" t="s">
        <v>2276</v>
      </c>
      <c r="AC898" s="4" t="s">
        <v>2905</v>
      </c>
      <c r="AD898" s="3"/>
    </row>
    <row r="899" spans="1:30" ht="36" customHeight="1">
      <c r="A899" s="11" t="s">
        <v>2886</v>
      </c>
      <c r="B899" s="11" t="s">
        <v>2899</v>
      </c>
      <c r="C899" s="3" t="s">
        <v>2458</v>
      </c>
      <c r="D899" s="3" t="s">
        <v>1105</v>
      </c>
      <c r="E899" s="3" t="s">
        <v>1105</v>
      </c>
      <c r="F899" s="4" t="s">
        <v>2662</v>
      </c>
      <c r="G899" s="3" t="s">
        <v>1105</v>
      </c>
      <c r="H899" s="3" t="s">
        <v>523</v>
      </c>
      <c r="I899" s="3"/>
      <c r="J899" s="3" t="s">
        <v>2276</v>
      </c>
      <c r="K899" s="3" t="s">
        <v>2276</v>
      </c>
      <c r="L899" s="3" t="s">
        <v>2276</v>
      </c>
      <c r="M899" s="3" t="s">
        <v>2276</v>
      </c>
      <c r="N899" s="3" t="s">
        <v>2276</v>
      </c>
      <c r="O899" s="3" t="s">
        <v>2276</v>
      </c>
      <c r="P899" s="3" t="s">
        <v>2276</v>
      </c>
      <c r="Q899" s="3" t="s">
        <v>2276</v>
      </c>
      <c r="R899" s="3" t="s">
        <v>2276</v>
      </c>
      <c r="S899" s="3" t="s">
        <v>2276</v>
      </c>
      <c r="T899" s="3" t="s">
        <v>2276</v>
      </c>
      <c r="U899" s="3" t="s">
        <v>2276</v>
      </c>
      <c r="V899" s="3" t="s">
        <v>2276</v>
      </c>
      <c r="W899" s="3" t="s">
        <v>2276</v>
      </c>
      <c r="X899" s="3" t="s">
        <v>2276</v>
      </c>
      <c r="Y899" s="3" t="s">
        <v>2276</v>
      </c>
      <c r="Z899" s="3" t="s">
        <v>35</v>
      </c>
      <c r="AA899" s="3" t="s">
        <v>38</v>
      </c>
      <c r="AB899" s="3" t="s">
        <v>64</v>
      </c>
      <c r="AC899" s="4"/>
      <c r="AD899" s="3"/>
    </row>
    <row r="900" spans="1:30" ht="36" customHeight="1">
      <c r="A900" s="11" t="s">
        <v>2886</v>
      </c>
      <c r="B900" s="11" t="s">
        <v>2900</v>
      </c>
      <c r="C900" s="3" t="s">
        <v>24</v>
      </c>
      <c r="D900" s="3" t="s">
        <v>27</v>
      </c>
      <c r="E900" s="3" t="s">
        <v>130</v>
      </c>
      <c r="F900" s="4" t="s">
        <v>161</v>
      </c>
      <c r="G900" s="3" t="s">
        <v>2276</v>
      </c>
      <c r="H900" s="3" t="s">
        <v>523</v>
      </c>
      <c r="I900" s="3"/>
      <c r="J900" s="3" t="s">
        <v>2276</v>
      </c>
      <c r="K900" s="3" t="s">
        <v>2276</v>
      </c>
      <c r="L900" s="3" t="s">
        <v>2276</v>
      </c>
      <c r="M900" s="3" t="s">
        <v>2276</v>
      </c>
      <c r="N900" s="3" t="s">
        <v>2276</v>
      </c>
      <c r="O900" s="3" t="s">
        <v>2276</v>
      </c>
      <c r="P900" s="3" t="s">
        <v>2276</v>
      </c>
      <c r="Q900" s="3" t="s">
        <v>2276</v>
      </c>
      <c r="R900" s="3" t="s">
        <v>2276</v>
      </c>
      <c r="S900" s="3" t="s">
        <v>2276</v>
      </c>
      <c r="T900" s="3" t="s">
        <v>2276</v>
      </c>
      <c r="U900" s="3" t="s">
        <v>2276</v>
      </c>
      <c r="V900" s="3" t="s">
        <v>2276</v>
      </c>
      <c r="W900" s="3" t="s">
        <v>2276</v>
      </c>
      <c r="X900" s="3" t="s">
        <v>2276</v>
      </c>
      <c r="Y900" s="3" t="s">
        <v>2276</v>
      </c>
      <c r="Z900" s="3" t="s">
        <v>68</v>
      </c>
      <c r="AA900" s="3" t="s">
        <v>35</v>
      </c>
      <c r="AB900" s="3" t="s">
        <v>64</v>
      </c>
      <c r="AC900" s="4"/>
      <c r="AD900" s="3"/>
    </row>
    <row r="901" spans="1:30" ht="36" customHeight="1">
      <c r="A901" s="11" t="s">
        <v>2886</v>
      </c>
      <c r="B901" s="11" t="s">
        <v>2901</v>
      </c>
      <c r="C901" s="3" t="s">
        <v>24</v>
      </c>
      <c r="D901" s="3" t="s">
        <v>2231</v>
      </c>
      <c r="E901" s="4" t="s">
        <v>396</v>
      </c>
      <c r="F901" s="4" t="s">
        <v>2662</v>
      </c>
      <c r="G901" s="3" t="s">
        <v>2276</v>
      </c>
      <c r="H901" s="3" t="s">
        <v>523</v>
      </c>
      <c r="I901" s="3"/>
      <c r="J901" s="3" t="s">
        <v>2276</v>
      </c>
      <c r="K901" s="3" t="s">
        <v>2276</v>
      </c>
      <c r="L901" s="3" t="s">
        <v>2276</v>
      </c>
      <c r="M901" s="3" t="s">
        <v>2276</v>
      </c>
      <c r="N901" s="3" t="s">
        <v>2276</v>
      </c>
      <c r="O901" s="3" t="s">
        <v>2276</v>
      </c>
      <c r="P901" s="3" t="s">
        <v>2276</v>
      </c>
      <c r="Q901" s="3" t="s">
        <v>2276</v>
      </c>
      <c r="R901" s="3" t="s">
        <v>2276</v>
      </c>
      <c r="S901" s="3" t="s">
        <v>2276</v>
      </c>
      <c r="T901" s="3" t="s">
        <v>2276</v>
      </c>
      <c r="U901" s="3" t="s">
        <v>2276</v>
      </c>
      <c r="V901" s="3" t="s">
        <v>2276</v>
      </c>
      <c r="W901" s="3" t="s">
        <v>2276</v>
      </c>
      <c r="X901" s="3" t="s">
        <v>2276</v>
      </c>
      <c r="Y901" s="3" t="s">
        <v>2276</v>
      </c>
      <c r="Z901" s="3" t="s">
        <v>2276</v>
      </c>
      <c r="AA901" s="3" t="s">
        <v>2276</v>
      </c>
      <c r="AB901" s="3" t="s">
        <v>2276</v>
      </c>
      <c r="AC901" s="4" t="s">
        <v>2906</v>
      </c>
      <c r="AD901" s="3"/>
    </row>
    <row r="902" spans="1:30" ht="36" customHeight="1">
      <c r="A902" s="11" t="s">
        <v>2886</v>
      </c>
      <c r="B902" s="11" t="s">
        <v>2902</v>
      </c>
      <c r="C902" s="3" t="s">
        <v>24</v>
      </c>
      <c r="D902" s="3" t="s">
        <v>2346</v>
      </c>
      <c r="E902" s="4" t="s">
        <v>1105</v>
      </c>
      <c r="F902" s="4" t="s">
        <v>2662</v>
      </c>
      <c r="G902" s="3" t="s">
        <v>2276</v>
      </c>
      <c r="H902" s="3" t="s">
        <v>523</v>
      </c>
      <c r="I902" s="3"/>
      <c r="J902" s="3" t="s">
        <v>2276</v>
      </c>
      <c r="K902" s="3" t="s">
        <v>2276</v>
      </c>
      <c r="L902" s="3" t="s">
        <v>2276</v>
      </c>
      <c r="M902" s="3" t="s">
        <v>2276</v>
      </c>
      <c r="N902" s="3" t="s">
        <v>2276</v>
      </c>
      <c r="O902" s="3" t="s">
        <v>2276</v>
      </c>
      <c r="P902" s="3" t="s">
        <v>2276</v>
      </c>
      <c r="Q902" s="3" t="s">
        <v>2276</v>
      </c>
      <c r="R902" s="3" t="s">
        <v>2276</v>
      </c>
      <c r="S902" s="3" t="s">
        <v>2276</v>
      </c>
      <c r="T902" s="3" t="s">
        <v>2276</v>
      </c>
      <c r="U902" s="3" t="s">
        <v>2276</v>
      </c>
      <c r="V902" s="3" t="s">
        <v>2276</v>
      </c>
      <c r="W902" s="3" t="s">
        <v>2276</v>
      </c>
      <c r="X902" s="3" t="s">
        <v>2276</v>
      </c>
      <c r="Y902" s="3" t="s">
        <v>2276</v>
      </c>
      <c r="Z902" s="3" t="s">
        <v>2276</v>
      </c>
      <c r="AA902" s="3" t="s">
        <v>2276</v>
      </c>
      <c r="AB902" s="3"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3" t="s">
        <v>2276</v>
      </c>
      <c r="K903" s="3" t="s">
        <v>2276</v>
      </c>
      <c r="L903" s="3" t="s">
        <v>2276</v>
      </c>
      <c r="M903" s="3" t="s">
        <v>2276</v>
      </c>
      <c r="N903" s="3" t="s">
        <v>2276</v>
      </c>
      <c r="O903" s="3" t="s">
        <v>2276</v>
      </c>
      <c r="P903" s="3" t="s">
        <v>2276</v>
      </c>
      <c r="Q903" s="3" t="s">
        <v>2276</v>
      </c>
      <c r="R903" s="3" t="s">
        <v>2276</v>
      </c>
      <c r="S903" s="3" t="s">
        <v>2276</v>
      </c>
      <c r="T903" s="3" t="s">
        <v>2276</v>
      </c>
      <c r="U903" s="3" t="s">
        <v>2276</v>
      </c>
      <c r="V903" s="3" t="s">
        <v>2276</v>
      </c>
      <c r="W903" s="3" t="s">
        <v>2276</v>
      </c>
      <c r="X903" s="3" t="s">
        <v>2276</v>
      </c>
      <c r="Y903" s="3" t="s">
        <v>2276</v>
      </c>
      <c r="Z903" s="3" t="s">
        <v>2276</v>
      </c>
      <c r="AA903" s="3" t="s">
        <v>2276</v>
      </c>
      <c r="AB903" s="3" t="s">
        <v>2276</v>
      </c>
      <c r="AC903" s="3"/>
      <c r="AD903" s="3"/>
    </row>
    <row r="904" spans="1:30" ht="33.5" customHeight="1">
      <c r="A904" s="11" t="s">
        <v>2887</v>
      </c>
      <c r="B904" s="11" t="s">
        <v>2907</v>
      </c>
      <c r="C904" s="3" t="s">
        <v>24</v>
      </c>
      <c r="D904" s="3" t="s">
        <v>26</v>
      </c>
      <c r="E904" s="3" t="s">
        <v>863</v>
      </c>
      <c r="F904" s="4" t="s">
        <v>2662</v>
      </c>
      <c r="G904" s="3" t="s">
        <v>2276</v>
      </c>
      <c r="H904" s="3" t="s">
        <v>523</v>
      </c>
      <c r="I904" s="3"/>
      <c r="J904" s="3" t="s">
        <v>2276</v>
      </c>
      <c r="K904" s="3" t="s">
        <v>2276</v>
      </c>
      <c r="L904" s="3" t="s">
        <v>2276</v>
      </c>
      <c r="M904" s="3" t="s">
        <v>2276</v>
      </c>
      <c r="N904" s="3" t="s">
        <v>2276</v>
      </c>
      <c r="O904" s="3" t="s">
        <v>2276</v>
      </c>
      <c r="P904" s="3" t="s">
        <v>2276</v>
      </c>
      <c r="Q904" s="3" t="s">
        <v>2276</v>
      </c>
      <c r="R904" s="3" t="s">
        <v>2276</v>
      </c>
      <c r="S904" s="3" t="s">
        <v>2276</v>
      </c>
      <c r="T904" s="3" t="s">
        <v>2276</v>
      </c>
      <c r="U904" s="3" t="s">
        <v>2276</v>
      </c>
      <c r="V904" s="3" t="s">
        <v>2276</v>
      </c>
      <c r="W904" s="3" t="s">
        <v>2276</v>
      </c>
      <c r="X904" s="3" t="s">
        <v>2276</v>
      </c>
      <c r="Y904" s="3" t="s">
        <v>2276</v>
      </c>
      <c r="Z904" s="3" t="s">
        <v>2276</v>
      </c>
      <c r="AA904" s="3" t="s">
        <v>2276</v>
      </c>
      <c r="AB904" s="3"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3" t="s">
        <v>2276</v>
      </c>
      <c r="K905" s="3" t="s">
        <v>2276</v>
      </c>
      <c r="L905" s="3" t="s">
        <v>2276</v>
      </c>
      <c r="M905" s="3" t="s">
        <v>2276</v>
      </c>
      <c r="N905" s="3" t="s">
        <v>2276</v>
      </c>
      <c r="O905" s="3" t="s">
        <v>2276</v>
      </c>
      <c r="P905" s="3" t="s">
        <v>2276</v>
      </c>
      <c r="Q905" s="3" t="s">
        <v>2276</v>
      </c>
      <c r="R905" s="3" t="s">
        <v>2276</v>
      </c>
      <c r="S905" s="3" t="s">
        <v>2276</v>
      </c>
      <c r="T905" s="3" t="s">
        <v>2276</v>
      </c>
      <c r="U905" s="3" t="s">
        <v>2276</v>
      </c>
      <c r="V905" s="3" t="s">
        <v>2276</v>
      </c>
      <c r="W905" s="3" t="s">
        <v>2276</v>
      </c>
      <c r="X905" s="3" t="s">
        <v>2276</v>
      </c>
      <c r="Y905" s="3" t="s">
        <v>2276</v>
      </c>
      <c r="Z905" s="3" t="s">
        <v>2276</v>
      </c>
      <c r="AA905" s="3" t="s">
        <v>2276</v>
      </c>
      <c r="AB905" s="3"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3" t="s">
        <v>2276</v>
      </c>
      <c r="K906" s="3" t="s">
        <v>2276</v>
      </c>
      <c r="L906" s="3" t="s">
        <v>2276</v>
      </c>
      <c r="M906" s="3" t="s">
        <v>2276</v>
      </c>
      <c r="N906" s="3" t="s">
        <v>2276</v>
      </c>
      <c r="O906" s="3" t="s">
        <v>2276</v>
      </c>
      <c r="P906" s="3" t="s">
        <v>2276</v>
      </c>
      <c r="Q906" s="3" t="s">
        <v>2276</v>
      </c>
      <c r="R906" s="3" t="s">
        <v>2276</v>
      </c>
      <c r="S906" s="3" t="s">
        <v>2276</v>
      </c>
      <c r="T906" s="3" t="s">
        <v>2276</v>
      </c>
      <c r="U906" s="3" t="s">
        <v>2276</v>
      </c>
      <c r="V906" s="3" t="s">
        <v>2276</v>
      </c>
      <c r="W906" s="3" t="s">
        <v>2276</v>
      </c>
      <c r="X906" s="3" t="s">
        <v>2276</v>
      </c>
      <c r="Y906" s="3" t="s">
        <v>2276</v>
      </c>
      <c r="Z906" s="3" t="s">
        <v>35</v>
      </c>
      <c r="AA906" s="3" t="s">
        <v>38</v>
      </c>
      <c r="AB906" s="3" t="s">
        <v>64</v>
      </c>
      <c r="AC906" s="4"/>
      <c r="AD906" s="3"/>
    </row>
    <row r="907" spans="1:30" ht="44.5" customHeight="1">
      <c r="A907" s="11" t="s">
        <v>2887</v>
      </c>
      <c r="B907" s="11" t="s">
        <v>2910</v>
      </c>
      <c r="C907" s="3" t="s">
        <v>24</v>
      </c>
      <c r="D907" s="3" t="s">
        <v>27</v>
      </c>
      <c r="E907" s="3" t="s">
        <v>130</v>
      </c>
      <c r="F907" s="4" t="s">
        <v>161</v>
      </c>
      <c r="G907" s="3" t="s">
        <v>2276</v>
      </c>
      <c r="H907" s="3" t="s">
        <v>523</v>
      </c>
      <c r="I907" s="3"/>
      <c r="J907" s="3" t="s">
        <v>2276</v>
      </c>
      <c r="K907" s="3" t="s">
        <v>2276</v>
      </c>
      <c r="L907" s="3" t="s">
        <v>2276</v>
      </c>
      <c r="M907" s="3" t="s">
        <v>2276</v>
      </c>
      <c r="N907" s="3" t="s">
        <v>2276</v>
      </c>
      <c r="O907" s="3" t="s">
        <v>2276</v>
      </c>
      <c r="P907" s="3" t="s">
        <v>2276</v>
      </c>
      <c r="Q907" s="3" t="s">
        <v>2276</v>
      </c>
      <c r="R907" s="3" t="s">
        <v>2276</v>
      </c>
      <c r="S907" s="3" t="s">
        <v>2276</v>
      </c>
      <c r="T907" s="3" t="s">
        <v>2276</v>
      </c>
      <c r="U907" s="3" t="s">
        <v>2276</v>
      </c>
      <c r="V907" s="3" t="s">
        <v>2276</v>
      </c>
      <c r="W907" s="3" t="s">
        <v>2276</v>
      </c>
      <c r="X907" s="3" t="s">
        <v>2276</v>
      </c>
      <c r="Y907" s="3" t="s">
        <v>2276</v>
      </c>
      <c r="Z907" s="3" t="s">
        <v>68</v>
      </c>
      <c r="AA907" s="3" t="s">
        <v>35</v>
      </c>
      <c r="AB907" s="3" t="s">
        <v>64</v>
      </c>
      <c r="AC907" s="4"/>
      <c r="AD907" s="3"/>
    </row>
    <row r="908" spans="1:30" ht="41.5" customHeight="1">
      <c r="A908" s="11" t="s">
        <v>2887</v>
      </c>
      <c r="B908" s="11" t="s">
        <v>2911</v>
      </c>
      <c r="C908" s="3" t="s">
        <v>24</v>
      </c>
      <c r="D908" s="3" t="s">
        <v>2231</v>
      </c>
      <c r="E908" s="4" t="s">
        <v>396</v>
      </c>
      <c r="F908" s="4" t="s">
        <v>2662</v>
      </c>
      <c r="G908" s="3" t="s">
        <v>2276</v>
      </c>
      <c r="H908" s="3" t="s">
        <v>523</v>
      </c>
      <c r="I908" s="3"/>
      <c r="J908" s="3" t="s">
        <v>2276</v>
      </c>
      <c r="K908" s="3" t="s">
        <v>2276</v>
      </c>
      <c r="L908" s="3" t="s">
        <v>2276</v>
      </c>
      <c r="M908" s="3" t="s">
        <v>2276</v>
      </c>
      <c r="N908" s="3" t="s">
        <v>2276</v>
      </c>
      <c r="O908" s="3" t="s">
        <v>2276</v>
      </c>
      <c r="P908" s="3" t="s">
        <v>2276</v>
      </c>
      <c r="Q908" s="3" t="s">
        <v>2276</v>
      </c>
      <c r="R908" s="3" t="s">
        <v>2276</v>
      </c>
      <c r="S908" s="3" t="s">
        <v>2276</v>
      </c>
      <c r="T908" s="3" t="s">
        <v>2276</v>
      </c>
      <c r="U908" s="3" t="s">
        <v>2276</v>
      </c>
      <c r="V908" s="3" t="s">
        <v>2276</v>
      </c>
      <c r="W908" s="3" t="s">
        <v>2276</v>
      </c>
      <c r="X908" s="3" t="s">
        <v>2276</v>
      </c>
      <c r="Y908" s="3" t="s">
        <v>2276</v>
      </c>
      <c r="Z908" s="3" t="s">
        <v>2276</v>
      </c>
      <c r="AA908" s="3" t="s">
        <v>2276</v>
      </c>
      <c r="AB908" s="3" t="s">
        <v>2276</v>
      </c>
      <c r="AC908" s="4" t="s">
        <v>2906</v>
      </c>
      <c r="AD908" s="3"/>
    </row>
    <row r="909" spans="1:30" ht="29">
      <c r="A909" s="11" t="s">
        <v>2887</v>
      </c>
      <c r="B909" s="11" t="s">
        <v>2912</v>
      </c>
      <c r="C909" s="3" t="s">
        <v>24</v>
      </c>
      <c r="D909" s="3" t="s">
        <v>2346</v>
      </c>
      <c r="E909" s="4" t="s">
        <v>1105</v>
      </c>
      <c r="F909" s="4" t="s">
        <v>2662</v>
      </c>
      <c r="G909" s="3" t="s">
        <v>2276</v>
      </c>
      <c r="H909" s="3" t="s">
        <v>523</v>
      </c>
      <c r="I909" s="3"/>
      <c r="J909" s="3" t="s">
        <v>2276</v>
      </c>
      <c r="K909" s="3" t="s">
        <v>2276</v>
      </c>
      <c r="L909" s="3" t="s">
        <v>2276</v>
      </c>
      <c r="M909" s="3" t="s">
        <v>2276</v>
      </c>
      <c r="N909" s="3" t="s">
        <v>2276</v>
      </c>
      <c r="O909" s="3" t="s">
        <v>2276</v>
      </c>
      <c r="P909" s="3" t="s">
        <v>2276</v>
      </c>
      <c r="Q909" s="3" t="s">
        <v>2276</v>
      </c>
      <c r="R909" s="3" t="s">
        <v>2276</v>
      </c>
      <c r="S909" s="3" t="s">
        <v>2276</v>
      </c>
      <c r="T909" s="3" t="s">
        <v>2276</v>
      </c>
      <c r="U909" s="3" t="s">
        <v>2276</v>
      </c>
      <c r="V909" s="3" t="s">
        <v>2276</v>
      </c>
      <c r="W909" s="3" t="s">
        <v>2276</v>
      </c>
      <c r="X909" s="3" t="s">
        <v>2276</v>
      </c>
      <c r="Y909" s="3" t="s">
        <v>2276</v>
      </c>
      <c r="Z909" s="3" t="s">
        <v>2276</v>
      </c>
      <c r="AA909" s="3" t="s">
        <v>2276</v>
      </c>
      <c r="AB909" s="3" t="s">
        <v>2276</v>
      </c>
      <c r="AC909" s="4" t="s">
        <v>2903</v>
      </c>
      <c r="AD909" s="3"/>
    </row>
    <row r="910" spans="1:30" ht="29">
      <c r="A910" s="11" t="s">
        <v>2888</v>
      </c>
      <c r="B910" s="11" t="s">
        <v>2896</v>
      </c>
      <c r="C910" s="3" t="s">
        <v>24</v>
      </c>
      <c r="D910" s="3" t="s">
        <v>1245</v>
      </c>
      <c r="E910" s="3" t="s">
        <v>863</v>
      </c>
      <c r="F910" s="4" t="s">
        <v>2662</v>
      </c>
      <c r="G910" s="3" t="s">
        <v>2276</v>
      </c>
      <c r="H910" s="3" t="s">
        <v>523</v>
      </c>
      <c r="I910" s="3"/>
      <c r="J910" s="3" t="s">
        <v>2276</v>
      </c>
      <c r="K910" s="3" t="s">
        <v>2276</v>
      </c>
      <c r="L910" s="3" t="s">
        <v>2276</v>
      </c>
      <c r="M910" s="3" t="s">
        <v>2276</v>
      </c>
      <c r="N910" s="3" t="s">
        <v>2276</v>
      </c>
      <c r="O910" s="3" t="s">
        <v>2276</v>
      </c>
      <c r="P910" s="3" t="s">
        <v>2276</v>
      </c>
      <c r="Q910" s="3" t="s">
        <v>2276</v>
      </c>
      <c r="R910" s="3" t="s">
        <v>2276</v>
      </c>
      <c r="S910" s="3" t="s">
        <v>2276</v>
      </c>
      <c r="T910" s="3" t="s">
        <v>2276</v>
      </c>
      <c r="U910" s="3" t="s">
        <v>2276</v>
      </c>
      <c r="V910" s="3" t="s">
        <v>2276</v>
      </c>
      <c r="W910" s="3" t="s">
        <v>2276</v>
      </c>
      <c r="X910" s="3" t="s">
        <v>2276</v>
      </c>
      <c r="Y910" s="3" t="s">
        <v>2276</v>
      </c>
      <c r="Z910" s="3" t="s">
        <v>2276</v>
      </c>
      <c r="AA910" s="3" t="s">
        <v>2276</v>
      </c>
      <c r="AB910" s="3" t="s">
        <v>2276</v>
      </c>
      <c r="AC910" s="3"/>
      <c r="AD910" s="3"/>
    </row>
    <row r="911" spans="1:30" ht="29">
      <c r="A911" s="11" t="s">
        <v>2888</v>
      </c>
      <c r="B911" s="11" t="s">
        <v>2913</v>
      </c>
      <c r="C911" s="3" t="s">
        <v>24</v>
      </c>
      <c r="D911" s="3" t="s">
        <v>26</v>
      </c>
      <c r="E911" s="3" t="s">
        <v>863</v>
      </c>
      <c r="F911" s="4" t="s">
        <v>2662</v>
      </c>
      <c r="G911" s="3" t="s">
        <v>2276</v>
      </c>
      <c r="H911" s="3" t="s">
        <v>523</v>
      </c>
      <c r="I911" s="3"/>
      <c r="J911" s="3" t="s">
        <v>2276</v>
      </c>
      <c r="K911" s="3" t="s">
        <v>2276</v>
      </c>
      <c r="L911" s="3" t="s">
        <v>2276</v>
      </c>
      <c r="M911" s="3" t="s">
        <v>2276</v>
      </c>
      <c r="N911" s="3" t="s">
        <v>2276</v>
      </c>
      <c r="O911" s="3" t="s">
        <v>2276</v>
      </c>
      <c r="P911" s="3" t="s">
        <v>2276</v>
      </c>
      <c r="Q911" s="3" t="s">
        <v>2276</v>
      </c>
      <c r="R911" s="3" t="s">
        <v>2276</v>
      </c>
      <c r="S911" s="3" t="s">
        <v>2276</v>
      </c>
      <c r="T911" s="3" t="s">
        <v>2276</v>
      </c>
      <c r="U911" s="3" t="s">
        <v>2276</v>
      </c>
      <c r="V911" s="3" t="s">
        <v>2276</v>
      </c>
      <c r="W911" s="3" t="s">
        <v>2276</v>
      </c>
      <c r="X911" s="3" t="s">
        <v>2276</v>
      </c>
      <c r="Y911" s="3" t="s">
        <v>2276</v>
      </c>
      <c r="Z911" s="3" t="s">
        <v>2276</v>
      </c>
      <c r="AA911" s="3" t="s">
        <v>2276</v>
      </c>
      <c r="AB911" s="3" t="s">
        <v>2276</v>
      </c>
      <c r="AC911" s="4" t="s">
        <v>2904</v>
      </c>
      <c r="AD911" s="3"/>
    </row>
    <row r="912" spans="1:30" ht="29">
      <c r="A912" s="11" t="s">
        <v>2888</v>
      </c>
      <c r="B912" s="11" t="s">
        <v>2914</v>
      </c>
      <c r="C912" s="3" t="s">
        <v>24</v>
      </c>
      <c r="D912" s="3" t="s">
        <v>2341</v>
      </c>
      <c r="E912" s="3" t="s">
        <v>863</v>
      </c>
      <c r="F912" s="4" t="s">
        <v>2662</v>
      </c>
      <c r="G912" s="3" t="s">
        <v>2276</v>
      </c>
      <c r="H912" s="3" t="s">
        <v>523</v>
      </c>
      <c r="I912" s="3"/>
      <c r="J912" s="3" t="s">
        <v>2276</v>
      </c>
      <c r="K912" s="3" t="s">
        <v>2276</v>
      </c>
      <c r="L912" s="3" t="s">
        <v>2276</v>
      </c>
      <c r="M912" s="3" t="s">
        <v>2276</v>
      </c>
      <c r="N912" s="3" t="s">
        <v>2276</v>
      </c>
      <c r="O912" s="3" t="s">
        <v>2276</v>
      </c>
      <c r="P912" s="3" t="s">
        <v>2276</v>
      </c>
      <c r="Q912" s="3" t="s">
        <v>2276</v>
      </c>
      <c r="R912" s="3" t="s">
        <v>2276</v>
      </c>
      <c r="S912" s="3" t="s">
        <v>2276</v>
      </c>
      <c r="T912" s="3" t="s">
        <v>2276</v>
      </c>
      <c r="U912" s="3" t="s">
        <v>2276</v>
      </c>
      <c r="V912" s="3" t="s">
        <v>2276</v>
      </c>
      <c r="W912" s="3" t="s">
        <v>2276</v>
      </c>
      <c r="X912" s="3" t="s">
        <v>2276</v>
      </c>
      <c r="Y912" s="3" t="s">
        <v>2276</v>
      </c>
      <c r="Z912" s="3" t="s">
        <v>2276</v>
      </c>
      <c r="AA912" s="3" t="s">
        <v>2276</v>
      </c>
      <c r="AB912" s="3" t="s">
        <v>2276</v>
      </c>
      <c r="AC912" s="4" t="s">
        <v>2905</v>
      </c>
      <c r="AD912" s="3"/>
    </row>
    <row r="913" spans="1:30" ht="29">
      <c r="A913" s="11" t="s">
        <v>2888</v>
      </c>
      <c r="B913" s="11" t="s">
        <v>2915</v>
      </c>
      <c r="C913" s="3" t="s">
        <v>2458</v>
      </c>
      <c r="D913" s="3" t="s">
        <v>1105</v>
      </c>
      <c r="E913" s="3" t="s">
        <v>1105</v>
      </c>
      <c r="F913" s="4" t="s">
        <v>2662</v>
      </c>
      <c r="G913" s="3" t="s">
        <v>1105</v>
      </c>
      <c r="H913" s="3" t="s">
        <v>523</v>
      </c>
      <c r="I913" s="3"/>
      <c r="J913" s="3" t="s">
        <v>2276</v>
      </c>
      <c r="K913" s="3" t="s">
        <v>2276</v>
      </c>
      <c r="L913" s="3" t="s">
        <v>2276</v>
      </c>
      <c r="M913" s="3" t="s">
        <v>2276</v>
      </c>
      <c r="N913" s="3" t="s">
        <v>2276</v>
      </c>
      <c r="O913" s="3" t="s">
        <v>2276</v>
      </c>
      <c r="P913" s="3" t="s">
        <v>2276</v>
      </c>
      <c r="Q913" s="3" t="s">
        <v>2276</v>
      </c>
      <c r="R913" s="3" t="s">
        <v>2276</v>
      </c>
      <c r="S913" s="3" t="s">
        <v>2276</v>
      </c>
      <c r="T913" s="3" t="s">
        <v>2276</v>
      </c>
      <c r="U913" s="3" t="s">
        <v>2276</v>
      </c>
      <c r="V913" s="3" t="s">
        <v>2276</v>
      </c>
      <c r="W913" s="3" t="s">
        <v>2276</v>
      </c>
      <c r="X913" s="3" t="s">
        <v>2276</v>
      </c>
      <c r="Y913" s="3" t="s">
        <v>2276</v>
      </c>
      <c r="Z913" s="3" t="s">
        <v>35</v>
      </c>
      <c r="AA913" s="3" t="s">
        <v>38</v>
      </c>
      <c r="AB913" s="3" t="s">
        <v>64</v>
      </c>
      <c r="AC913" s="4"/>
      <c r="AD913" s="3"/>
    </row>
    <row r="914" spans="1:30" ht="29.5" customHeight="1">
      <c r="A914" s="11" t="s">
        <v>2888</v>
      </c>
      <c r="B914" s="11" t="s">
        <v>2916</v>
      </c>
      <c r="C914" s="3" t="s">
        <v>24</v>
      </c>
      <c r="D914" s="3" t="s">
        <v>27</v>
      </c>
      <c r="E914" s="3" t="s">
        <v>130</v>
      </c>
      <c r="F914" s="4" t="s">
        <v>161</v>
      </c>
      <c r="G914" s="3" t="s">
        <v>2276</v>
      </c>
      <c r="H914" s="3" t="s">
        <v>523</v>
      </c>
      <c r="I914" s="3"/>
      <c r="J914" s="3" t="s">
        <v>2276</v>
      </c>
      <c r="K914" s="3" t="s">
        <v>2276</v>
      </c>
      <c r="L914" s="3" t="s">
        <v>2276</v>
      </c>
      <c r="M914" s="3" t="s">
        <v>2276</v>
      </c>
      <c r="N914" s="3" t="s">
        <v>2276</v>
      </c>
      <c r="O914" s="3" t="s">
        <v>2276</v>
      </c>
      <c r="P914" s="3" t="s">
        <v>2276</v>
      </c>
      <c r="Q914" s="3" t="s">
        <v>2276</v>
      </c>
      <c r="R914" s="3" t="s">
        <v>2276</v>
      </c>
      <c r="S914" s="3" t="s">
        <v>2276</v>
      </c>
      <c r="T914" s="3" t="s">
        <v>2276</v>
      </c>
      <c r="U914" s="3" t="s">
        <v>2276</v>
      </c>
      <c r="V914" s="3" t="s">
        <v>2276</v>
      </c>
      <c r="W914" s="3" t="s">
        <v>2276</v>
      </c>
      <c r="X914" s="3" t="s">
        <v>2276</v>
      </c>
      <c r="Y914" s="3" t="s">
        <v>2276</v>
      </c>
      <c r="Z914" s="3" t="s">
        <v>68</v>
      </c>
      <c r="AA914" s="3" t="s">
        <v>35</v>
      </c>
      <c r="AB914" s="3" t="s">
        <v>64</v>
      </c>
      <c r="AC914" s="4"/>
      <c r="AD914" s="3"/>
    </row>
    <row r="915" spans="1:30" ht="34.5" customHeight="1">
      <c r="A915" s="11" t="s">
        <v>2888</v>
      </c>
      <c r="B915" s="11" t="s">
        <v>2917</v>
      </c>
      <c r="C915" s="3" t="s">
        <v>24</v>
      </c>
      <c r="D915" s="3" t="s">
        <v>2231</v>
      </c>
      <c r="E915" s="4" t="s">
        <v>396</v>
      </c>
      <c r="F915" s="4" t="s">
        <v>2662</v>
      </c>
      <c r="G915" s="3" t="s">
        <v>2276</v>
      </c>
      <c r="H915" s="3" t="s">
        <v>523</v>
      </c>
      <c r="I915" s="3"/>
      <c r="J915" s="3" t="s">
        <v>2276</v>
      </c>
      <c r="K915" s="3" t="s">
        <v>2276</v>
      </c>
      <c r="L915" s="3" t="s">
        <v>2276</v>
      </c>
      <c r="M915" s="3" t="s">
        <v>2276</v>
      </c>
      <c r="N915" s="3" t="s">
        <v>2276</v>
      </c>
      <c r="O915" s="3" t="s">
        <v>2276</v>
      </c>
      <c r="P915" s="3" t="s">
        <v>2276</v>
      </c>
      <c r="Q915" s="3" t="s">
        <v>2276</v>
      </c>
      <c r="R915" s="3" t="s">
        <v>2276</v>
      </c>
      <c r="S915" s="3" t="s">
        <v>2276</v>
      </c>
      <c r="T915" s="3" t="s">
        <v>2276</v>
      </c>
      <c r="U915" s="3" t="s">
        <v>2276</v>
      </c>
      <c r="V915" s="3" t="s">
        <v>2276</v>
      </c>
      <c r="W915" s="3" t="s">
        <v>2276</v>
      </c>
      <c r="X915" s="3" t="s">
        <v>2276</v>
      </c>
      <c r="Y915" s="3" t="s">
        <v>2276</v>
      </c>
      <c r="Z915" s="3" t="s">
        <v>2276</v>
      </c>
      <c r="AA915" s="3" t="s">
        <v>2276</v>
      </c>
      <c r="AB915" s="3" t="s">
        <v>2276</v>
      </c>
      <c r="AC915" s="4" t="s">
        <v>2906</v>
      </c>
      <c r="AD915" s="3"/>
    </row>
    <row r="916" spans="1:30" ht="37" customHeight="1">
      <c r="A916" s="11" t="s">
        <v>2888</v>
      </c>
      <c r="B916" s="11" t="s">
        <v>2918</v>
      </c>
      <c r="C916" s="3" t="s">
        <v>24</v>
      </c>
      <c r="D916" s="3" t="s">
        <v>2346</v>
      </c>
      <c r="E916" s="4" t="s">
        <v>1105</v>
      </c>
      <c r="F916" s="4" t="s">
        <v>2662</v>
      </c>
      <c r="G916" s="3" t="s">
        <v>2276</v>
      </c>
      <c r="H916" s="3" t="s">
        <v>523</v>
      </c>
      <c r="I916" s="3"/>
      <c r="J916" s="3" t="s">
        <v>2276</v>
      </c>
      <c r="K916" s="3" t="s">
        <v>2276</v>
      </c>
      <c r="L916" s="3" t="s">
        <v>2276</v>
      </c>
      <c r="M916" s="3" t="s">
        <v>2276</v>
      </c>
      <c r="N916" s="3" t="s">
        <v>2276</v>
      </c>
      <c r="O916" s="3" t="s">
        <v>2276</v>
      </c>
      <c r="P916" s="3" t="s">
        <v>2276</v>
      </c>
      <c r="Q916" s="3" t="s">
        <v>2276</v>
      </c>
      <c r="R916" s="3" t="s">
        <v>2276</v>
      </c>
      <c r="S916" s="3" t="s">
        <v>2276</v>
      </c>
      <c r="T916" s="3" t="s">
        <v>2276</v>
      </c>
      <c r="U916" s="3" t="s">
        <v>2276</v>
      </c>
      <c r="V916" s="3" t="s">
        <v>2276</v>
      </c>
      <c r="W916" s="3" t="s">
        <v>2276</v>
      </c>
      <c r="X916" s="3" t="s">
        <v>2276</v>
      </c>
      <c r="Y916" s="3"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3" t="s">
        <v>2276</v>
      </c>
      <c r="K917" s="3" t="s">
        <v>2276</v>
      </c>
      <c r="L917" s="3" t="s">
        <v>2276</v>
      </c>
      <c r="M917" s="3" t="s">
        <v>2276</v>
      </c>
      <c r="N917" s="3" t="s">
        <v>2276</v>
      </c>
      <c r="O917" s="3" t="s">
        <v>2276</v>
      </c>
      <c r="P917" s="3" t="s">
        <v>2276</v>
      </c>
      <c r="Q917" s="3" t="s">
        <v>2276</v>
      </c>
      <c r="R917" s="3" t="s">
        <v>2276</v>
      </c>
      <c r="S917" s="3" t="s">
        <v>2276</v>
      </c>
      <c r="T917" s="3" t="s">
        <v>2276</v>
      </c>
      <c r="U917" s="3" t="s">
        <v>2276</v>
      </c>
      <c r="V917" s="3" t="s">
        <v>2276</v>
      </c>
      <c r="W917" s="3" t="s">
        <v>2276</v>
      </c>
      <c r="X917" s="3" t="s">
        <v>2276</v>
      </c>
      <c r="Y917" s="3" t="s">
        <v>2276</v>
      </c>
      <c r="Z917" s="3" t="s">
        <v>2276</v>
      </c>
      <c r="AA917" s="3" t="s">
        <v>2276</v>
      </c>
      <c r="AB917" s="3" t="s">
        <v>2276</v>
      </c>
      <c r="AC917" s="3"/>
      <c r="AD917" s="3"/>
    </row>
    <row r="918" spans="1:30" ht="35.5" customHeight="1">
      <c r="A918" s="11" t="s">
        <v>2934</v>
      </c>
      <c r="B918" s="11" t="s">
        <v>2937</v>
      </c>
      <c r="C918" s="23" t="s">
        <v>24</v>
      </c>
      <c r="D918" s="3" t="s">
        <v>27</v>
      </c>
      <c r="E918" s="3" t="s">
        <v>130</v>
      </c>
      <c r="F918" s="4" t="s">
        <v>161</v>
      </c>
      <c r="G918" s="3" t="s">
        <v>2276</v>
      </c>
      <c r="H918" s="3" t="s">
        <v>523</v>
      </c>
      <c r="I918" s="3">
        <v>1990</v>
      </c>
      <c r="J918" s="3" t="s">
        <v>2276</v>
      </c>
      <c r="K918" s="3" t="s">
        <v>2276</v>
      </c>
      <c r="L918" s="3" t="s">
        <v>2276</v>
      </c>
      <c r="M918" s="3" t="s">
        <v>2276</v>
      </c>
      <c r="N918" s="3" t="s">
        <v>2276</v>
      </c>
      <c r="O918" s="3" t="s">
        <v>2276</v>
      </c>
      <c r="P918" s="3" t="s">
        <v>2276</v>
      </c>
      <c r="Q918" s="3" t="s">
        <v>2276</v>
      </c>
      <c r="R918" s="3" t="s">
        <v>2276</v>
      </c>
      <c r="S918" s="3" t="s">
        <v>2276</v>
      </c>
      <c r="T918" s="3" t="s">
        <v>2276</v>
      </c>
      <c r="U918" s="3" t="s">
        <v>2276</v>
      </c>
      <c r="V918" s="3" t="s">
        <v>2276</v>
      </c>
      <c r="W918" s="3" t="s">
        <v>2276</v>
      </c>
      <c r="X918" s="3" t="s">
        <v>2276</v>
      </c>
      <c r="Y918" s="3" t="s">
        <v>2276</v>
      </c>
      <c r="Z918" s="3" t="s">
        <v>2276</v>
      </c>
      <c r="AA918" s="3" t="s">
        <v>2276</v>
      </c>
      <c r="AB918" s="3" t="s">
        <v>2276</v>
      </c>
      <c r="AC918" s="3"/>
      <c r="AD918" s="3"/>
    </row>
    <row r="919" spans="1:30" ht="40" customHeight="1">
      <c r="A919" s="11" t="s">
        <v>2934</v>
      </c>
      <c r="B919" s="11" t="s">
        <v>2939</v>
      </c>
      <c r="C919" s="23" t="s">
        <v>24</v>
      </c>
      <c r="D919" s="3" t="s">
        <v>27</v>
      </c>
      <c r="E919" s="3" t="s">
        <v>130</v>
      </c>
      <c r="F919" s="4" t="s">
        <v>161</v>
      </c>
      <c r="G919" s="3" t="s">
        <v>2276</v>
      </c>
      <c r="H919" s="3" t="s">
        <v>523</v>
      </c>
      <c r="I919" s="3">
        <v>1995</v>
      </c>
      <c r="J919" s="3" t="s">
        <v>2276</v>
      </c>
      <c r="K919" s="3" t="s">
        <v>2276</v>
      </c>
      <c r="L919" s="3" t="s">
        <v>2276</v>
      </c>
      <c r="M919" s="3" t="s">
        <v>2276</v>
      </c>
      <c r="N919" s="3" t="s">
        <v>2276</v>
      </c>
      <c r="O919" s="3" t="s">
        <v>2276</v>
      </c>
      <c r="P919" s="3" t="s">
        <v>2276</v>
      </c>
      <c r="Q919" s="3" t="s">
        <v>2276</v>
      </c>
      <c r="R919" s="3" t="s">
        <v>2276</v>
      </c>
      <c r="S919" s="3" t="s">
        <v>2276</v>
      </c>
      <c r="T919" s="3" t="s">
        <v>2276</v>
      </c>
      <c r="U919" s="3" t="s">
        <v>2276</v>
      </c>
      <c r="V919" s="3" t="s">
        <v>2276</v>
      </c>
      <c r="W919" s="3" t="s">
        <v>2276</v>
      </c>
      <c r="X919" s="3" t="s">
        <v>2276</v>
      </c>
      <c r="Y919" s="3" t="s">
        <v>2276</v>
      </c>
      <c r="Z919" s="3" t="s">
        <v>2276</v>
      </c>
      <c r="AA919" s="3" t="s">
        <v>2276</v>
      </c>
      <c r="AB919" s="3" t="s">
        <v>2276</v>
      </c>
      <c r="AC919" s="3"/>
      <c r="AD919" s="3"/>
    </row>
    <row r="920" spans="1:30" ht="30" customHeight="1">
      <c r="A920" s="11" t="s">
        <v>2936</v>
      </c>
      <c r="B920" s="11" t="s">
        <v>2938</v>
      </c>
      <c r="C920" s="23" t="s">
        <v>24</v>
      </c>
      <c r="D920" s="3" t="s">
        <v>27</v>
      </c>
      <c r="E920" s="3" t="s">
        <v>130</v>
      </c>
      <c r="F920" s="4" t="s">
        <v>161</v>
      </c>
      <c r="G920" s="3" t="s">
        <v>2276</v>
      </c>
      <c r="H920" s="3" t="s">
        <v>523</v>
      </c>
      <c r="I920" s="3">
        <v>2000</v>
      </c>
      <c r="J920" s="3" t="s">
        <v>2276</v>
      </c>
      <c r="K920" s="3" t="s">
        <v>2276</v>
      </c>
      <c r="L920" s="3" t="s">
        <v>2276</v>
      </c>
      <c r="M920" s="3" t="s">
        <v>2276</v>
      </c>
      <c r="N920" s="3" t="s">
        <v>2276</v>
      </c>
      <c r="O920" s="3" t="s">
        <v>2276</v>
      </c>
      <c r="P920" s="3" t="s">
        <v>2276</v>
      </c>
      <c r="Q920" s="3" t="s">
        <v>2276</v>
      </c>
      <c r="R920" s="3" t="s">
        <v>2276</v>
      </c>
      <c r="S920" s="3" t="s">
        <v>2276</v>
      </c>
      <c r="T920" s="3" t="s">
        <v>2276</v>
      </c>
      <c r="U920" s="3" t="s">
        <v>2276</v>
      </c>
      <c r="V920" s="3" t="s">
        <v>2276</v>
      </c>
      <c r="W920" s="3" t="s">
        <v>2276</v>
      </c>
      <c r="X920" s="3" t="s">
        <v>2276</v>
      </c>
      <c r="Y920" s="3" t="s">
        <v>2276</v>
      </c>
      <c r="Z920" s="3" t="s">
        <v>2276</v>
      </c>
      <c r="AA920" s="3" t="s">
        <v>2276</v>
      </c>
      <c r="AB920" s="3" t="s">
        <v>2276</v>
      </c>
      <c r="AC920" s="3"/>
      <c r="AD920" s="3"/>
    </row>
    <row r="921" spans="1:30" ht="34.5" customHeight="1">
      <c r="A921" s="11" t="s">
        <v>2936</v>
      </c>
      <c r="B921" s="11" t="s">
        <v>2941</v>
      </c>
      <c r="C921" s="23" t="s">
        <v>24</v>
      </c>
      <c r="D921" s="3" t="s">
        <v>27</v>
      </c>
      <c r="E921" s="3" t="s">
        <v>130</v>
      </c>
      <c r="F921" s="4" t="s">
        <v>161</v>
      </c>
      <c r="G921" s="3" t="s">
        <v>2276</v>
      </c>
      <c r="H921" s="3" t="s">
        <v>523</v>
      </c>
      <c r="I921" s="3">
        <v>2007</v>
      </c>
      <c r="J921" s="3" t="s">
        <v>2276</v>
      </c>
      <c r="K921" s="3" t="s">
        <v>2276</v>
      </c>
      <c r="L921" s="3" t="s">
        <v>2276</v>
      </c>
      <c r="M921" s="3" t="s">
        <v>2276</v>
      </c>
      <c r="N921" s="3" t="s">
        <v>2276</v>
      </c>
      <c r="O921" s="3" t="s">
        <v>2276</v>
      </c>
      <c r="P921" s="3" t="s">
        <v>2276</v>
      </c>
      <c r="Q921" s="3" t="s">
        <v>2276</v>
      </c>
      <c r="R921" s="3" t="s">
        <v>2276</v>
      </c>
      <c r="S921" s="3" t="s">
        <v>2276</v>
      </c>
      <c r="T921" s="3" t="s">
        <v>2276</v>
      </c>
      <c r="U921" s="3" t="s">
        <v>2276</v>
      </c>
      <c r="V921" s="3" t="s">
        <v>2276</v>
      </c>
      <c r="W921" s="3" t="s">
        <v>2276</v>
      </c>
      <c r="X921" s="3" t="s">
        <v>2276</v>
      </c>
      <c r="Y921" s="3" t="s">
        <v>2276</v>
      </c>
      <c r="Z921" s="3" t="s">
        <v>2276</v>
      </c>
      <c r="AA921" s="3" t="s">
        <v>2276</v>
      </c>
      <c r="AB921" s="3" t="s">
        <v>2276</v>
      </c>
      <c r="AC921" s="3"/>
      <c r="AD921" s="3"/>
    </row>
    <row r="922" spans="1:30" ht="34.5" customHeight="1">
      <c r="A922" s="11" t="s">
        <v>2944</v>
      </c>
      <c r="B922" s="11" t="s">
        <v>2948</v>
      </c>
      <c r="C922" s="23" t="s">
        <v>24</v>
      </c>
      <c r="D922" s="3" t="s">
        <v>27</v>
      </c>
      <c r="E922" s="3" t="s">
        <v>130</v>
      </c>
      <c r="F922" s="4" t="s">
        <v>161</v>
      </c>
      <c r="G922" s="3" t="s">
        <v>2276</v>
      </c>
      <c r="H922" s="3" t="s">
        <v>523</v>
      </c>
      <c r="I922" s="3"/>
      <c r="J922" s="3" t="s">
        <v>2276</v>
      </c>
      <c r="K922" s="3" t="s">
        <v>2276</v>
      </c>
      <c r="L922" s="3" t="s">
        <v>2276</v>
      </c>
      <c r="M922" s="3" t="s">
        <v>2276</v>
      </c>
      <c r="N922" s="3" t="s">
        <v>2276</v>
      </c>
      <c r="O922" s="3" t="s">
        <v>2276</v>
      </c>
      <c r="P922" s="3" t="s">
        <v>2276</v>
      </c>
      <c r="Q922" s="3" t="s">
        <v>2276</v>
      </c>
      <c r="R922" s="3" t="s">
        <v>2276</v>
      </c>
      <c r="S922" s="3" t="s">
        <v>2276</v>
      </c>
      <c r="T922" s="3" t="s">
        <v>2276</v>
      </c>
      <c r="U922" s="3" t="s">
        <v>2276</v>
      </c>
      <c r="V922" s="3" t="s">
        <v>2276</v>
      </c>
      <c r="W922" s="3" t="s">
        <v>2276</v>
      </c>
      <c r="X922" s="3" t="s">
        <v>2276</v>
      </c>
      <c r="Y922" s="3" t="s">
        <v>2276</v>
      </c>
      <c r="Z922" s="3" t="s">
        <v>38</v>
      </c>
      <c r="AA922" s="3" t="s">
        <v>86</v>
      </c>
      <c r="AB922" s="3" t="s">
        <v>64</v>
      </c>
      <c r="AC922" s="3"/>
      <c r="AD922" s="4" t="s">
        <v>2949</v>
      </c>
    </row>
    <row r="923" spans="1:30" ht="39" customHeight="1">
      <c r="A923" s="11" t="s">
        <v>2954</v>
      </c>
      <c r="B923" s="3" t="s">
        <v>2958</v>
      </c>
      <c r="C923" s="23" t="s">
        <v>24</v>
      </c>
      <c r="D923" s="3" t="s">
        <v>1242</v>
      </c>
      <c r="E923" s="3" t="s">
        <v>130</v>
      </c>
      <c r="F923" s="4" t="s">
        <v>2662</v>
      </c>
      <c r="G923" s="3" t="s">
        <v>2276</v>
      </c>
      <c r="H923" s="3" t="s">
        <v>523</v>
      </c>
      <c r="I923" s="3"/>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2276</v>
      </c>
      <c r="Y923" s="3" t="s">
        <v>2276</v>
      </c>
      <c r="Z923" s="3" t="s">
        <v>38</v>
      </c>
      <c r="AA923" s="3" t="s">
        <v>86</v>
      </c>
      <c r="AB923" s="3" t="s">
        <v>64</v>
      </c>
      <c r="AC923" s="4" t="s">
        <v>2959</v>
      </c>
      <c r="AD923" s="3"/>
    </row>
    <row r="924" spans="1:30" ht="37.5" customHeight="1">
      <c r="A924" s="11" t="s">
        <v>2954</v>
      </c>
      <c r="B924" s="3" t="s">
        <v>2960</v>
      </c>
      <c r="C924" s="23" t="s">
        <v>24</v>
      </c>
      <c r="D924" s="3" t="s">
        <v>1242</v>
      </c>
      <c r="E924" s="3" t="s">
        <v>116</v>
      </c>
      <c r="F924" s="4" t="s">
        <v>2662</v>
      </c>
      <c r="G924" s="3" t="s">
        <v>2276</v>
      </c>
      <c r="H924" s="3" t="s">
        <v>523</v>
      </c>
      <c r="I924" s="3"/>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2276</v>
      </c>
      <c r="Y924" s="3" t="s">
        <v>2276</v>
      </c>
      <c r="Z924" s="3" t="s">
        <v>38</v>
      </c>
      <c r="AA924" s="3" t="s">
        <v>86</v>
      </c>
      <c r="AB924" s="3" t="s">
        <v>64</v>
      </c>
      <c r="AC924" s="4" t="s">
        <v>2961</v>
      </c>
      <c r="AD924" s="3"/>
    </row>
    <row r="925" spans="1:30" ht="36.5" customHeight="1">
      <c r="A925" s="11" t="s">
        <v>2954</v>
      </c>
      <c r="B925" s="3" t="s">
        <v>2962</v>
      </c>
      <c r="C925" s="23" t="s">
        <v>24</v>
      </c>
      <c r="D925" s="3" t="s">
        <v>1245</v>
      </c>
      <c r="E925" s="3" t="s">
        <v>116</v>
      </c>
      <c r="F925" s="4" t="s">
        <v>2662</v>
      </c>
      <c r="G925" s="3" t="s">
        <v>2276</v>
      </c>
      <c r="H925" s="3" t="s">
        <v>523</v>
      </c>
      <c r="I925" s="3"/>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2276</v>
      </c>
      <c r="Y925" s="3" t="s">
        <v>2276</v>
      </c>
      <c r="Z925" s="3" t="s">
        <v>38</v>
      </c>
      <c r="AA925" s="3" t="s">
        <v>38</v>
      </c>
      <c r="AB925" s="3" t="s">
        <v>64</v>
      </c>
      <c r="AC925" s="4" t="s">
        <v>2974</v>
      </c>
      <c r="AD925" s="3"/>
    </row>
    <row r="926" spans="1:30" ht="50.5" customHeight="1">
      <c r="A926" s="11" t="s">
        <v>2954</v>
      </c>
      <c r="B926" s="3" t="s">
        <v>2963</v>
      </c>
      <c r="C926" s="23" t="s">
        <v>24</v>
      </c>
      <c r="D926" s="3" t="s">
        <v>1131</v>
      </c>
      <c r="E926" s="3" t="s">
        <v>116</v>
      </c>
      <c r="F926" s="4" t="s">
        <v>2662</v>
      </c>
      <c r="G926" s="3" t="s">
        <v>2276</v>
      </c>
      <c r="H926" s="3" t="s">
        <v>523</v>
      </c>
      <c r="I926" s="3"/>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2276</v>
      </c>
      <c r="Y926" s="21">
        <v>5.5</v>
      </c>
      <c r="Z926" s="3" t="s">
        <v>38</v>
      </c>
      <c r="AA926" s="3" t="s">
        <v>86</v>
      </c>
      <c r="AB926" s="3" t="s">
        <v>64</v>
      </c>
      <c r="AC926" s="4" t="s">
        <v>2964</v>
      </c>
      <c r="AD926" s="3"/>
    </row>
    <row r="927" spans="1:30" ht="47.5" customHeight="1">
      <c r="A927" s="11" t="s">
        <v>2954</v>
      </c>
      <c r="B927" s="3" t="s">
        <v>2965</v>
      </c>
      <c r="C927" s="23" t="s">
        <v>24</v>
      </c>
      <c r="D927" s="3" t="s">
        <v>25</v>
      </c>
      <c r="E927" s="3" t="s">
        <v>45</v>
      </c>
      <c r="F927" s="4" t="s">
        <v>29</v>
      </c>
      <c r="G927" s="3" t="s">
        <v>2276</v>
      </c>
      <c r="H927" s="3" t="s">
        <v>523</v>
      </c>
      <c r="I927" s="3"/>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2276</v>
      </c>
      <c r="Y927" s="21">
        <v>1</v>
      </c>
      <c r="Z927" s="3" t="s">
        <v>86</v>
      </c>
      <c r="AA927" s="3" t="s">
        <v>86</v>
      </c>
      <c r="AB927" s="3" t="s">
        <v>64</v>
      </c>
      <c r="AC927" s="3" t="s">
        <v>2966</v>
      </c>
      <c r="AD927" s="3"/>
    </row>
    <row r="928" spans="1:30" ht="42.5" customHeight="1">
      <c r="A928" s="11" t="s">
        <v>2954</v>
      </c>
      <c r="B928" s="3" t="s">
        <v>2967</v>
      </c>
      <c r="C928" s="23" t="s">
        <v>24</v>
      </c>
      <c r="D928" s="3" t="s">
        <v>27</v>
      </c>
      <c r="E928" s="3" t="s">
        <v>130</v>
      </c>
      <c r="F928" s="4" t="s">
        <v>161</v>
      </c>
      <c r="G928" s="3" t="s">
        <v>2276</v>
      </c>
      <c r="H928" s="3" t="s">
        <v>523</v>
      </c>
      <c r="I928" s="3"/>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2276</v>
      </c>
      <c r="Y928" s="3" t="s">
        <v>2276</v>
      </c>
      <c r="Z928" s="3" t="s">
        <v>405</v>
      </c>
      <c r="AA928" s="3" t="s">
        <v>425</v>
      </c>
      <c r="AB928" s="3" t="s">
        <v>76</v>
      </c>
      <c r="AC928" s="4" t="s">
        <v>2968</v>
      </c>
      <c r="AD928" s="3"/>
    </row>
    <row r="929" spans="1:30" ht="34.5" customHeight="1">
      <c r="A929" s="11" t="s">
        <v>2954</v>
      </c>
      <c r="B929" s="3"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3" t="s">
        <v>2276</v>
      </c>
      <c r="Z929" s="3" t="s">
        <v>38</v>
      </c>
      <c r="AA929" s="3" t="s">
        <v>425</v>
      </c>
      <c r="AB929" s="3" t="s">
        <v>64</v>
      </c>
      <c r="AC929" s="3" t="s">
        <v>2976</v>
      </c>
      <c r="AD929" s="3"/>
    </row>
    <row r="930" spans="1:30" ht="34.5" customHeight="1">
      <c r="A930" s="11" t="s">
        <v>2954</v>
      </c>
      <c r="B930" s="3"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3" t="s">
        <v>2276</v>
      </c>
      <c r="Z930" s="3" t="s">
        <v>38</v>
      </c>
      <c r="AA930" s="3" t="s">
        <v>425</v>
      </c>
      <c r="AB930" s="3" t="s">
        <v>64</v>
      </c>
      <c r="AC930" s="4" t="s">
        <v>2977</v>
      </c>
      <c r="AD930" s="3"/>
    </row>
    <row r="931" spans="1:30" ht="41" customHeight="1">
      <c r="A931" s="11" t="s">
        <v>2954</v>
      </c>
      <c r="B931" s="3" t="s">
        <v>2971</v>
      </c>
      <c r="C931" s="23" t="s">
        <v>24</v>
      </c>
      <c r="D931" s="3" t="s">
        <v>26</v>
      </c>
      <c r="E931" s="3" t="s">
        <v>130</v>
      </c>
      <c r="F931" s="4" t="s">
        <v>2662</v>
      </c>
      <c r="G931" s="3" t="s">
        <v>2276</v>
      </c>
      <c r="H931" s="3" t="s">
        <v>523</v>
      </c>
      <c r="I931" s="3"/>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2276</v>
      </c>
      <c r="Y931" s="3" t="s">
        <v>2276</v>
      </c>
      <c r="Z931" s="3" t="s">
        <v>38</v>
      </c>
      <c r="AA931" s="3" t="s">
        <v>425</v>
      </c>
      <c r="AB931" s="3" t="s">
        <v>64</v>
      </c>
      <c r="AC931" s="3"/>
      <c r="AD931" s="3"/>
    </row>
    <row r="932" spans="1:30" ht="39" customHeight="1">
      <c r="A932" s="11" t="s">
        <v>2954</v>
      </c>
      <c r="B932" s="3" t="s">
        <v>2972</v>
      </c>
      <c r="C932" s="23" t="s">
        <v>24</v>
      </c>
      <c r="D932" s="3" t="s">
        <v>26</v>
      </c>
      <c r="E932" s="3" t="s">
        <v>116</v>
      </c>
      <c r="F932" s="4" t="s">
        <v>2662</v>
      </c>
      <c r="G932" s="3" t="s">
        <v>2276</v>
      </c>
      <c r="H932" s="3" t="s">
        <v>523</v>
      </c>
      <c r="I932" s="3"/>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2276</v>
      </c>
      <c r="Y932" s="3" t="s">
        <v>2276</v>
      </c>
      <c r="Z932" s="3" t="s">
        <v>38</v>
      </c>
      <c r="AA932" s="3" t="s">
        <v>425</v>
      </c>
      <c r="AB932" s="3" t="s">
        <v>64</v>
      </c>
      <c r="AC932" s="3"/>
      <c r="AD932" s="3"/>
    </row>
    <row r="933" spans="1:30" ht="40.5" customHeight="1">
      <c r="A933" s="11" t="s">
        <v>2954</v>
      </c>
      <c r="B933" s="3" t="s">
        <v>2975</v>
      </c>
      <c r="C933" s="23" t="s">
        <v>2458</v>
      </c>
      <c r="D933" s="3" t="s">
        <v>25</v>
      </c>
      <c r="E933" s="3" t="s">
        <v>2647</v>
      </c>
      <c r="F933" s="4" t="s">
        <v>29</v>
      </c>
      <c r="G933" s="4" t="s">
        <v>2662</v>
      </c>
      <c r="H933" s="3" t="s">
        <v>523</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2276</v>
      </c>
      <c r="Y933" s="3" t="s">
        <v>2276</v>
      </c>
      <c r="Z933" s="3" t="s">
        <v>38</v>
      </c>
      <c r="AA933" s="3" t="s">
        <v>425</v>
      </c>
      <c r="AB933" s="3" t="s">
        <v>64</v>
      </c>
      <c r="AC933" s="4" t="s">
        <v>2973</v>
      </c>
      <c r="AD933" s="3"/>
    </row>
    <row r="934" spans="1:30" ht="50" customHeight="1">
      <c r="A934" s="11" t="s">
        <v>2954</v>
      </c>
      <c r="B934" s="3" t="s">
        <v>2981</v>
      </c>
      <c r="C934" s="23" t="s">
        <v>2458</v>
      </c>
      <c r="D934" s="3" t="s">
        <v>27</v>
      </c>
      <c r="E934" s="3" t="s">
        <v>130</v>
      </c>
      <c r="F934" s="4" t="s">
        <v>161</v>
      </c>
      <c r="G934" s="4" t="s">
        <v>2662</v>
      </c>
      <c r="H934" s="3" t="s">
        <v>523</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2276</v>
      </c>
      <c r="Y934" s="3" t="s">
        <v>2276</v>
      </c>
      <c r="Z934" s="3" t="s">
        <v>405</v>
      </c>
      <c r="AA934" s="3" t="s">
        <v>425</v>
      </c>
      <c r="AB934" s="3"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2276</v>
      </c>
      <c r="Y935" s="3" t="s">
        <v>2276</v>
      </c>
      <c r="Z935" s="3" t="s">
        <v>68</v>
      </c>
      <c r="AA935" s="3" t="s">
        <v>35</v>
      </c>
      <c r="AB935" s="3" t="s">
        <v>64</v>
      </c>
      <c r="AC935" s="4" t="s">
        <v>3006</v>
      </c>
      <c r="AD935" s="3"/>
    </row>
    <row r="936" spans="1:30" ht="46" customHeight="1">
      <c r="A936" s="11" t="s">
        <v>2988</v>
      </c>
      <c r="B936" s="11" t="s">
        <v>2990</v>
      </c>
      <c r="C936" s="23" t="s">
        <v>24</v>
      </c>
      <c r="D936" s="3" t="s">
        <v>26</v>
      </c>
      <c r="E936" s="3" t="s">
        <v>5005</v>
      </c>
      <c r="F936" s="4" t="s">
        <v>2662</v>
      </c>
      <c r="G936" s="3"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3" t="s">
        <v>2276</v>
      </c>
      <c r="Z936" s="3" t="s">
        <v>2276</v>
      </c>
      <c r="AA936" s="3" t="s">
        <v>2276</v>
      </c>
      <c r="AB936" s="3" t="s">
        <v>2276</v>
      </c>
      <c r="AC936" s="3"/>
      <c r="AD936" s="3"/>
    </row>
    <row r="937" spans="1:30" ht="70" customHeight="1">
      <c r="A937" s="11" t="s">
        <v>2988</v>
      </c>
      <c r="B937" s="11" t="s">
        <v>2991</v>
      </c>
      <c r="C937" s="23" t="s">
        <v>24</v>
      </c>
      <c r="D937" s="3" t="s">
        <v>2341</v>
      </c>
      <c r="E937" s="3" t="s">
        <v>5005</v>
      </c>
      <c r="F937" s="4" t="s">
        <v>2662</v>
      </c>
      <c r="G937" s="3" t="s">
        <v>2276</v>
      </c>
      <c r="H937" s="3" t="s">
        <v>523</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2276</v>
      </c>
      <c r="Y937" s="3"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t="s">
        <v>2276</v>
      </c>
      <c r="Y938" s="3"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3"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3" t="s">
        <v>2276</v>
      </c>
      <c r="Z939" s="3" t="s">
        <v>34</v>
      </c>
      <c r="AA939" s="3" t="s">
        <v>34</v>
      </c>
      <c r="AB939" s="3" t="s">
        <v>2655</v>
      </c>
      <c r="AC939" s="4" t="s">
        <v>3007</v>
      </c>
      <c r="AD939" s="3"/>
    </row>
    <row r="940" spans="1:30" ht="43.5" customHeight="1">
      <c r="A940" s="11" t="s">
        <v>2988</v>
      </c>
      <c r="B940" s="11" t="s">
        <v>2998</v>
      </c>
      <c r="C940" s="23" t="s">
        <v>24</v>
      </c>
      <c r="D940" s="3" t="s">
        <v>27</v>
      </c>
      <c r="E940" s="3" t="s">
        <v>130</v>
      </c>
      <c r="F940" s="4" t="s">
        <v>161</v>
      </c>
      <c r="G940" s="3" t="s">
        <v>2276</v>
      </c>
      <c r="H940" s="3" t="s">
        <v>523</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2276</v>
      </c>
      <c r="Y940" s="3"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3" t="s">
        <v>2276</v>
      </c>
      <c r="H941" s="3" t="s">
        <v>523</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2276</v>
      </c>
      <c r="Y941" s="3"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3"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t="s">
        <v>2276</v>
      </c>
      <c r="AB942" s="3" t="s">
        <v>2276</v>
      </c>
      <c r="AC942" s="3"/>
      <c r="AD942" s="3"/>
    </row>
    <row r="943" spans="1:30" ht="42.5" customHeight="1">
      <c r="A943" s="11" t="s">
        <v>2988</v>
      </c>
      <c r="B943" s="11" t="s">
        <v>3001</v>
      </c>
      <c r="C943" s="3" t="s">
        <v>24</v>
      </c>
      <c r="D943" s="3" t="s">
        <v>1245</v>
      </c>
      <c r="E943" s="3" t="s">
        <v>116</v>
      </c>
      <c r="F943" s="4" t="s">
        <v>2662</v>
      </c>
      <c r="G943" s="3" t="s">
        <v>2276</v>
      </c>
      <c r="H943" s="3" t="s">
        <v>523</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3" t="s">
        <v>2276</v>
      </c>
      <c r="H944" s="3" t="s">
        <v>523</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2276</v>
      </c>
      <c r="AB945" s="3"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2276</v>
      </c>
      <c r="Y946" s="3"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3" t="s">
        <v>2276</v>
      </c>
      <c r="H947" s="3" t="s">
        <v>523</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2276</v>
      </c>
      <c r="Y947" s="3"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3"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3" t="s">
        <v>2276</v>
      </c>
      <c r="Z948" s="3" t="s">
        <v>34</v>
      </c>
      <c r="AA948" s="3" t="s">
        <v>34</v>
      </c>
      <c r="AB948" s="3" t="s">
        <v>2655</v>
      </c>
      <c r="AC948" s="3"/>
      <c r="AD948" s="3"/>
    </row>
    <row r="949" spans="1:30" ht="83.5" customHeight="1">
      <c r="A949" s="11" t="s">
        <v>2995</v>
      </c>
      <c r="B949" s="11" t="s">
        <v>2996</v>
      </c>
      <c r="C949" s="3" t="s">
        <v>24</v>
      </c>
      <c r="D949" s="3" t="s">
        <v>25</v>
      </c>
      <c r="E949" s="3" t="s">
        <v>45</v>
      </c>
      <c r="F949" s="4" t="s">
        <v>29</v>
      </c>
      <c r="G949" s="3" t="s">
        <v>2276</v>
      </c>
      <c r="H949" s="3" t="s">
        <v>523</v>
      </c>
      <c r="I949" s="3"/>
      <c r="J949" s="3" t="s">
        <v>2276</v>
      </c>
      <c r="K949" s="3" t="s">
        <v>2276</v>
      </c>
      <c r="L949" s="3" t="s">
        <v>2276</v>
      </c>
      <c r="M949" s="3" t="s">
        <v>2276</v>
      </c>
      <c r="N949" s="3" t="s">
        <v>2276</v>
      </c>
      <c r="O949" s="3" t="s">
        <v>2276</v>
      </c>
      <c r="P949" s="3" t="s">
        <v>2276</v>
      </c>
      <c r="Q949" s="3" t="s">
        <v>2276</v>
      </c>
      <c r="R949" s="3" t="s">
        <v>2276</v>
      </c>
      <c r="S949" s="3" t="s">
        <v>2276</v>
      </c>
      <c r="T949" s="3" t="s">
        <v>2276</v>
      </c>
      <c r="U949" s="3" t="s">
        <v>2276</v>
      </c>
      <c r="V949" s="3" t="s">
        <v>2276</v>
      </c>
      <c r="W949" s="3" t="s">
        <v>2276</v>
      </c>
      <c r="X949" s="3" t="s">
        <v>2276</v>
      </c>
      <c r="Y949" s="3"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3"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3" t="s">
        <v>2276</v>
      </c>
      <c r="H951" s="3" t="s">
        <v>523</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2276</v>
      </c>
      <c r="Y951" s="3" t="s">
        <v>2276</v>
      </c>
      <c r="Z951" s="3" t="s">
        <v>86</v>
      </c>
      <c r="AA951" s="3" t="s">
        <v>425</v>
      </c>
      <c r="AB951" s="3" t="s">
        <v>64</v>
      </c>
      <c r="AC951" s="3"/>
      <c r="AD951" s="3"/>
    </row>
    <row r="952" spans="1:30" ht="66" customHeight="1">
      <c r="A952" s="11" t="s">
        <v>2995</v>
      </c>
      <c r="B952" s="11" t="s">
        <v>3023</v>
      </c>
      <c r="C952" s="3" t="s">
        <v>24</v>
      </c>
      <c r="D952" s="3" t="s">
        <v>1242</v>
      </c>
      <c r="E952" s="3" t="s">
        <v>45</v>
      </c>
      <c r="F952" s="4" t="s">
        <v>2276</v>
      </c>
      <c r="G952" s="3" t="s">
        <v>2276</v>
      </c>
      <c r="H952" s="3" t="s">
        <v>523</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2276</v>
      </c>
      <c r="Y952" s="3"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3" t="s">
        <v>2276</v>
      </c>
      <c r="H953" s="3" t="s">
        <v>523</v>
      </c>
      <c r="I953" s="3"/>
      <c r="J953" s="3" t="s">
        <v>2276</v>
      </c>
      <c r="K953" s="3" t="s">
        <v>2276</v>
      </c>
      <c r="L953" s="3" t="s">
        <v>2276</v>
      </c>
      <c r="M953" s="3" t="s">
        <v>2276</v>
      </c>
      <c r="N953" s="3" t="s">
        <v>2276</v>
      </c>
      <c r="O953" s="3" t="s">
        <v>2276</v>
      </c>
      <c r="P953" s="3" t="s">
        <v>2276</v>
      </c>
      <c r="Q953" s="3" t="s">
        <v>2276</v>
      </c>
      <c r="R953" s="3" t="s">
        <v>2276</v>
      </c>
      <c r="S953" s="3" t="s">
        <v>2276</v>
      </c>
      <c r="T953" s="3" t="s">
        <v>2276</v>
      </c>
      <c r="U953" s="3" t="s">
        <v>2276</v>
      </c>
      <c r="V953" s="3" t="s">
        <v>2276</v>
      </c>
      <c r="W953" s="3" t="s">
        <v>2276</v>
      </c>
      <c r="X953" s="3" t="s">
        <v>2276</v>
      </c>
      <c r="Y953" s="3"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3" t="s">
        <v>2276</v>
      </c>
      <c r="H954" s="3" t="s">
        <v>523</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2276</v>
      </c>
      <c r="Y954" s="3"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3" t="s">
        <v>2276</v>
      </c>
      <c r="H955" s="3" t="s">
        <v>523</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2276</v>
      </c>
      <c r="Y955" s="3"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3" t="s">
        <v>2276</v>
      </c>
      <c r="H956" s="3" t="s">
        <v>523</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2276</v>
      </c>
      <c r="Y956" s="3"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3" t="s">
        <v>2276</v>
      </c>
      <c r="H957" s="3" t="s">
        <v>523</v>
      </c>
      <c r="I957" s="22"/>
      <c r="J957" s="3" t="s">
        <v>2276</v>
      </c>
      <c r="K957" s="3" t="s">
        <v>2276</v>
      </c>
      <c r="L957" s="77">
        <v>10</v>
      </c>
      <c r="M957" s="3" t="s">
        <v>2276</v>
      </c>
      <c r="N957" s="77">
        <v>150</v>
      </c>
      <c r="O957" s="3" t="s">
        <v>2276</v>
      </c>
      <c r="P957" s="3" t="s">
        <v>2276</v>
      </c>
      <c r="Q957" s="3" t="s">
        <v>2276</v>
      </c>
      <c r="R957" s="3" t="s">
        <v>2276</v>
      </c>
      <c r="S957" s="3" t="s">
        <v>2276</v>
      </c>
      <c r="T957" s="3" t="s">
        <v>2276</v>
      </c>
      <c r="U957" s="3" t="s">
        <v>2276</v>
      </c>
      <c r="V957" s="3" t="s">
        <v>2276</v>
      </c>
      <c r="W957" s="3" t="s">
        <v>2276</v>
      </c>
      <c r="X957" s="3" t="s">
        <v>2276</v>
      </c>
      <c r="Y957" s="3"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3" t="s">
        <v>2276</v>
      </c>
      <c r="H958" s="3" t="s">
        <v>523</v>
      </c>
      <c r="I958" s="22"/>
      <c r="J958" s="3" t="s">
        <v>2276</v>
      </c>
      <c r="K958" s="3" t="s">
        <v>2276</v>
      </c>
      <c r="L958" s="77">
        <v>10</v>
      </c>
      <c r="M958" s="3" t="s">
        <v>2276</v>
      </c>
      <c r="N958" s="77">
        <v>150</v>
      </c>
      <c r="O958" s="3" t="s">
        <v>2276</v>
      </c>
      <c r="P958" s="3" t="s">
        <v>2276</v>
      </c>
      <c r="Q958" s="3" t="s">
        <v>2276</v>
      </c>
      <c r="R958" s="3" t="s">
        <v>2276</v>
      </c>
      <c r="S958" s="3" t="s">
        <v>2276</v>
      </c>
      <c r="T958" s="3" t="s">
        <v>2276</v>
      </c>
      <c r="U958" s="3" t="s">
        <v>2276</v>
      </c>
      <c r="V958" s="3" t="s">
        <v>2276</v>
      </c>
      <c r="W958" s="3" t="s">
        <v>2276</v>
      </c>
      <c r="X958" s="3" t="s">
        <v>2276</v>
      </c>
      <c r="Y958" s="3"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3" t="s">
        <v>2276</v>
      </c>
      <c r="H959" s="3" t="s">
        <v>523</v>
      </c>
      <c r="I959" s="22"/>
      <c r="J959" s="3" t="s">
        <v>2276</v>
      </c>
      <c r="K959" s="3" t="s">
        <v>2276</v>
      </c>
      <c r="L959" s="77">
        <v>10</v>
      </c>
      <c r="M959" s="3" t="s">
        <v>2276</v>
      </c>
      <c r="N959" s="77">
        <v>150</v>
      </c>
      <c r="O959" s="3" t="s">
        <v>2276</v>
      </c>
      <c r="P959" s="3" t="s">
        <v>2276</v>
      </c>
      <c r="Q959" s="3" t="s">
        <v>2276</v>
      </c>
      <c r="R959" s="3" t="s">
        <v>2276</v>
      </c>
      <c r="S959" s="3" t="s">
        <v>2276</v>
      </c>
      <c r="T959" s="3" t="s">
        <v>2276</v>
      </c>
      <c r="U959" s="3" t="s">
        <v>2276</v>
      </c>
      <c r="V959" s="3" t="s">
        <v>2276</v>
      </c>
      <c r="W959" s="3" t="s">
        <v>2276</v>
      </c>
      <c r="X959" s="3" t="s">
        <v>2276</v>
      </c>
      <c r="Y959" s="3"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3" t="s">
        <v>2276</v>
      </c>
      <c r="H960" s="3" t="s">
        <v>523</v>
      </c>
      <c r="I960" s="22"/>
      <c r="J960" s="3" t="s">
        <v>2276</v>
      </c>
      <c r="K960" s="3" t="s">
        <v>2276</v>
      </c>
      <c r="L960" s="77">
        <v>10</v>
      </c>
      <c r="M960" s="3" t="s">
        <v>2276</v>
      </c>
      <c r="N960" s="77">
        <v>150</v>
      </c>
      <c r="O960" s="3" t="s">
        <v>2276</v>
      </c>
      <c r="P960" s="3" t="s">
        <v>2276</v>
      </c>
      <c r="Q960" s="3" t="s">
        <v>2276</v>
      </c>
      <c r="R960" s="3" t="s">
        <v>2276</v>
      </c>
      <c r="S960" s="3" t="s">
        <v>2276</v>
      </c>
      <c r="T960" s="3" t="s">
        <v>2276</v>
      </c>
      <c r="U960" s="3" t="s">
        <v>2276</v>
      </c>
      <c r="V960" s="3" t="s">
        <v>2276</v>
      </c>
      <c r="W960" s="3" t="s">
        <v>2276</v>
      </c>
      <c r="X960" s="3" t="s">
        <v>2276</v>
      </c>
      <c r="Y960" s="3"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3" t="s">
        <v>2276</v>
      </c>
      <c r="H961" s="3" t="s">
        <v>523</v>
      </c>
      <c r="I961" s="22"/>
      <c r="J961" s="3" t="s">
        <v>2276</v>
      </c>
      <c r="K961" s="3" t="s">
        <v>2276</v>
      </c>
      <c r="L961" s="3" t="s">
        <v>2276</v>
      </c>
      <c r="M961" s="3" t="s">
        <v>2276</v>
      </c>
      <c r="N961" s="3" t="s">
        <v>2276</v>
      </c>
      <c r="O961" s="3" t="s">
        <v>2276</v>
      </c>
      <c r="P961" s="3" t="s">
        <v>2276</v>
      </c>
      <c r="Q961" s="3" t="s">
        <v>2276</v>
      </c>
      <c r="R961" s="3" t="s">
        <v>2276</v>
      </c>
      <c r="S961" s="3" t="s">
        <v>2276</v>
      </c>
      <c r="T961" s="3" t="s">
        <v>2276</v>
      </c>
      <c r="U961" s="3" t="s">
        <v>2276</v>
      </c>
      <c r="V961" s="3" t="s">
        <v>2276</v>
      </c>
      <c r="W961" s="3" t="s">
        <v>2276</v>
      </c>
      <c r="X961" s="3" t="s">
        <v>2276</v>
      </c>
      <c r="Y961" s="3"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3" t="s">
        <v>2276</v>
      </c>
      <c r="H962" s="3" t="s">
        <v>523</v>
      </c>
      <c r="I962" s="22"/>
      <c r="J962" s="3" t="s">
        <v>2276</v>
      </c>
      <c r="K962" s="3" t="s">
        <v>2276</v>
      </c>
      <c r="L962" s="77">
        <v>10</v>
      </c>
      <c r="M962" s="3" t="s">
        <v>2276</v>
      </c>
      <c r="N962" s="77">
        <v>150</v>
      </c>
      <c r="O962" s="3" t="s">
        <v>2276</v>
      </c>
      <c r="P962" s="3" t="s">
        <v>2276</v>
      </c>
      <c r="Q962" s="3" t="s">
        <v>2276</v>
      </c>
      <c r="R962" s="3" t="s">
        <v>2276</v>
      </c>
      <c r="S962" s="3" t="s">
        <v>2276</v>
      </c>
      <c r="T962" s="3" t="s">
        <v>2276</v>
      </c>
      <c r="U962" s="3" t="s">
        <v>2276</v>
      </c>
      <c r="V962" s="3" t="s">
        <v>2276</v>
      </c>
      <c r="W962" s="3" t="s">
        <v>2276</v>
      </c>
      <c r="X962" s="3" t="s">
        <v>2276</v>
      </c>
      <c r="Y962" s="3"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3" t="s">
        <v>2276</v>
      </c>
      <c r="H963" s="3" t="s">
        <v>523</v>
      </c>
      <c r="I963" s="22"/>
      <c r="J963" s="3" t="s">
        <v>2276</v>
      </c>
      <c r="K963" s="3" t="s">
        <v>2276</v>
      </c>
      <c r="L963" s="3" t="s">
        <v>2276</v>
      </c>
      <c r="M963" s="3" t="s">
        <v>2276</v>
      </c>
      <c r="N963" s="3" t="s">
        <v>2276</v>
      </c>
      <c r="O963" s="3" t="s">
        <v>2276</v>
      </c>
      <c r="P963" s="3" t="s">
        <v>2276</v>
      </c>
      <c r="Q963" s="3" t="s">
        <v>2276</v>
      </c>
      <c r="R963" s="3" t="s">
        <v>2276</v>
      </c>
      <c r="S963" s="3" t="s">
        <v>2276</v>
      </c>
      <c r="T963" s="3" t="s">
        <v>2276</v>
      </c>
      <c r="U963" s="3" t="s">
        <v>2276</v>
      </c>
      <c r="V963" s="3" t="s">
        <v>2276</v>
      </c>
      <c r="W963" s="3" t="s">
        <v>2276</v>
      </c>
      <c r="X963" s="3" t="s">
        <v>2276</v>
      </c>
      <c r="Y963" s="3"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3" t="s">
        <v>2276</v>
      </c>
      <c r="H964" s="3" t="s">
        <v>523</v>
      </c>
      <c r="I964" s="22"/>
      <c r="J964" s="3" t="s">
        <v>2276</v>
      </c>
      <c r="K964" s="3" t="s">
        <v>2276</v>
      </c>
      <c r="L964" s="77">
        <v>10</v>
      </c>
      <c r="M964" s="3" t="s">
        <v>2276</v>
      </c>
      <c r="N964" s="77">
        <v>150</v>
      </c>
      <c r="O964" s="3" t="s">
        <v>2276</v>
      </c>
      <c r="P964" s="3" t="s">
        <v>2276</v>
      </c>
      <c r="Q964" s="3" t="s">
        <v>2276</v>
      </c>
      <c r="R964" s="3" t="s">
        <v>2276</v>
      </c>
      <c r="S964" s="3" t="s">
        <v>2276</v>
      </c>
      <c r="T964" s="3" t="s">
        <v>2276</v>
      </c>
      <c r="U964" s="3" t="s">
        <v>2276</v>
      </c>
      <c r="V964" s="3" t="s">
        <v>2276</v>
      </c>
      <c r="W964" s="3" t="s">
        <v>2276</v>
      </c>
      <c r="X964" s="3" t="s">
        <v>2276</v>
      </c>
      <c r="Y964" s="3"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3" t="s">
        <v>2276</v>
      </c>
      <c r="H965" s="3" t="s">
        <v>523</v>
      </c>
      <c r="I965" s="22"/>
      <c r="J965" s="3" t="s">
        <v>2276</v>
      </c>
      <c r="K965" s="3" t="s">
        <v>2276</v>
      </c>
      <c r="L965" s="77">
        <v>10</v>
      </c>
      <c r="M965" s="3" t="s">
        <v>2276</v>
      </c>
      <c r="N965" s="77">
        <v>150</v>
      </c>
      <c r="O965" s="3" t="s">
        <v>2276</v>
      </c>
      <c r="P965" s="3" t="s">
        <v>2276</v>
      </c>
      <c r="Q965" s="3" t="s">
        <v>2276</v>
      </c>
      <c r="R965" s="3" t="s">
        <v>2276</v>
      </c>
      <c r="S965" s="3" t="s">
        <v>2276</v>
      </c>
      <c r="T965" s="3" t="s">
        <v>2276</v>
      </c>
      <c r="U965" s="3" t="s">
        <v>2276</v>
      </c>
      <c r="V965" s="3" t="s">
        <v>2276</v>
      </c>
      <c r="W965" s="3" t="s">
        <v>2276</v>
      </c>
      <c r="X965" s="3" t="s">
        <v>2276</v>
      </c>
      <c r="Y965" s="3"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3" t="s">
        <v>2276</v>
      </c>
      <c r="H966" s="3" t="s">
        <v>523</v>
      </c>
      <c r="I966" s="22"/>
      <c r="J966" s="3" t="s">
        <v>2276</v>
      </c>
      <c r="K966" s="3" t="s">
        <v>2276</v>
      </c>
      <c r="L966" s="77">
        <v>10</v>
      </c>
      <c r="M966" s="3" t="s">
        <v>2276</v>
      </c>
      <c r="N966" s="77">
        <v>150</v>
      </c>
      <c r="O966" s="3" t="s">
        <v>2276</v>
      </c>
      <c r="P966" s="3" t="s">
        <v>2276</v>
      </c>
      <c r="Q966" s="3" t="s">
        <v>2276</v>
      </c>
      <c r="R966" s="3" t="s">
        <v>2276</v>
      </c>
      <c r="S966" s="3" t="s">
        <v>2276</v>
      </c>
      <c r="T966" s="3" t="s">
        <v>2276</v>
      </c>
      <c r="U966" s="3" t="s">
        <v>2276</v>
      </c>
      <c r="V966" s="3" t="s">
        <v>2276</v>
      </c>
      <c r="W966" s="3" t="s">
        <v>2276</v>
      </c>
      <c r="X966" s="3" t="s">
        <v>2276</v>
      </c>
      <c r="Y966" s="3"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3" t="s">
        <v>2276</v>
      </c>
      <c r="H967" s="3" t="s">
        <v>523</v>
      </c>
      <c r="I967" s="22"/>
      <c r="J967" s="3" t="s">
        <v>2276</v>
      </c>
      <c r="K967" s="3" t="s">
        <v>2276</v>
      </c>
      <c r="L967" s="77">
        <v>10</v>
      </c>
      <c r="M967" s="3" t="s">
        <v>2276</v>
      </c>
      <c r="N967" s="77">
        <v>150</v>
      </c>
      <c r="O967" s="3" t="s">
        <v>2276</v>
      </c>
      <c r="P967" s="3" t="s">
        <v>2276</v>
      </c>
      <c r="Q967" s="3" t="s">
        <v>2276</v>
      </c>
      <c r="R967" s="3" t="s">
        <v>2276</v>
      </c>
      <c r="S967" s="3" t="s">
        <v>2276</v>
      </c>
      <c r="T967" s="3" t="s">
        <v>2276</v>
      </c>
      <c r="U967" s="3" t="s">
        <v>2276</v>
      </c>
      <c r="V967" s="3" t="s">
        <v>2276</v>
      </c>
      <c r="W967" s="3" t="s">
        <v>2276</v>
      </c>
      <c r="X967" s="3" t="s">
        <v>2276</v>
      </c>
      <c r="Y967" s="3"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3" t="s">
        <v>2276</v>
      </c>
      <c r="H968" s="3" t="s">
        <v>523</v>
      </c>
      <c r="I968" s="22"/>
      <c r="J968" s="3" t="s">
        <v>2276</v>
      </c>
      <c r="K968" s="3" t="s">
        <v>2276</v>
      </c>
      <c r="L968" s="3" t="s">
        <v>2276</v>
      </c>
      <c r="M968" s="3" t="s">
        <v>2276</v>
      </c>
      <c r="N968" s="3" t="s">
        <v>2276</v>
      </c>
      <c r="O968" s="3" t="s">
        <v>2276</v>
      </c>
      <c r="P968" s="3" t="s">
        <v>2276</v>
      </c>
      <c r="Q968" s="3" t="s">
        <v>2276</v>
      </c>
      <c r="R968" s="3" t="s">
        <v>2276</v>
      </c>
      <c r="S968" s="3" t="s">
        <v>2276</v>
      </c>
      <c r="T968" s="3" t="s">
        <v>2276</v>
      </c>
      <c r="U968" s="3" t="s">
        <v>2276</v>
      </c>
      <c r="V968" s="3" t="s">
        <v>2276</v>
      </c>
      <c r="W968" s="3" t="s">
        <v>2276</v>
      </c>
      <c r="X968" s="3" t="s">
        <v>2276</v>
      </c>
      <c r="Y968" s="3"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3" t="s">
        <v>2276</v>
      </c>
      <c r="H969" s="3" t="s">
        <v>523</v>
      </c>
      <c r="I969" s="22"/>
      <c r="J969" s="3" t="s">
        <v>2276</v>
      </c>
      <c r="K969" s="3" t="s">
        <v>2276</v>
      </c>
      <c r="L969" s="77">
        <v>10</v>
      </c>
      <c r="M969" s="3" t="s">
        <v>2276</v>
      </c>
      <c r="N969" s="77">
        <v>150</v>
      </c>
      <c r="O969" s="3" t="s">
        <v>2276</v>
      </c>
      <c r="P969" s="3" t="s">
        <v>2276</v>
      </c>
      <c r="Q969" s="3" t="s">
        <v>2276</v>
      </c>
      <c r="R969" s="3" t="s">
        <v>2276</v>
      </c>
      <c r="S969" s="3" t="s">
        <v>2276</v>
      </c>
      <c r="T969" s="3" t="s">
        <v>2276</v>
      </c>
      <c r="U969" s="3" t="s">
        <v>2276</v>
      </c>
      <c r="V969" s="3" t="s">
        <v>2276</v>
      </c>
      <c r="W969" s="3" t="s">
        <v>2276</v>
      </c>
      <c r="X969" s="3" t="s">
        <v>2276</v>
      </c>
      <c r="Y969" s="3"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3" t="s">
        <v>2276</v>
      </c>
      <c r="H970" s="3" t="s">
        <v>523</v>
      </c>
      <c r="I970" s="22"/>
      <c r="J970" s="3" t="s">
        <v>2276</v>
      </c>
      <c r="K970" s="3" t="s">
        <v>2276</v>
      </c>
      <c r="L970" s="3" t="s">
        <v>2276</v>
      </c>
      <c r="M970" s="3" t="s">
        <v>2276</v>
      </c>
      <c r="N970" s="3" t="s">
        <v>2276</v>
      </c>
      <c r="O970" s="3" t="s">
        <v>2276</v>
      </c>
      <c r="P970" s="3" t="s">
        <v>2276</v>
      </c>
      <c r="Q970" s="3" t="s">
        <v>2276</v>
      </c>
      <c r="R970" s="3" t="s">
        <v>2276</v>
      </c>
      <c r="S970" s="3" t="s">
        <v>2276</v>
      </c>
      <c r="T970" s="3" t="s">
        <v>2276</v>
      </c>
      <c r="U970" s="3" t="s">
        <v>2276</v>
      </c>
      <c r="V970" s="3" t="s">
        <v>2276</v>
      </c>
      <c r="W970" s="3" t="s">
        <v>2276</v>
      </c>
      <c r="X970" s="3" t="s">
        <v>2276</v>
      </c>
      <c r="Y970" s="3"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2" t="s">
        <v>524</v>
      </c>
      <c r="I971" s="22"/>
      <c r="J971" s="77">
        <v>0</v>
      </c>
      <c r="K971" s="77">
        <v>0</v>
      </c>
      <c r="L971" s="77">
        <v>0</v>
      </c>
      <c r="M971" s="77">
        <v>0</v>
      </c>
      <c r="N971" s="77">
        <v>0</v>
      </c>
      <c r="O971" s="77">
        <v>0</v>
      </c>
      <c r="P971" s="77">
        <v>0</v>
      </c>
      <c r="Q971" s="77">
        <v>0</v>
      </c>
      <c r="R971" s="77">
        <v>0</v>
      </c>
      <c r="S971" s="77">
        <v>0</v>
      </c>
      <c r="T971" s="77">
        <v>0</v>
      </c>
      <c r="U971" s="77">
        <v>0</v>
      </c>
      <c r="V971" s="77">
        <v>0</v>
      </c>
      <c r="W971" s="77">
        <v>0</v>
      </c>
      <c r="X971" s="77">
        <v>0</v>
      </c>
      <c r="Y971" s="77">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3">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7">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3">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2" t="s">
        <v>524</v>
      </c>
      <c r="I978" s="22"/>
      <c r="J978" s="77">
        <v>0</v>
      </c>
      <c r="K978" s="77">
        <v>0</v>
      </c>
      <c r="L978" s="77">
        <v>0</v>
      </c>
      <c r="M978" s="77">
        <v>0</v>
      </c>
      <c r="N978" s="77">
        <v>0</v>
      </c>
      <c r="O978" s="77">
        <v>0</v>
      </c>
      <c r="P978" s="77">
        <v>0</v>
      </c>
      <c r="Q978" s="77">
        <v>0</v>
      </c>
      <c r="R978" s="77">
        <v>0</v>
      </c>
      <c r="S978" s="77">
        <v>0</v>
      </c>
      <c r="T978" s="77">
        <v>0</v>
      </c>
      <c r="U978" s="77">
        <v>0</v>
      </c>
      <c r="V978" s="77">
        <v>0</v>
      </c>
      <c r="W978" s="77">
        <v>0</v>
      </c>
      <c r="X978" s="77">
        <v>0</v>
      </c>
      <c r="Y978" s="77">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3">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3">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5040</v>
      </c>
      <c r="B985" s="23" t="s">
        <v>5042</v>
      </c>
      <c r="C985" s="22" t="s">
        <v>1105</v>
      </c>
      <c r="D985" s="22" t="s">
        <v>1105</v>
      </c>
      <c r="E985" s="22" t="s">
        <v>1105</v>
      </c>
      <c r="F985" s="24" t="s">
        <v>2662</v>
      </c>
      <c r="G985" s="3" t="s">
        <v>2276</v>
      </c>
      <c r="H985" s="3" t="s">
        <v>523</v>
      </c>
      <c r="I985" s="153"/>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3" t="s">
        <v>3118</v>
      </c>
      <c r="C986" s="3"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3" t="s">
        <v>24</v>
      </c>
      <c r="D987" s="3" t="s">
        <v>27</v>
      </c>
      <c r="E987" s="3" t="s">
        <v>130</v>
      </c>
      <c r="F987" s="4" t="s">
        <v>74</v>
      </c>
      <c r="G987" s="3"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3"/>
    </row>
    <row r="988" spans="1:30" ht="38.5" customHeight="1">
      <c r="A988" s="23" t="s">
        <v>3100</v>
      </c>
      <c r="B988" s="23" t="s">
        <v>3120</v>
      </c>
      <c r="C988" s="3" t="s">
        <v>24</v>
      </c>
      <c r="D988" s="3" t="s">
        <v>27</v>
      </c>
      <c r="E988" s="3" t="s">
        <v>130</v>
      </c>
      <c r="F988" s="4" t="s">
        <v>74</v>
      </c>
      <c r="G988" s="3"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3"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3" t="s">
        <v>2276</v>
      </c>
      <c r="U989" s="3" t="s">
        <v>2276</v>
      </c>
      <c r="V989" s="3"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3"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3" t="s">
        <v>2276</v>
      </c>
      <c r="U990" s="3" t="s">
        <v>2276</v>
      </c>
      <c r="V990" s="3" t="s">
        <v>2276</v>
      </c>
      <c r="W990" s="3" t="s">
        <v>2276</v>
      </c>
      <c r="X990" s="3" t="s">
        <v>2276</v>
      </c>
      <c r="Y990" s="3" t="s">
        <v>2276</v>
      </c>
      <c r="Z990" s="3" t="s">
        <v>2276</v>
      </c>
      <c r="AA990" s="3" t="s">
        <v>2276</v>
      </c>
      <c r="AB990" s="3" t="s">
        <v>2276</v>
      </c>
      <c r="AC990" s="3"/>
      <c r="AD990" s="3"/>
    </row>
    <row r="991" spans="1:30" ht="33.5" customHeight="1">
      <c r="A991" s="23" t="s">
        <v>3103</v>
      </c>
      <c r="B991" s="23" t="s">
        <v>3123</v>
      </c>
      <c r="C991" s="3" t="s">
        <v>24</v>
      </c>
      <c r="D991" s="3" t="s">
        <v>27</v>
      </c>
      <c r="E991" s="3" t="s">
        <v>130</v>
      </c>
      <c r="F991" s="4" t="s">
        <v>161</v>
      </c>
      <c r="G991" s="3"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3" t="s">
        <v>24</v>
      </c>
      <c r="D992" s="3" t="s">
        <v>27</v>
      </c>
      <c r="E992" s="3" t="s">
        <v>130</v>
      </c>
      <c r="F992" s="4" t="s">
        <v>161</v>
      </c>
      <c r="G992" s="3"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3" t="s">
        <v>24</v>
      </c>
      <c r="D993" s="3" t="s">
        <v>1245</v>
      </c>
      <c r="E993" s="3" t="s">
        <v>116</v>
      </c>
      <c r="F993" s="4" t="s">
        <v>74</v>
      </c>
      <c r="G993" s="3"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3" t="s">
        <v>24</v>
      </c>
      <c r="D994" s="3" t="s">
        <v>1245</v>
      </c>
      <c r="E994" s="3" t="s">
        <v>116</v>
      </c>
      <c r="F994" s="4" t="s">
        <v>2662</v>
      </c>
      <c r="G994" s="3"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3"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3"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3"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3"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3" t="s">
        <v>24</v>
      </c>
      <c r="D999" s="3" t="s">
        <v>2994</v>
      </c>
      <c r="E999" s="3" t="s">
        <v>116</v>
      </c>
      <c r="F999" s="4" t="s">
        <v>2276</v>
      </c>
      <c r="G999" s="3"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3"/>
    </row>
    <row r="1000" spans="1:30" ht="40" customHeight="1">
      <c r="A1000" s="23" t="s">
        <v>3129</v>
      </c>
      <c r="B1000" s="23" t="s">
        <v>3154</v>
      </c>
      <c r="C1000" s="3" t="s">
        <v>24</v>
      </c>
      <c r="D1000" s="3" t="s">
        <v>26</v>
      </c>
      <c r="E1000" s="3" t="s">
        <v>130</v>
      </c>
      <c r="F1000" s="4" t="s">
        <v>2276</v>
      </c>
      <c r="G1000" s="3"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3"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3"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8" t="s">
        <v>2276</v>
      </c>
      <c r="G1003" s="3"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3" t="s">
        <v>31</v>
      </c>
      <c r="D1004" s="3" t="s">
        <v>2276</v>
      </c>
      <c r="E1004" s="3" t="s">
        <v>2652</v>
      </c>
      <c r="F1004" s="4" t="s">
        <v>2276</v>
      </c>
      <c r="G1004" s="3"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3" t="s">
        <v>24</v>
      </c>
      <c r="D1005" s="3" t="s">
        <v>1242</v>
      </c>
      <c r="E1005" s="3" t="s">
        <v>116</v>
      </c>
      <c r="F1005" s="4" t="s">
        <v>2662</v>
      </c>
      <c r="G1005" s="3"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3" t="s">
        <v>24</v>
      </c>
      <c r="D1006" s="3" t="s">
        <v>1242</v>
      </c>
      <c r="E1006" s="3" t="s">
        <v>130</v>
      </c>
      <c r="F1006" s="4" t="s">
        <v>2662</v>
      </c>
      <c r="G1006" s="3"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3"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3"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3"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3"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3" t="s">
        <v>24</v>
      </c>
      <c r="D1011" s="3" t="s">
        <v>2305</v>
      </c>
      <c r="E1011" s="3" t="s">
        <v>116</v>
      </c>
      <c r="F1011" s="4" t="s">
        <v>2276</v>
      </c>
      <c r="G1011" s="3"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3"/>
    </row>
    <row r="1012" spans="1:30" ht="40" customHeight="1">
      <c r="A1012" s="23" t="s">
        <v>3130</v>
      </c>
      <c r="B1012" s="23" t="s">
        <v>3167</v>
      </c>
      <c r="C1012" s="3" t="s">
        <v>24</v>
      </c>
      <c r="D1012" s="3" t="s">
        <v>26</v>
      </c>
      <c r="E1012" s="3" t="s">
        <v>116</v>
      </c>
      <c r="F1012" s="4" t="s">
        <v>2276</v>
      </c>
      <c r="G1012" s="3"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3"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3"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3" t="s">
        <v>24</v>
      </c>
      <c r="D1015" s="3" t="s">
        <v>2994</v>
      </c>
      <c r="E1015" s="3" t="s">
        <v>116</v>
      </c>
      <c r="F1015" s="4" t="s">
        <v>2276</v>
      </c>
      <c r="G1015" s="3"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3" t="s">
        <v>24</v>
      </c>
      <c r="D1016" s="3" t="s">
        <v>26</v>
      </c>
      <c r="E1016" s="3" t="s">
        <v>130</v>
      </c>
      <c r="F1016" s="4" t="s">
        <v>2276</v>
      </c>
      <c r="G1016" s="3"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3" t="s">
        <v>24</v>
      </c>
      <c r="D1017" s="3" t="s">
        <v>2341</v>
      </c>
      <c r="E1017" s="3" t="s">
        <v>130</v>
      </c>
      <c r="F1017" s="4" t="s">
        <v>2276</v>
      </c>
      <c r="G1017" s="3"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3" t="s">
        <v>24</v>
      </c>
      <c r="D1018" s="3" t="s">
        <v>406</v>
      </c>
      <c r="E1018" s="3" t="s">
        <v>130</v>
      </c>
      <c r="F1018" s="4" t="s">
        <v>2276</v>
      </c>
      <c r="G1018" s="3"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8"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3"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3"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3"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3" t="s">
        <v>24</v>
      </c>
      <c r="D1023" s="3" t="s">
        <v>25</v>
      </c>
      <c r="E1023" s="3" t="s">
        <v>130</v>
      </c>
      <c r="F1023" s="4" t="s">
        <v>2662</v>
      </c>
      <c r="G1023" s="3"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3"/>
    </row>
    <row r="1024" spans="1:30" ht="40" customHeight="1">
      <c r="A1024" s="23" t="s">
        <v>3131</v>
      </c>
      <c r="B1024" s="23" t="s">
        <v>3140</v>
      </c>
      <c r="C1024" s="3" t="s">
        <v>24</v>
      </c>
      <c r="D1024" s="3" t="s">
        <v>27</v>
      </c>
      <c r="E1024" s="3" t="s">
        <v>130</v>
      </c>
      <c r="F1024" s="4" t="s">
        <v>161</v>
      </c>
      <c r="G1024" s="3"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3"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3"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3" t="s">
        <v>24</v>
      </c>
      <c r="D1027" s="3" t="s">
        <v>2305</v>
      </c>
      <c r="E1027" s="3" t="s">
        <v>116</v>
      </c>
      <c r="F1027" s="4" t="s">
        <v>2276</v>
      </c>
      <c r="G1027" s="3"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3" t="s">
        <v>24</v>
      </c>
      <c r="D1028" s="3" t="s">
        <v>26</v>
      </c>
      <c r="E1028" s="3" t="s">
        <v>116</v>
      </c>
      <c r="F1028" s="4" t="s">
        <v>2276</v>
      </c>
      <c r="G1028" s="3"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3" t="s">
        <v>24</v>
      </c>
      <c r="D1029" s="3" t="s">
        <v>2341</v>
      </c>
      <c r="E1029" s="3" t="s">
        <v>116</v>
      </c>
      <c r="F1029" s="4" t="s">
        <v>2276</v>
      </c>
      <c r="G1029" s="3"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3" t="s">
        <v>24</v>
      </c>
      <c r="D1030" s="3" t="s">
        <v>406</v>
      </c>
      <c r="E1030" s="3" t="s">
        <v>116</v>
      </c>
      <c r="F1030" s="4" t="s">
        <v>2276</v>
      </c>
      <c r="G1030" s="3"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3"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3"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3"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3"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8" t="s">
        <v>2276</v>
      </c>
      <c r="G1035" s="3"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3"/>
    </row>
    <row r="1036" spans="1:30" ht="40" customHeight="1">
      <c r="A1036" s="23" t="s">
        <v>3131</v>
      </c>
      <c r="B1036" s="23" t="s">
        <v>3189</v>
      </c>
      <c r="C1036" s="3" t="s">
        <v>24</v>
      </c>
      <c r="D1036" s="3" t="s">
        <v>1242</v>
      </c>
      <c r="E1036" s="3" t="s">
        <v>116</v>
      </c>
      <c r="F1036" s="4" t="s">
        <v>2662</v>
      </c>
      <c r="G1036" s="3"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3"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3"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3" t="s">
        <v>24</v>
      </c>
      <c r="D1039" s="3" t="s">
        <v>1245</v>
      </c>
      <c r="E1039" s="3" t="s">
        <v>116</v>
      </c>
      <c r="F1039" s="4" t="s">
        <v>74</v>
      </c>
      <c r="G1039" s="3"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3" t="s">
        <v>24</v>
      </c>
      <c r="D1040" s="3" t="s">
        <v>1245</v>
      </c>
      <c r="E1040" s="3" t="s">
        <v>116</v>
      </c>
      <c r="F1040" s="4" t="s">
        <v>2662</v>
      </c>
      <c r="G1040" s="3"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3" t="s">
        <v>24</v>
      </c>
      <c r="D1041" s="3" t="s">
        <v>2305</v>
      </c>
      <c r="E1041" s="3" t="s">
        <v>116</v>
      </c>
      <c r="F1041" s="4" t="s">
        <v>2276</v>
      </c>
      <c r="G1041" s="3"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3" t="s">
        <v>24</v>
      </c>
      <c r="D1042" s="3" t="s">
        <v>26</v>
      </c>
      <c r="E1042" s="3" t="s">
        <v>116</v>
      </c>
      <c r="F1042" s="4" t="s">
        <v>2276</v>
      </c>
      <c r="G1042" s="3"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3"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3"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3"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3"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3" t="s">
        <v>24</v>
      </c>
      <c r="D1047" s="3" t="s">
        <v>2341</v>
      </c>
      <c r="E1047" s="3" t="s">
        <v>130</v>
      </c>
      <c r="F1047" s="4" t="s">
        <v>2276</v>
      </c>
      <c r="G1047" s="3"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3"/>
    </row>
    <row r="1048" spans="1:30" ht="40" customHeight="1">
      <c r="A1048" s="23" t="s">
        <v>3132</v>
      </c>
      <c r="B1048" s="23" t="s">
        <v>3200</v>
      </c>
      <c r="C1048" s="3" t="s">
        <v>24</v>
      </c>
      <c r="D1048" s="3" t="s">
        <v>406</v>
      </c>
      <c r="E1048" s="3" t="s">
        <v>130</v>
      </c>
      <c r="F1048" s="4" t="s">
        <v>2276</v>
      </c>
      <c r="G1048" s="3"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8" t="s">
        <v>2276</v>
      </c>
      <c r="G1049" s="3"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3"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3" t="s">
        <v>24</v>
      </c>
      <c r="D1051" s="3" t="s">
        <v>1242</v>
      </c>
      <c r="E1051" s="3" t="s">
        <v>130</v>
      </c>
      <c r="F1051" s="4" t="s">
        <v>2662</v>
      </c>
      <c r="G1051" s="3"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3" t="s">
        <v>24</v>
      </c>
      <c r="D1052" s="3" t="s">
        <v>27</v>
      </c>
      <c r="E1052" s="3" t="s">
        <v>130</v>
      </c>
      <c r="F1052" s="4" t="s">
        <v>74</v>
      </c>
      <c r="G1052" s="3"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3" t="s">
        <v>24</v>
      </c>
      <c r="D1053" s="3" t="s">
        <v>27</v>
      </c>
      <c r="E1053" s="3" t="s">
        <v>130</v>
      </c>
      <c r="F1053" s="4" t="s">
        <v>28</v>
      </c>
      <c r="G1053" s="3"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3" t="s">
        <v>24</v>
      </c>
      <c r="D1054" s="3" t="s">
        <v>27</v>
      </c>
      <c r="E1054" s="3" t="s">
        <v>130</v>
      </c>
      <c r="F1054" s="4" t="s">
        <v>74</v>
      </c>
      <c r="G1054" s="3"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3"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3"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3"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3"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3" t="s">
        <v>24</v>
      </c>
      <c r="D1059" s="3" t="s">
        <v>27</v>
      </c>
      <c r="E1059" s="3" t="s">
        <v>130</v>
      </c>
      <c r="F1059" s="4" t="s">
        <v>161</v>
      </c>
      <c r="G1059" s="3"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3"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3"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3"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3" t="s">
        <v>24</v>
      </c>
      <c r="D1063" s="3" t="s">
        <v>27</v>
      </c>
      <c r="E1063" s="3" t="s">
        <v>130</v>
      </c>
      <c r="F1063" s="4" t="s">
        <v>161</v>
      </c>
      <c r="G1063" s="3"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3" t="s">
        <v>24</v>
      </c>
      <c r="D1064" s="3" t="s">
        <v>27</v>
      </c>
      <c r="E1064" s="3" t="s">
        <v>130</v>
      </c>
      <c r="F1064" s="4" t="s">
        <v>161</v>
      </c>
      <c r="G1064" s="3"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3" t="s">
        <v>24</v>
      </c>
      <c r="D1065" s="3" t="s">
        <v>27</v>
      </c>
      <c r="E1065" s="3" t="s">
        <v>130</v>
      </c>
      <c r="F1065" s="4" t="s">
        <v>161</v>
      </c>
      <c r="G1065" s="3"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3" t="s">
        <v>24</v>
      </c>
      <c r="D1066" s="3" t="s">
        <v>27</v>
      </c>
      <c r="E1066" s="3" t="s">
        <v>130</v>
      </c>
      <c r="F1066" s="4" t="s">
        <v>161</v>
      </c>
      <c r="G1066" s="3"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3"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3"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3"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3"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3" t="s">
        <v>24</v>
      </c>
      <c r="D1071" s="3" t="s">
        <v>1245</v>
      </c>
      <c r="E1071" s="3" t="s">
        <v>116</v>
      </c>
      <c r="F1071" s="4" t="s">
        <v>2662</v>
      </c>
      <c r="G1071" s="3" t="s">
        <v>2276</v>
      </c>
      <c r="H1071" s="3" t="s">
        <v>523</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2276</v>
      </c>
      <c r="Y1071" s="21">
        <v>3.5</v>
      </c>
      <c r="Z1071" s="3" t="s">
        <v>405</v>
      </c>
      <c r="AA1071" s="3" t="s">
        <v>425</v>
      </c>
      <c r="AB1071" s="3" t="s">
        <v>76</v>
      </c>
      <c r="AC1071" s="3"/>
      <c r="AD1071" s="3"/>
    </row>
    <row r="1072" spans="1:30" ht="45.5" customHeight="1">
      <c r="A1072" s="23" t="s">
        <v>3297</v>
      </c>
      <c r="B1072" s="23" t="s">
        <v>3308</v>
      </c>
      <c r="C1072" s="3" t="s">
        <v>24</v>
      </c>
      <c r="D1072" s="3" t="s">
        <v>25</v>
      </c>
      <c r="E1072" s="3" t="s">
        <v>5005</v>
      </c>
      <c r="F1072" s="4" t="s">
        <v>55</v>
      </c>
      <c r="G1072" s="3" t="s">
        <v>2276</v>
      </c>
      <c r="H1072" s="3" t="s">
        <v>523</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2276</v>
      </c>
      <c r="Y1072" s="21">
        <v>1</v>
      </c>
      <c r="Z1072" s="3" t="s">
        <v>188</v>
      </c>
      <c r="AA1072" s="3" t="s">
        <v>189</v>
      </c>
      <c r="AB1072" s="3" t="s">
        <v>2655</v>
      </c>
      <c r="AC1072" s="4" t="s">
        <v>3319</v>
      </c>
      <c r="AD1072" s="4" t="s">
        <v>3310</v>
      </c>
    </row>
    <row r="1073" spans="1:30" ht="44" customHeight="1">
      <c r="A1073" s="23" t="s">
        <v>3297</v>
      </c>
      <c r="B1073" s="23" t="s">
        <v>3309</v>
      </c>
      <c r="C1073" s="3" t="s">
        <v>24</v>
      </c>
      <c r="D1073" s="3" t="s">
        <v>25</v>
      </c>
      <c r="E1073" s="3" t="s">
        <v>5005</v>
      </c>
      <c r="F1073" s="4" t="s">
        <v>2662</v>
      </c>
      <c r="G1073" s="3" t="s">
        <v>2276</v>
      </c>
      <c r="H1073" s="3" t="s">
        <v>523</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3" t="s">
        <v>2276</v>
      </c>
      <c r="H1074" s="3" t="s">
        <v>523</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2276</v>
      </c>
      <c r="Y1074" s="21">
        <v>1</v>
      </c>
      <c r="Z1074" s="3" t="s">
        <v>188</v>
      </c>
      <c r="AA1074" s="3" t="s">
        <v>189</v>
      </c>
      <c r="AB1074" s="3" t="s">
        <v>2655</v>
      </c>
      <c r="AC1074" s="4" t="s">
        <v>3319</v>
      </c>
      <c r="AD1074" s="4" t="s">
        <v>3310</v>
      </c>
    </row>
    <row r="1075" spans="1:30" ht="46.5" customHeight="1">
      <c r="A1075" s="23" t="s">
        <v>3302</v>
      </c>
      <c r="B1075" s="23" t="s">
        <v>3312</v>
      </c>
      <c r="C1075" s="3" t="s">
        <v>24</v>
      </c>
      <c r="D1075" s="3" t="s">
        <v>25</v>
      </c>
      <c r="E1075" s="3" t="s">
        <v>5005</v>
      </c>
      <c r="F1075" s="4" t="s">
        <v>2662</v>
      </c>
      <c r="G1075" s="3" t="s">
        <v>2276</v>
      </c>
      <c r="H1075" s="3" t="s">
        <v>523</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2276</v>
      </c>
      <c r="Y1075" s="21">
        <v>1</v>
      </c>
      <c r="Z1075" s="3" t="s">
        <v>188</v>
      </c>
      <c r="AA1075" s="3" t="s">
        <v>189</v>
      </c>
      <c r="AB1075" s="3" t="s">
        <v>2655</v>
      </c>
      <c r="AC1075" s="4" t="s">
        <v>3319</v>
      </c>
      <c r="AD1075" s="4" t="s">
        <v>3310</v>
      </c>
    </row>
    <row r="1076" spans="1:30" ht="49" customHeight="1">
      <c r="A1076" s="23" t="s">
        <v>3303</v>
      </c>
      <c r="B1076" s="23" t="s">
        <v>3313</v>
      </c>
      <c r="C1076" s="3" t="s">
        <v>24</v>
      </c>
      <c r="D1076" s="3" t="s">
        <v>25</v>
      </c>
      <c r="E1076" s="3" t="s">
        <v>5005</v>
      </c>
      <c r="F1076" s="4" t="s">
        <v>55</v>
      </c>
      <c r="G1076" s="3" t="s">
        <v>2276</v>
      </c>
      <c r="H1076" s="3" t="s">
        <v>523</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2276</v>
      </c>
      <c r="Y1076" s="21">
        <v>1</v>
      </c>
      <c r="Z1076" s="3" t="s">
        <v>188</v>
      </c>
      <c r="AA1076" s="3" t="s">
        <v>189</v>
      </c>
      <c r="AB1076" s="3" t="s">
        <v>2655</v>
      </c>
      <c r="AC1076" s="4" t="s">
        <v>3319</v>
      </c>
      <c r="AD1076" s="4" t="s">
        <v>3310</v>
      </c>
    </row>
    <row r="1077" spans="1:30" ht="47" customHeight="1">
      <c r="A1077" s="23" t="s">
        <v>3303</v>
      </c>
      <c r="B1077" s="23" t="s">
        <v>3314</v>
      </c>
      <c r="C1077" s="3" t="s">
        <v>24</v>
      </c>
      <c r="D1077" s="3" t="s">
        <v>25</v>
      </c>
      <c r="E1077" s="3" t="s">
        <v>5005</v>
      </c>
      <c r="F1077" s="4" t="s">
        <v>2662</v>
      </c>
      <c r="G1077" s="3"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3" t="s">
        <v>188</v>
      </c>
      <c r="AA1077" s="3" t="s">
        <v>189</v>
      </c>
      <c r="AB1077" s="3" t="s">
        <v>2655</v>
      </c>
      <c r="AC1077" s="4" t="s">
        <v>3319</v>
      </c>
      <c r="AD1077" s="4" t="s">
        <v>3310</v>
      </c>
    </row>
    <row r="1078" spans="1:30" ht="45.5" customHeight="1">
      <c r="A1078" s="23" t="s">
        <v>3305</v>
      </c>
      <c r="B1078" s="23" t="s">
        <v>3317</v>
      </c>
      <c r="C1078" s="3" t="s">
        <v>24</v>
      </c>
      <c r="D1078" s="3" t="s">
        <v>25</v>
      </c>
      <c r="E1078" s="3" t="s">
        <v>5005</v>
      </c>
      <c r="F1078" s="4" t="s">
        <v>55</v>
      </c>
      <c r="G1078" s="3"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3" t="s">
        <v>2276</v>
      </c>
      <c r="Z1078" s="3" t="s">
        <v>188</v>
      </c>
      <c r="AA1078" s="3" t="s">
        <v>189</v>
      </c>
      <c r="AB1078" s="3" t="s">
        <v>2655</v>
      </c>
      <c r="AC1078" s="4" t="s">
        <v>3318</v>
      </c>
      <c r="AD1078" s="4" t="s">
        <v>3310</v>
      </c>
    </row>
    <row r="1079" spans="1:30" ht="43.5">
      <c r="A1079" s="23" t="s">
        <v>3306</v>
      </c>
      <c r="B1079" s="23" t="s">
        <v>3320</v>
      </c>
      <c r="C1079" s="3" t="s">
        <v>24</v>
      </c>
      <c r="D1079" s="3" t="s">
        <v>25</v>
      </c>
      <c r="E1079" s="3" t="s">
        <v>5005</v>
      </c>
      <c r="F1079" s="4" t="s">
        <v>55</v>
      </c>
      <c r="G1079" s="3"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3" t="s">
        <v>2276</v>
      </c>
      <c r="Z1079" s="3" t="s">
        <v>188</v>
      </c>
      <c r="AA1079" s="3" t="s">
        <v>189</v>
      </c>
      <c r="AB1079" s="3" t="s">
        <v>2655</v>
      </c>
      <c r="AC1079" s="4" t="s">
        <v>3318</v>
      </c>
      <c r="AD1079" s="4" t="s">
        <v>3310</v>
      </c>
    </row>
    <row r="1080" spans="1:30" ht="43.5">
      <c r="A1080" s="23" t="s">
        <v>3307</v>
      </c>
      <c r="B1080" s="23" t="s">
        <v>3321</v>
      </c>
      <c r="C1080" s="3" t="s">
        <v>24</v>
      </c>
      <c r="D1080" s="3" t="s">
        <v>25</v>
      </c>
      <c r="E1080" s="3" t="s">
        <v>5005</v>
      </c>
      <c r="F1080" s="4" t="s">
        <v>55</v>
      </c>
      <c r="G1080" s="3" t="s">
        <v>2276</v>
      </c>
      <c r="H1080" s="3" t="s">
        <v>523</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2276</v>
      </c>
      <c r="X1080" s="3" t="s">
        <v>2276</v>
      </c>
      <c r="Y1080" s="3" t="s">
        <v>2276</v>
      </c>
      <c r="Z1080" s="3" t="s">
        <v>188</v>
      </c>
      <c r="AA1080" s="3" t="s">
        <v>189</v>
      </c>
      <c r="AB1080" s="3" t="s">
        <v>2655</v>
      </c>
      <c r="AC1080" s="4" t="s">
        <v>3318</v>
      </c>
      <c r="AD1080" s="4" t="s">
        <v>3310</v>
      </c>
    </row>
    <row r="1081" spans="1:30" ht="43.5" customHeight="1">
      <c r="A1081" s="23" t="s">
        <v>3297</v>
      </c>
      <c r="B1081" s="23" t="s">
        <v>3322</v>
      </c>
      <c r="C1081" s="3" t="s">
        <v>24</v>
      </c>
      <c r="D1081" s="3" t="s">
        <v>144</v>
      </c>
      <c r="E1081" s="3" t="s">
        <v>137</v>
      </c>
      <c r="F1081" s="4" t="s">
        <v>55</v>
      </c>
      <c r="G1081" s="3" t="s">
        <v>2276</v>
      </c>
      <c r="H1081" s="3" t="s">
        <v>523</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3" t="s">
        <v>2276</v>
      </c>
      <c r="AB1081" s="3" t="s">
        <v>2276</v>
      </c>
      <c r="AC1081" s="4" t="s">
        <v>3328</v>
      </c>
      <c r="AD1081" s="4"/>
    </row>
    <row r="1082" spans="1:30" ht="36" customHeight="1">
      <c r="A1082" s="23" t="s">
        <v>3297</v>
      </c>
      <c r="B1082" s="23" t="s">
        <v>3323</v>
      </c>
      <c r="C1082" s="3" t="s">
        <v>24</v>
      </c>
      <c r="D1082" s="3" t="s">
        <v>144</v>
      </c>
      <c r="E1082" s="3" t="s">
        <v>137</v>
      </c>
      <c r="F1082" s="4" t="s">
        <v>2662</v>
      </c>
      <c r="G1082" s="3" t="s">
        <v>2276</v>
      </c>
      <c r="H1082" s="3" t="s">
        <v>523</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3" t="s">
        <v>2276</v>
      </c>
      <c r="AB1082" s="3" t="s">
        <v>2276</v>
      </c>
      <c r="AC1082" s="4" t="s">
        <v>3328</v>
      </c>
      <c r="AD1082" s="4"/>
    </row>
    <row r="1083" spans="1:30" ht="33.5" customHeight="1">
      <c r="A1083" s="23" t="s">
        <v>3302</v>
      </c>
      <c r="B1083" s="23" t="s">
        <v>3324</v>
      </c>
      <c r="C1083" s="3" t="s">
        <v>24</v>
      </c>
      <c r="D1083" s="3" t="s">
        <v>144</v>
      </c>
      <c r="E1083" s="3" t="s">
        <v>137</v>
      </c>
      <c r="F1083" s="4" t="s">
        <v>55</v>
      </c>
      <c r="G1083" s="3" t="s">
        <v>2276</v>
      </c>
      <c r="H1083" s="3" t="s">
        <v>523</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3" t="s">
        <v>2276</v>
      </c>
      <c r="AB1083" s="3" t="s">
        <v>2276</v>
      </c>
      <c r="AC1083" s="4" t="s">
        <v>3328</v>
      </c>
      <c r="AD1083" s="4"/>
    </row>
    <row r="1084" spans="1:30" ht="35.5" customHeight="1">
      <c r="A1084" s="23" t="s">
        <v>3302</v>
      </c>
      <c r="B1084" s="23" t="s">
        <v>3325</v>
      </c>
      <c r="C1084" s="3" t="s">
        <v>24</v>
      </c>
      <c r="D1084" s="3" t="s">
        <v>144</v>
      </c>
      <c r="E1084" s="3" t="s">
        <v>137</v>
      </c>
      <c r="F1084" s="4" t="s">
        <v>2662</v>
      </c>
      <c r="G1084" s="3" t="s">
        <v>2276</v>
      </c>
      <c r="H1084" s="3" t="s">
        <v>523</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3" t="s">
        <v>2276</v>
      </c>
      <c r="AB1084" s="3" t="s">
        <v>2276</v>
      </c>
      <c r="AC1084" s="4" t="s">
        <v>3328</v>
      </c>
      <c r="AD1084" s="3"/>
    </row>
    <row r="1085" spans="1:30" ht="37" customHeight="1">
      <c r="A1085" s="23" t="s">
        <v>3303</v>
      </c>
      <c r="B1085" s="23" t="s">
        <v>3326</v>
      </c>
      <c r="C1085" s="3" t="s">
        <v>24</v>
      </c>
      <c r="D1085" s="3" t="s">
        <v>144</v>
      </c>
      <c r="E1085" s="3" t="s">
        <v>137</v>
      </c>
      <c r="F1085" s="4" t="s">
        <v>55</v>
      </c>
      <c r="G1085" s="3" t="s">
        <v>2276</v>
      </c>
      <c r="H1085" s="3" t="s">
        <v>523</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3" t="s">
        <v>2276</v>
      </c>
      <c r="H1086" s="3" t="s">
        <v>523</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3" t="s">
        <v>2276</v>
      </c>
      <c r="H1087" s="3" t="s">
        <v>523</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3" t="s">
        <v>2276</v>
      </c>
      <c r="H1088" s="3" t="s">
        <v>523</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3" t="s">
        <v>2276</v>
      </c>
      <c r="AB1088" s="3" t="s">
        <v>2276</v>
      </c>
      <c r="AC1088" s="19" t="s">
        <v>3343</v>
      </c>
      <c r="AD1088" s="3"/>
    </row>
    <row r="1089" spans="1:30" ht="35.5" customHeight="1">
      <c r="A1089" s="23" t="s">
        <v>3315</v>
      </c>
      <c r="B1089" s="23" t="s">
        <v>3342</v>
      </c>
      <c r="C1089" s="3" t="s">
        <v>24</v>
      </c>
      <c r="D1089" s="3" t="s">
        <v>2231</v>
      </c>
      <c r="E1089" s="4" t="s">
        <v>397</v>
      </c>
      <c r="F1089" s="4" t="s">
        <v>55</v>
      </c>
      <c r="G1089" s="3" t="s">
        <v>2276</v>
      </c>
      <c r="H1089" s="3" t="s">
        <v>523</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3" t="s">
        <v>2276</v>
      </c>
      <c r="AB1089" s="3" t="s">
        <v>2276</v>
      </c>
      <c r="AC1089" s="19" t="s">
        <v>3346</v>
      </c>
      <c r="AD1089" s="3"/>
    </row>
    <row r="1090" spans="1:30" ht="38" customHeight="1">
      <c r="A1090" s="23" t="s">
        <v>3315</v>
      </c>
      <c r="B1090" s="23" t="s">
        <v>3344</v>
      </c>
      <c r="C1090" s="3" t="s">
        <v>24</v>
      </c>
      <c r="D1090" s="3" t="s">
        <v>2231</v>
      </c>
      <c r="E1090" s="4" t="s">
        <v>397</v>
      </c>
      <c r="F1090" s="4" t="s">
        <v>161</v>
      </c>
      <c r="G1090" s="3" t="s">
        <v>2276</v>
      </c>
      <c r="H1090" s="3" t="s">
        <v>523</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3" t="s">
        <v>2276</v>
      </c>
      <c r="AB1090" s="3" t="s">
        <v>2276</v>
      </c>
      <c r="AC1090" s="19" t="s">
        <v>3345</v>
      </c>
      <c r="AD1090" s="3"/>
    </row>
    <row r="1091" spans="1:30" ht="36.5" customHeight="1">
      <c r="A1091" s="23" t="s">
        <v>3315</v>
      </c>
      <c r="B1091" s="23" t="s">
        <v>3347</v>
      </c>
      <c r="C1091" s="3" t="s">
        <v>24</v>
      </c>
      <c r="D1091" s="3" t="s">
        <v>2231</v>
      </c>
      <c r="E1091" s="3" t="s">
        <v>45</v>
      </c>
      <c r="F1091" s="4" t="s">
        <v>2276</v>
      </c>
      <c r="G1091" s="3"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3" t="s">
        <v>2276</v>
      </c>
      <c r="Z1091" s="3" t="s">
        <v>2276</v>
      </c>
      <c r="AA1091" s="3" t="s">
        <v>2276</v>
      </c>
      <c r="AB1091" s="3" t="s">
        <v>2276</v>
      </c>
      <c r="AC1091" s="3"/>
      <c r="AD1091" s="3"/>
    </row>
    <row r="1092" spans="1:30" ht="33.5" customHeight="1">
      <c r="A1092" s="23" t="s">
        <v>3315</v>
      </c>
      <c r="B1092" s="23" t="s">
        <v>3348</v>
      </c>
      <c r="C1092" s="3" t="s">
        <v>31</v>
      </c>
      <c r="D1092" s="3" t="s">
        <v>1105</v>
      </c>
      <c r="E1092" s="3" t="s">
        <v>1105</v>
      </c>
      <c r="F1092" s="4" t="s">
        <v>2276</v>
      </c>
      <c r="G1092" s="3" t="s">
        <v>2276</v>
      </c>
      <c r="H1092" s="3" t="s">
        <v>523</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t="s">
        <v>2276</v>
      </c>
      <c r="AB1092" s="3" t="s">
        <v>2276</v>
      </c>
      <c r="AC1092" s="3"/>
      <c r="AD1092" s="3"/>
    </row>
    <row r="1093" spans="1:30" ht="40.5" customHeight="1">
      <c r="A1093" s="23" t="s">
        <v>3315</v>
      </c>
      <c r="B1093" s="23" t="s">
        <v>3349</v>
      </c>
      <c r="C1093" s="3" t="s">
        <v>24</v>
      </c>
      <c r="D1093" s="3" t="s">
        <v>1245</v>
      </c>
      <c r="E1093" s="3" t="s">
        <v>116</v>
      </c>
      <c r="F1093" s="4" t="s">
        <v>55</v>
      </c>
      <c r="G1093" s="3" t="s">
        <v>2276</v>
      </c>
      <c r="H1093" s="3" t="s">
        <v>523</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2276</v>
      </c>
      <c r="AB1093" s="3" t="s">
        <v>2276</v>
      </c>
      <c r="AC1093" s="3" t="s">
        <v>3350</v>
      </c>
      <c r="AD1093" s="3"/>
    </row>
    <row r="1094" spans="1:30" ht="35" customHeight="1">
      <c r="A1094" s="3" t="s">
        <v>3352</v>
      </c>
      <c r="B1094" s="23" t="s">
        <v>3355</v>
      </c>
      <c r="C1094" s="3" t="s">
        <v>24</v>
      </c>
      <c r="D1094" s="3" t="s">
        <v>2305</v>
      </c>
      <c r="E1094" s="3" t="s">
        <v>116</v>
      </c>
      <c r="F1094" s="4" t="s">
        <v>55</v>
      </c>
      <c r="G1094" s="3" t="s">
        <v>2276</v>
      </c>
      <c r="H1094" s="3" t="s">
        <v>523</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2276</v>
      </c>
      <c r="U1094" s="3" t="s">
        <v>2276</v>
      </c>
      <c r="V1094" s="3" t="s">
        <v>2276</v>
      </c>
      <c r="W1094" s="3" t="s">
        <v>2276</v>
      </c>
      <c r="X1094" s="3" t="s">
        <v>2276</v>
      </c>
      <c r="Y1094" s="3" t="s">
        <v>2276</v>
      </c>
      <c r="Z1094" s="3" t="s">
        <v>425</v>
      </c>
      <c r="AA1094" s="3" t="s">
        <v>127</v>
      </c>
      <c r="AB1094" s="3" t="s">
        <v>64</v>
      </c>
      <c r="AC1094" s="3"/>
      <c r="AD1094" s="4" t="s">
        <v>3359</v>
      </c>
    </row>
    <row r="1095" spans="1:30" ht="36" customHeight="1">
      <c r="A1095" s="3" t="s">
        <v>3352</v>
      </c>
      <c r="B1095" s="23" t="s">
        <v>3356</v>
      </c>
      <c r="C1095" s="3" t="s">
        <v>24</v>
      </c>
      <c r="D1095" s="3" t="s">
        <v>2231</v>
      </c>
      <c r="E1095" s="4" t="s">
        <v>397</v>
      </c>
      <c r="F1095" s="4" t="s">
        <v>55</v>
      </c>
      <c r="G1095" s="3" t="s">
        <v>2276</v>
      </c>
      <c r="H1095" s="3" t="s">
        <v>523</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2276</v>
      </c>
      <c r="U1095" s="3" t="s">
        <v>2276</v>
      </c>
      <c r="V1095" s="3" t="s">
        <v>2276</v>
      </c>
      <c r="W1095" s="3" t="s">
        <v>2276</v>
      </c>
      <c r="X1095" s="3" t="s">
        <v>2276</v>
      </c>
      <c r="Y1095" s="3" t="s">
        <v>2276</v>
      </c>
      <c r="Z1095" s="3" t="s">
        <v>425</v>
      </c>
      <c r="AA1095" s="3" t="s">
        <v>127</v>
      </c>
      <c r="AB1095" s="3" t="s">
        <v>64</v>
      </c>
      <c r="AC1095" s="3"/>
      <c r="AD1095" s="4" t="s">
        <v>3359</v>
      </c>
    </row>
    <row r="1096" spans="1:30" ht="32.5" customHeight="1">
      <c r="A1096" s="3" t="s">
        <v>3352</v>
      </c>
      <c r="B1096" s="23" t="s">
        <v>3357</v>
      </c>
      <c r="C1096" s="3" t="s">
        <v>31</v>
      </c>
      <c r="D1096" s="3" t="s">
        <v>1105</v>
      </c>
      <c r="E1096" s="3" t="s">
        <v>1105</v>
      </c>
      <c r="F1096" s="4" t="s">
        <v>2276</v>
      </c>
      <c r="G1096" s="3" t="s">
        <v>2276</v>
      </c>
      <c r="H1096" s="3" t="s">
        <v>523</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2276</v>
      </c>
      <c r="U1096" s="3" t="s">
        <v>2276</v>
      </c>
      <c r="V1096" s="3" t="s">
        <v>2276</v>
      </c>
      <c r="W1096" s="3" t="s">
        <v>2276</v>
      </c>
      <c r="X1096" s="3" t="s">
        <v>2276</v>
      </c>
      <c r="Y1096" s="3" t="s">
        <v>2276</v>
      </c>
      <c r="Z1096" s="3" t="s">
        <v>425</v>
      </c>
      <c r="AA1096" s="3" t="s">
        <v>127</v>
      </c>
      <c r="AB1096" s="3" t="s">
        <v>64</v>
      </c>
      <c r="AC1096" s="3"/>
      <c r="AD1096" s="4" t="s">
        <v>3359</v>
      </c>
    </row>
    <row r="1097" spans="1:30" ht="29" customHeight="1">
      <c r="A1097" s="3" t="s">
        <v>3352</v>
      </c>
      <c r="B1097" s="23" t="s">
        <v>3358</v>
      </c>
      <c r="C1097" s="3" t="s">
        <v>24</v>
      </c>
      <c r="D1097" s="3" t="s">
        <v>1245</v>
      </c>
      <c r="E1097" s="3" t="s">
        <v>116</v>
      </c>
      <c r="F1097" s="4" t="s">
        <v>55</v>
      </c>
      <c r="G1097" s="3" t="s">
        <v>2276</v>
      </c>
      <c r="H1097" s="3" t="s">
        <v>523</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2276</v>
      </c>
      <c r="U1097" s="3" t="s">
        <v>2276</v>
      </c>
      <c r="V1097" s="3" t="s">
        <v>2276</v>
      </c>
      <c r="W1097" s="3" t="s">
        <v>2276</v>
      </c>
      <c r="X1097" s="3" t="s">
        <v>2276</v>
      </c>
      <c r="Y1097" s="3" t="s">
        <v>2276</v>
      </c>
      <c r="Z1097" s="3" t="s">
        <v>425</v>
      </c>
      <c r="AA1097" s="3" t="s">
        <v>127</v>
      </c>
      <c r="AB1097" s="3" t="s">
        <v>64</v>
      </c>
      <c r="AC1097" s="3"/>
      <c r="AD1097" s="4" t="s">
        <v>3359</v>
      </c>
    </row>
    <row r="1098" spans="1:30" ht="29">
      <c r="A1098" s="3" t="s">
        <v>3352</v>
      </c>
      <c r="B1098" s="23" t="s">
        <v>6089</v>
      </c>
      <c r="C1098" s="3" t="s">
        <v>24</v>
      </c>
      <c r="D1098" s="3" t="s">
        <v>2305</v>
      </c>
      <c r="E1098" s="3" t="s">
        <v>116</v>
      </c>
      <c r="F1098" s="4" t="s">
        <v>55</v>
      </c>
      <c r="G1098" s="3" t="s">
        <v>2276</v>
      </c>
      <c r="H1098" s="3" t="s">
        <v>523</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2276</v>
      </c>
      <c r="U1098" s="3" t="s">
        <v>2276</v>
      </c>
      <c r="V1098" s="3" t="s">
        <v>2276</v>
      </c>
      <c r="W1098" s="3" t="s">
        <v>2276</v>
      </c>
      <c r="X1098" s="3" t="s">
        <v>2276</v>
      </c>
      <c r="Y1098" s="3" t="s">
        <v>2276</v>
      </c>
      <c r="Z1098" s="3" t="s">
        <v>425</v>
      </c>
      <c r="AA1098" s="3" t="s">
        <v>127</v>
      </c>
      <c r="AB1098" s="3" t="s">
        <v>64</v>
      </c>
      <c r="AC1098" s="3"/>
      <c r="AD1098" s="4" t="s">
        <v>3359</v>
      </c>
    </row>
    <row r="1099" spans="1:30" ht="29">
      <c r="A1099" s="3" t="s">
        <v>3352</v>
      </c>
      <c r="B1099" s="23" t="s">
        <v>6090</v>
      </c>
      <c r="C1099" s="3" t="s">
        <v>24</v>
      </c>
      <c r="D1099" s="3" t="s">
        <v>2231</v>
      </c>
      <c r="E1099" s="4" t="s">
        <v>397</v>
      </c>
      <c r="F1099" s="4" t="s">
        <v>55</v>
      </c>
      <c r="G1099" s="3" t="s">
        <v>2276</v>
      </c>
      <c r="H1099" s="3" t="s">
        <v>523</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2276</v>
      </c>
      <c r="U1099" s="3" t="s">
        <v>2276</v>
      </c>
      <c r="V1099" s="3" t="s">
        <v>2276</v>
      </c>
      <c r="W1099" s="3" t="s">
        <v>2276</v>
      </c>
      <c r="X1099" s="3" t="s">
        <v>2276</v>
      </c>
      <c r="Y1099" s="3" t="s">
        <v>2276</v>
      </c>
      <c r="Z1099" s="3" t="s">
        <v>425</v>
      </c>
      <c r="AA1099" s="3" t="s">
        <v>127</v>
      </c>
      <c r="AB1099" s="3" t="s">
        <v>64</v>
      </c>
      <c r="AC1099" s="3"/>
      <c r="AD1099" s="4" t="s">
        <v>3359</v>
      </c>
    </row>
    <row r="1100" spans="1:30" ht="29">
      <c r="A1100" s="3" t="s">
        <v>3352</v>
      </c>
      <c r="B1100" s="23" t="s">
        <v>6091</v>
      </c>
      <c r="C1100" s="3" t="s">
        <v>31</v>
      </c>
      <c r="D1100" s="3" t="s">
        <v>1105</v>
      </c>
      <c r="E1100" s="3" t="s">
        <v>1105</v>
      </c>
      <c r="F1100" s="4" t="s">
        <v>2276</v>
      </c>
      <c r="G1100" s="3" t="s">
        <v>2276</v>
      </c>
      <c r="H1100" s="3" t="s">
        <v>523</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2276</v>
      </c>
      <c r="U1100" s="3" t="s">
        <v>2276</v>
      </c>
      <c r="V1100" s="3" t="s">
        <v>2276</v>
      </c>
      <c r="W1100" s="3" t="s">
        <v>2276</v>
      </c>
      <c r="X1100" s="3" t="s">
        <v>2276</v>
      </c>
      <c r="Y1100" s="3" t="s">
        <v>2276</v>
      </c>
      <c r="Z1100" s="3" t="s">
        <v>425</v>
      </c>
      <c r="AA1100" s="3" t="s">
        <v>127</v>
      </c>
      <c r="AB1100" s="3" t="s">
        <v>64</v>
      </c>
      <c r="AC1100" s="3"/>
      <c r="AD1100" s="4" t="s">
        <v>3359</v>
      </c>
    </row>
    <row r="1101" spans="1:30" ht="29">
      <c r="A1101" s="3" t="s">
        <v>3352</v>
      </c>
      <c r="B1101" s="23" t="s">
        <v>6092</v>
      </c>
      <c r="C1101" s="3" t="s">
        <v>24</v>
      </c>
      <c r="D1101" s="3" t="s">
        <v>1245</v>
      </c>
      <c r="E1101" s="3" t="s">
        <v>116</v>
      </c>
      <c r="F1101" s="4" t="s">
        <v>55</v>
      </c>
      <c r="G1101" s="3" t="s">
        <v>2276</v>
      </c>
      <c r="H1101" s="3" t="s">
        <v>523</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2276</v>
      </c>
      <c r="U1101" s="3" t="s">
        <v>2276</v>
      </c>
      <c r="V1101" s="3" t="s">
        <v>2276</v>
      </c>
      <c r="W1101" s="3" t="s">
        <v>2276</v>
      </c>
      <c r="X1101" s="3" t="s">
        <v>2276</v>
      </c>
      <c r="Y1101" s="3" t="s">
        <v>2276</v>
      </c>
      <c r="Z1101" s="3" t="s">
        <v>425</v>
      </c>
      <c r="AA1101" s="3" t="s">
        <v>127</v>
      </c>
      <c r="AB1101" s="3" t="s">
        <v>64</v>
      </c>
      <c r="AC1101" s="3"/>
      <c r="AD1101" s="4" t="s">
        <v>3359</v>
      </c>
    </row>
    <row r="1102" spans="1:30" ht="29">
      <c r="A1102" s="3" t="s">
        <v>3352</v>
      </c>
      <c r="B1102" s="23" t="s">
        <v>6093</v>
      </c>
      <c r="C1102" s="3" t="s">
        <v>24</v>
      </c>
      <c r="D1102" s="3" t="s">
        <v>2305</v>
      </c>
      <c r="E1102" s="3" t="s">
        <v>116</v>
      </c>
      <c r="F1102" s="4" t="s">
        <v>55</v>
      </c>
      <c r="G1102" s="3" t="s">
        <v>2276</v>
      </c>
      <c r="H1102" s="3" t="s">
        <v>523</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2276</v>
      </c>
      <c r="U1102" s="3" t="s">
        <v>2276</v>
      </c>
      <c r="V1102" s="3" t="s">
        <v>2276</v>
      </c>
      <c r="W1102" s="3" t="s">
        <v>2276</v>
      </c>
      <c r="X1102" s="3" t="s">
        <v>2276</v>
      </c>
      <c r="Y1102" s="3" t="s">
        <v>2276</v>
      </c>
      <c r="Z1102" s="3" t="s">
        <v>425</v>
      </c>
      <c r="AA1102" s="3" t="s">
        <v>127</v>
      </c>
      <c r="AB1102" s="3" t="s">
        <v>64</v>
      </c>
      <c r="AC1102" s="3"/>
      <c r="AD1102" s="4" t="s">
        <v>3359</v>
      </c>
    </row>
    <row r="1103" spans="1:30" ht="29">
      <c r="A1103" s="3" t="s">
        <v>3352</v>
      </c>
      <c r="B1103" s="23" t="s">
        <v>6094</v>
      </c>
      <c r="C1103" s="3" t="s">
        <v>24</v>
      </c>
      <c r="D1103" s="3" t="s">
        <v>2231</v>
      </c>
      <c r="E1103" s="4" t="s">
        <v>397</v>
      </c>
      <c r="F1103" s="4" t="s">
        <v>55</v>
      </c>
      <c r="G1103" s="3" t="s">
        <v>2276</v>
      </c>
      <c r="H1103" s="3" t="s">
        <v>523</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2276</v>
      </c>
      <c r="U1103" s="3" t="s">
        <v>2276</v>
      </c>
      <c r="V1103" s="3" t="s">
        <v>2276</v>
      </c>
      <c r="W1103" s="3" t="s">
        <v>2276</v>
      </c>
      <c r="X1103" s="3" t="s">
        <v>2276</v>
      </c>
      <c r="Y1103" s="3" t="s">
        <v>2276</v>
      </c>
      <c r="Z1103" s="3" t="s">
        <v>425</v>
      </c>
      <c r="AA1103" s="3" t="s">
        <v>127</v>
      </c>
      <c r="AB1103" s="3" t="s">
        <v>64</v>
      </c>
      <c r="AC1103" s="3"/>
      <c r="AD1103" s="4" t="s">
        <v>3359</v>
      </c>
    </row>
    <row r="1104" spans="1:30" ht="29">
      <c r="A1104" s="3" t="s">
        <v>3352</v>
      </c>
      <c r="B1104" s="23" t="s">
        <v>6095</v>
      </c>
      <c r="C1104" s="3" t="s">
        <v>31</v>
      </c>
      <c r="D1104" s="3" t="s">
        <v>1105</v>
      </c>
      <c r="E1104" s="3" t="s">
        <v>1105</v>
      </c>
      <c r="F1104" s="4" t="s">
        <v>2276</v>
      </c>
      <c r="G1104" s="3" t="s">
        <v>2276</v>
      </c>
      <c r="H1104" s="3" t="s">
        <v>523</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2276</v>
      </c>
      <c r="U1104" s="3" t="s">
        <v>2276</v>
      </c>
      <c r="V1104" s="3" t="s">
        <v>2276</v>
      </c>
      <c r="W1104" s="3" t="s">
        <v>2276</v>
      </c>
      <c r="X1104" s="3" t="s">
        <v>2276</v>
      </c>
      <c r="Y1104" s="3" t="s">
        <v>2276</v>
      </c>
      <c r="Z1104" s="3" t="s">
        <v>425</v>
      </c>
      <c r="AA1104" s="3" t="s">
        <v>127</v>
      </c>
      <c r="AB1104" s="3" t="s">
        <v>64</v>
      </c>
      <c r="AC1104" s="3"/>
      <c r="AD1104" s="4" t="s">
        <v>3359</v>
      </c>
    </row>
    <row r="1105" spans="1:30" ht="29">
      <c r="A1105" s="3" t="s">
        <v>3352</v>
      </c>
      <c r="B1105" s="23" t="s">
        <v>6096</v>
      </c>
      <c r="C1105" s="3" t="s">
        <v>24</v>
      </c>
      <c r="D1105" s="3" t="s">
        <v>1245</v>
      </c>
      <c r="E1105" s="3" t="s">
        <v>116</v>
      </c>
      <c r="F1105" s="4" t="s">
        <v>55</v>
      </c>
      <c r="G1105" s="3" t="s">
        <v>2276</v>
      </c>
      <c r="H1105" s="3" t="s">
        <v>523</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2276</v>
      </c>
      <c r="U1105" s="3" t="s">
        <v>2276</v>
      </c>
      <c r="V1105" s="3" t="s">
        <v>2276</v>
      </c>
      <c r="W1105" s="3" t="s">
        <v>2276</v>
      </c>
      <c r="X1105" s="3" t="s">
        <v>2276</v>
      </c>
      <c r="Y1105" s="3" t="s">
        <v>2276</v>
      </c>
      <c r="Z1105" s="3" t="s">
        <v>425</v>
      </c>
      <c r="AA1105" s="3" t="s">
        <v>127</v>
      </c>
      <c r="AB1105" s="3" t="s">
        <v>64</v>
      </c>
      <c r="AC1105" s="3"/>
      <c r="AD1105" s="4" t="s">
        <v>3359</v>
      </c>
    </row>
    <row r="1106" spans="1:30" ht="29">
      <c r="A1106" s="3" t="s">
        <v>3352</v>
      </c>
      <c r="B1106" s="23" t="s">
        <v>6097</v>
      </c>
      <c r="C1106" s="3" t="s">
        <v>24</v>
      </c>
      <c r="D1106" s="3" t="s">
        <v>2305</v>
      </c>
      <c r="E1106" s="3" t="s">
        <v>116</v>
      </c>
      <c r="F1106" s="4" t="s">
        <v>55</v>
      </c>
      <c r="G1106" s="3" t="s">
        <v>2276</v>
      </c>
      <c r="H1106" s="3" t="s">
        <v>523</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2276</v>
      </c>
      <c r="U1106" s="3" t="s">
        <v>2276</v>
      </c>
      <c r="V1106" s="3" t="s">
        <v>2276</v>
      </c>
      <c r="W1106" s="3" t="s">
        <v>2276</v>
      </c>
      <c r="X1106" s="3" t="s">
        <v>2276</v>
      </c>
      <c r="Y1106" s="3" t="s">
        <v>2276</v>
      </c>
      <c r="Z1106" s="3" t="s">
        <v>425</v>
      </c>
      <c r="AA1106" s="3" t="s">
        <v>127</v>
      </c>
      <c r="AB1106" s="3" t="s">
        <v>64</v>
      </c>
      <c r="AC1106" s="3"/>
      <c r="AD1106" s="4" t="s">
        <v>3359</v>
      </c>
    </row>
    <row r="1107" spans="1:30" ht="29">
      <c r="A1107" s="3" t="s">
        <v>3352</v>
      </c>
      <c r="B1107" s="23" t="s">
        <v>6098</v>
      </c>
      <c r="C1107" s="3" t="s">
        <v>24</v>
      </c>
      <c r="D1107" s="3" t="s">
        <v>2231</v>
      </c>
      <c r="E1107" s="4" t="s">
        <v>397</v>
      </c>
      <c r="F1107" s="4" t="s">
        <v>55</v>
      </c>
      <c r="G1107" s="3" t="s">
        <v>2276</v>
      </c>
      <c r="H1107" s="3" t="s">
        <v>523</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2276</v>
      </c>
      <c r="U1107" s="3" t="s">
        <v>2276</v>
      </c>
      <c r="V1107" s="3" t="s">
        <v>2276</v>
      </c>
      <c r="W1107" s="3" t="s">
        <v>2276</v>
      </c>
      <c r="X1107" s="3" t="s">
        <v>2276</v>
      </c>
      <c r="Y1107" s="3" t="s">
        <v>2276</v>
      </c>
      <c r="Z1107" s="3" t="s">
        <v>425</v>
      </c>
      <c r="AA1107" s="3" t="s">
        <v>127</v>
      </c>
      <c r="AB1107" s="3" t="s">
        <v>64</v>
      </c>
      <c r="AC1107" s="3"/>
      <c r="AD1107" s="4" t="s">
        <v>3359</v>
      </c>
    </row>
    <row r="1108" spans="1:30" ht="29">
      <c r="A1108" s="3" t="s">
        <v>3352</v>
      </c>
      <c r="B1108" s="23" t="s">
        <v>6099</v>
      </c>
      <c r="C1108" s="3" t="s">
        <v>31</v>
      </c>
      <c r="D1108" s="3" t="s">
        <v>1105</v>
      </c>
      <c r="E1108" s="3" t="s">
        <v>1105</v>
      </c>
      <c r="F1108" s="4" t="s">
        <v>2276</v>
      </c>
      <c r="G1108" s="3" t="s">
        <v>2276</v>
      </c>
      <c r="H1108" s="3" t="s">
        <v>523</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2276</v>
      </c>
      <c r="U1108" s="3" t="s">
        <v>2276</v>
      </c>
      <c r="V1108" s="3" t="s">
        <v>2276</v>
      </c>
      <c r="W1108" s="3" t="s">
        <v>2276</v>
      </c>
      <c r="X1108" s="3" t="s">
        <v>2276</v>
      </c>
      <c r="Y1108" s="3" t="s">
        <v>2276</v>
      </c>
      <c r="Z1108" s="3" t="s">
        <v>425</v>
      </c>
      <c r="AA1108" s="3" t="s">
        <v>127</v>
      </c>
      <c r="AB1108" s="3" t="s">
        <v>64</v>
      </c>
      <c r="AC1108" s="3"/>
      <c r="AD1108" s="4" t="s">
        <v>3359</v>
      </c>
    </row>
    <row r="1109" spans="1:30" ht="29">
      <c r="A1109" s="3" t="s">
        <v>3352</v>
      </c>
      <c r="B1109" s="23" t="s">
        <v>6100</v>
      </c>
      <c r="C1109" s="3" t="s">
        <v>24</v>
      </c>
      <c r="D1109" s="3" t="s">
        <v>1245</v>
      </c>
      <c r="E1109" s="3" t="s">
        <v>116</v>
      </c>
      <c r="F1109" s="4" t="s">
        <v>55</v>
      </c>
      <c r="G1109" s="3" t="s">
        <v>2276</v>
      </c>
      <c r="H1109" s="3" t="s">
        <v>523</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2276</v>
      </c>
      <c r="U1109" s="3" t="s">
        <v>2276</v>
      </c>
      <c r="V1109" s="3" t="s">
        <v>2276</v>
      </c>
      <c r="W1109" s="3" t="s">
        <v>2276</v>
      </c>
      <c r="X1109" s="3" t="s">
        <v>2276</v>
      </c>
      <c r="Y1109" s="3" t="s">
        <v>2276</v>
      </c>
      <c r="Z1109" s="3" t="s">
        <v>425</v>
      </c>
      <c r="AA1109" s="3" t="s">
        <v>127</v>
      </c>
      <c r="AB1109" s="3" t="s">
        <v>64</v>
      </c>
      <c r="AC1109" s="3"/>
      <c r="AD1109" s="4" t="s">
        <v>3359</v>
      </c>
    </row>
    <row r="1110" spans="1:30" ht="82.5" customHeight="1">
      <c r="A1110" s="11" t="s">
        <v>3364</v>
      </c>
      <c r="B1110" s="23" t="s">
        <v>3366</v>
      </c>
      <c r="C1110" s="3" t="s">
        <v>24</v>
      </c>
      <c r="D1110" s="3" t="s">
        <v>144</v>
      </c>
      <c r="E1110" s="3" t="s">
        <v>137</v>
      </c>
      <c r="F1110" s="4" t="s">
        <v>2662</v>
      </c>
      <c r="G1110" s="3" t="s">
        <v>2276</v>
      </c>
      <c r="H1110" s="3" t="s">
        <v>523</v>
      </c>
      <c r="I1110" s="3"/>
      <c r="J1110" s="3" t="s">
        <v>2276</v>
      </c>
      <c r="K1110" s="3" t="s">
        <v>2276</v>
      </c>
      <c r="L1110" s="3" t="s">
        <v>2276</v>
      </c>
      <c r="M1110" s="3" t="s">
        <v>2276</v>
      </c>
      <c r="N1110" s="3" t="s">
        <v>2276</v>
      </c>
      <c r="O1110" s="3" t="s">
        <v>2276</v>
      </c>
      <c r="P1110" s="3" t="s">
        <v>2276</v>
      </c>
      <c r="Q1110" s="3" t="s">
        <v>2276</v>
      </c>
      <c r="R1110" s="3" t="s">
        <v>2276</v>
      </c>
      <c r="S1110" s="3" t="s">
        <v>2276</v>
      </c>
      <c r="T1110" s="3" t="s">
        <v>2276</v>
      </c>
      <c r="U1110" s="3" t="s">
        <v>2276</v>
      </c>
      <c r="V1110" s="3" t="s">
        <v>2276</v>
      </c>
      <c r="W1110" s="3" t="s">
        <v>2276</v>
      </c>
      <c r="X1110" s="21">
        <v>85</v>
      </c>
      <c r="Y1110" s="3" t="s">
        <v>2276</v>
      </c>
      <c r="Z1110" s="3" t="s">
        <v>35</v>
      </c>
      <c r="AA1110" s="3" t="s">
        <v>188</v>
      </c>
      <c r="AB1110" s="3" t="s">
        <v>64</v>
      </c>
      <c r="AC1110" s="4"/>
      <c r="AD1110" s="4" t="s">
        <v>3367</v>
      </c>
    </row>
    <row r="1111" spans="1:30" ht="96.5" customHeight="1">
      <c r="A1111" s="11" t="s">
        <v>3370</v>
      </c>
      <c r="B1111" s="3" t="s">
        <v>3374</v>
      </c>
      <c r="C1111" s="3" t="s">
        <v>24</v>
      </c>
      <c r="D1111" s="3" t="s">
        <v>25</v>
      </c>
      <c r="E1111" s="3" t="s">
        <v>5005</v>
      </c>
      <c r="F1111" s="4" t="s">
        <v>2662</v>
      </c>
      <c r="G1111" s="3"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3" t="s">
        <v>2276</v>
      </c>
      <c r="Z1111" s="3" t="s">
        <v>2276</v>
      </c>
      <c r="AA1111" s="3" t="s">
        <v>2276</v>
      </c>
      <c r="AB1111" s="3" t="s">
        <v>2276</v>
      </c>
      <c r="AC1111" s="4" t="s">
        <v>3376</v>
      </c>
      <c r="AD1111" s="3"/>
    </row>
    <row r="1112" spans="1:30" ht="92.5" customHeight="1">
      <c r="A1112" s="11" t="s">
        <v>3371</v>
      </c>
      <c r="B1112" s="3" t="s">
        <v>3375</v>
      </c>
      <c r="C1112" s="3" t="s">
        <v>24</v>
      </c>
      <c r="D1112" s="3" t="s">
        <v>25</v>
      </c>
      <c r="E1112" s="3" t="s">
        <v>5005</v>
      </c>
      <c r="F1112" s="4" t="s">
        <v>2662</v>
      </c>
      <c r="G1112" s="3"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3" t="s">
        <v>2276</v>
      </c>
      <c r="Z1112" s="3" t="s">
        <v>2276</v>
      </c>
      <c r="AA1112" s="3" t="s">
        <v>2276</v>
      </c>
      <c r="AB1112" s="3" t="s">
        <v>2276</v>
      </c>
      <c r="AC1112" s="4" t="s">
        <v>3376</v>
      </c>
      <c r="AD1112" s="3"/>
    </row>
    <row r="1113" spans="1:30" ht="52" customHeight="1">
      <c r="A1113" s="11" t="s">
        <v>3378</v>
      </c>
      <c r="B1113" s="11" t="s">
        <v>3389</v>
      </c>
      <c r="C1113" s="3" t="s">
        <v>24</v>
      </c>
      <c r="D1113" s="3" t="s">
        <v>2804</v>
      </c>
      <c r="E1113" s="3" t="s">
        <v>5005</v>
      </c>
      <c r="F1113" s="4" t="s">
        <v>2662</v>
      </c>
      <c r="G1113" s="3" t="s">
        <v>2276</v>
      </c>
      <c r="H1113" s="3" t="s">
        <v>523</v>
      </c>
      <c r="I1113" s="3">
        <v>1968</v>
      </c>
      <c r="J1113" s="3" t="s">
        <v>2276</v>
      </c>
      <c r="K1113" s="3" t="s">
        <v>2276</v>
      </c>
      <c r="L1113" s="3" t="s">
        <v>2276</v>
      </c>
      <c r="M1113" s="3" t="s">
        <v>2276</v>
      </c>
      <c r="N1113" s="3" t="s">
        <v>2276</v>
      </c>
      <c r="O1113" s="3" t="s">
        <v>2276</v>
      </c>
      <c r="P1113" s="3" t="s">
        <v>2276</v>
      </c>
      <c r="Q1113" s="3" t="s">
        <v>2276</v>
      </c>
      <c r="R1113" s="3" t="s">
        <v>2276</v>
      </c>
      <c r="S1113" s="3" t="s">
        <v>2276</v>
      </c>
      <c r="T1113" s="3" t="s">
        <v>2276</v>
      </c>
      <c r="U1113" s="3" t="s">
        <v>2276</v>
      </c>
      <c r="V1113" s="3" t="s">
        <v>2276</v>
      </c>
      <c r="W1113" s="3" t="s">
        <v>2276</v>
      </c>
      <c r="X1113" s="3" t="s">
        <v>2276</v>
      </c>
      <c r="Y1113" s="3" t="s">
        <v>2276</v>
      </c>
      <c r="Z1113" s="3" t="s">
        <v>127</v>
      </c>
      <c r="AA1113" s="3" t="s">
        <v>188</v>
      </c>
      <c r="AB1113" s="3" t="s">
        <v>64</v>
      </c>
      <c r="AC1113" s="4" t="s">
        <v>3398</v>
      </c>
      <c r="AD1113" s="4" t="s">
        <v>3399</v>
      </c>
    </row>
    <row r="1114" spans="1:30" ht="56" customHeight="1">
      <c r="A1114" s="11" t="s">
        <v>3379</v>
      </c>
      <c r="B1114" s="11" t="s">
        <v>3390</v>
      </c>
      <c r="C1114" s="3" t="s">
        <v>24</v>
      </c>
      <c r="D1114" s="3" t="s">
        <v>2804</v>
      </c>
      <c r="E1114" s="3" t="s">
        <v>5005</v>
      </c>
      <c r="F1114" s="4" t="s">
        <v>2662</v>
      </c>
      <c r="G1114" s="3" t="s">
        <v>2276</v>
      </c>
      <c r="H1114" s="3" t="s">
        <v>523</v>
      </c>
      <c r="I1114" s="3">
        <v>1968</v>
      </c>
      <c r="J1114" s="3" t="s">
        <v>2276</v>
      </c>
      <c r="K1114" s="3" t="s">
        <v>2276</v>
      </c>
      <c r="L1114" s="3" t="s">
        <v>2276</v>
      </c>
      <c r="M1114" s="3" t="s">
        <v>2276</v>
      </c>
      <c r="N1114" s="3" t="s">
        <v>2276</v>
      </c>
      <c r="O1114" s="3" t="s">
        <v>2276</v>
      </c>
      <c r="P1114" s="3" t="s">
        <v>2276</v>
      </c>
      <c r="Q1114" s="3" t="s">
        <v>2276</v>
      </c>
      <c r="R1114" s="3" t="s">
        <v>2276</v>
      </c>
      <c r="S1114" s="3" t="s">
        <v>2276</v>
      </c>
      <c r="T1114" s="3" t="s">
        <v>2276</v>
      </c>
      <c r="U1114" s="3" t="s">
        <v>2276</v>
      </c>
      <c r="V1114" s="3" t="s">
        <v>2276</v>
      </c>
      <c r="W1114" s="3" t="s">
        <v>2276</v>
      </c>
      <c r="X1114" s="3" t="s">
        <v>2276</v>
      </c>
      <c r="Y1114" s="3" t="s">
        <v>2276</v>
      </c>
      <c r="Z1114" s="3" t="s">
        <v>127</v>
      </c>
      <c r="AA1114" s="3" t="s">
        <v>188</v>
      </c>
      <c r="AB1114" s="3" t="s">
        <v>64</v>
      </c>
      <c r="AC1114" s="4" t="s">
        <v>3398</v>
      </c>
      <c r="AD1114" s="4" t="s">
        <v>3399</v>
      </c>
    </row>
    <row r="1115" spans="1:30" ht="63.5" customHeight="1">
      <c r="A1115" s="11" t="s">
        <v>3383</v>
      </c>
      <c r="B1115" s="11" t="s">
        <v>3391</v>
      </c>
      <c r="C1115" s="3" t="s">
        <v>24</v>
      </c>
      <c r="D1115" s="3" t="s">
        <v>2804</v>
      </c>
      <c r="E1115" s="3" t="s">
        <v>5005</v>
      </c>
      <c r="F1115" s="4" t="s">
        <v>2662</v>
      </c>
      <c r="G1115" s="3" t="s">
        <v>2276</v>
      </c>
      <c r="H1115" s="3" t="s">
        <v>523</v>
      </c>
      <c r="I1115" s="3">
        <v>1968</v>
      </c>
      <c r="J1115" s="3" t="s">
        <v>2276</v>
      </c>
      <c r="K1115" s="3" t="s">
        <v>2276</v>
      </c>
      <c r="L1115" s="3" t="s">
        <v>2276</v>
      </c>
      <c r="M1115" s="3" t="s">
        <v>2276</v>
      </c>
      <c r="N1115" s="3" t="s">
        <v>2276</v>
      </c>
      <c r="O1115" s="3" t="s">
        <v>2276</v>
      </c>
      <c r="P1115" s="3" t="s">
        <v>2276</v>
      </c>
      <c r="Q1115" s="3" t="s">
        <v>2276</v>
      </c>
      <c r="R1115" s="3" t="s">
        <v>2276</v>
      </c>
      <c r="S1115" s="3" t="s">
        <v>2276</v>
      </c>
      <c r="T1115" s="3" t="s">
        <v>2276</v>
      </c>
      <c r="U1115" s="3" t="s">
        <v>2276</v>
      </c>
      <c r="V1115" s="3" t="s">
        <v>2276</v>
      </c>
      <c r="W1115" s="3" t="s">
        <v>2276</v>
      </c>
      <c r="X1115" s="3" t="s">
        <v>2276</v>
      </c>
      <c r="Y1115" s="3" t="s">
        <v>2276</v>
      </c>
      <c r="Z1115" s="3" t="s">
        <v>127</v>
      </c>
      <c r="AA1115" s="3" t="s">
        <v>188</v>
      </c>
      <c r="AB1115" s="3" t="s">
        <v>64</v>
      </c>
      <c r="AC1115" s="4" t="s">
        <v>3398</v>
      </c>
      <c r="AD1115" s="4" t="s">
        <v>3399</v>
      </c>
    </row>
    <row r="1116" spans="1:30" ht="56" customHeight="1">
      <c r="A1116" s="11" t="s">
        <v>3378</v>
      </c>
      <c r="B1116" s="11" t="s">
        <v>3392</v>
      </c>
      <c r="C1116" s="3" t="s">
        <v>24</v>
      </c>
      <c r="D1116" s="3" t="s">
        <v>26</v>
      </c>
      <c r="E1116" s="3" t="s">
        <v>5005</v>
      </c>
      <c r="F1116" s="4" t="s">
        <v>2662</v>
      </c>
      <c r="G1116" s="3" t="s">
        <v>2276</v>
      </c>
      <c r="H1116" s="3" t="s">
        <v>523</v>
      </c>
      <c r="I1116" s="3">
        <v>1968</v>
      </c>
      <c r="J1116" s="3" t="s">
        <v>2276</v>
      </c>
      <c r="K1116" s="3" t="s">
        <v>2276</v>
      </c>
      <c r="L1116" s="3" t="s">
        <v>2276</v>
      </c>
      <c r="M1116" s="3" t="s">
        <v>2276</v>
      </c>
      <c r="N1116" s="3" t="s">
        <v>2276</v>
      </c>
      <c r="O1116" s="3" t="s">
        <v>2276</v>
      </c>
      <c r="P1116" s="3" t="s">
        <v>2276</v>
      </c>
      <c r="Q1116" s="3" t="s">
        <v>2276</v>
      </c>
      <c r="R1116" s="3" t="s">
        <v>2276</v>
      </c>
      <c r="S1116" s="3" t="s">
        <v>2276</v>
      </c>
      <c r="T1116" s="3" t="s">
        <v>2276</v>
      </c>
      <c r="U1116" s="3" t="s">
        <v>2276</v>
      </c>
      <c r="V1116" s="3" t="s">
        <v>2276</v>
      </c>
      <c r="W1116" s="3" t="s">
        <v>2276</v>
      </c>
      <c r="X1116" s="3" t="s">
        <v>2276</v>
      </c>
      <c r="Y1116" s="3" t="s">
        <v>2276</v>
      </c>
      <c r="Z1116" s="3" t="s">
        <v>2276</v>
      </c>
      <c r="AA1116" s="3" t="s">
        <v>2276</v>
      </c>
      <c r="AB1116" s="3" t="s">
        <v>2276</v>
      </c>
      <c r="AC1116" s="4" t="s">
        <v>3398</v>
      </c>
      <c r="AD1116" s="3"/>
    </row>
    <row r="1117" spans="1:30" ht="65.5" customHeight="1">
      <c r="A1117" s="11" t="s">
        <v>3379</v>
      </c>
      <c r="B1117" s="11" t="s">
        <v>3393</v>
      </c>
      <c r="C1117" s="3" t="s">
        <v>24</v>
      </c>
      <c r="D1117" s="3" t="s">
        <v>26</v>
      </c>
      <c r="E1117" s="3" t="s">
        <v>5005</v>
      </c>
      <c r="F1117" s="4" t="s">
        <v>2662</v>
      </c>
      <c r="G1117" s="3" t="s">
        <v>2276</v>
      </c>
      <c r="H1117" s="3" t="s">
        <v>523</v>
      </c>
      <c r="I1117" s="3">
        <v>1968</v>
      </c>
      <c r="J1117" s="3" t="s">
        <v>2276</v>
      </c>
      <c r="K1117" s="3" t="s">
        <v>2276</v>
      </c>
      <c r="L1117" s="3" t="s">
        <v>2276</v>
      </c>
      <c r="M1117" s="3" t="s">
        <v>2276</v>
      </c>
      <c r="N1117" s="3" t="s">
        <v>2276</v>
      </c>
      <c r="O1117" s="3" t="s">
        <v>2276</v>
      </c>
      <c r="P1117" s="3" t="s">
        <v>2276</v>
      </c>
      <c r="Q1117" s="3" t="s">
        <v>2276</v>
      </c>
      <c r="R1117" s="3" t="s">
        <v>2276</v>
      </c>
      <c r="S1117" s="3" t="s">
        <v>2276</v>
      </c>
      <c r="T1117" s="3" t="s">
        <v>2276</v>
      </c>
      <c r="U1117" s="3" t="s">
        <v>2276</v>
      </c>
      <c r="V1117" s="3" t="s">
        <v>2276</v>
      </c>
      <c r="W1117" s="3" t="s">
        <v>2276</v>
      </c>
      <c r="X1117" s="3" t="s">
        <v>2276</v>
      </c>
      <c r="Y1117" s="3" t="s">
        <v>2276</v>
      </c>
      <c r="Z1117" s="3" t="s">
        <v>2276</v>
      </c>
      <c r="AA1117" s="3" t="s">
        <v>2276</v>
      </c>
      <c r="AB1117" s="3" t="s">
        <v>2276</v>
      </c>
      <c r="AC1117" s="4" t="s">
        <v>3398</v>
      </c>
      <c r="AD1117" s="3"/>
    </row>
    <row r="1118" spans="1:30" ht="61" customHeight="1">
      <c r="A1118" s="11" t="s">
        <v>3383</v>
      </c>
      <c r="B1118" s="11" t="s">
        <v>3394</v>
      </c>
      <c r="C1118" s="3" t="s">
        <v>24</v>
      </c>
      <c r="D1118" s="3" t="s">
        <v>26</v>
      </c>
      <c r="E1118" s="3" t="s">
        <v>5005</v>
      </c>
      <c r="F1118" s="4" t="s">
        <v>2662</v>
      </c>
      <c r="G1118" s="3" t="s">
        <v>2276</v>
      </c>
      <c r="H1118" s="3" t="s">
        <v>523</v>
      </c>
      <c r="I1118" s="3">
        <v>1968</v>
      </c>
      <c r="J1118" s="3" t="s">
        <v>2276</v>
      </c>
      <c r="K1118" s="3" t="s">
        <v>2276</v>
      </c>
      <c r="L1118" s="3" t="s">
        <v>2276</v>
      </c>
      <c r="M1118" s="3" t="s">
        <v>2276</v>
      </c>
      <c r="N1118" s="3" t="s">
        <v>2276</v>
      </c>
      <c r="O1118" s="3" t="s">
        <v>2276</v>
      </c>
      <c r="P1118" s="3" t="s">
        <v>2276</v>
      </c>
      <c r="Q1118" s="3" t="s">
        <v>2276</v>
      </c>
      <c r="R1118" s="3" t="s">
        <v>2276</v>
      </c>
      <c r="S1118" s="3" t="s">
        <v>2276</v>
      </c>
      <c r="T1118" s="3" t="s">
        <v>2276</v>
      </c>
      <c r="U1118" s="3" t="s">
        <v>2276</v>
      </c>
      <c r="V1118" s="3" t="s">
        <v>2276</v>
      </c>
      <c r="W1118" s="3" t="s">
        <v>2276</v>
      </c>
      <c r="X1118" s="3" t="s">
        <v>2276</v>
      </c>
      <c r="Y1118" s="3"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3" t="s">
        <v>2276</v>
      </c>
      <c r="H1119" s="3" t="s">
        <v>523</v>
      </c>
      <c r="I1119" s="3">
        <v>1968</v>
      </c>
      <c r="J1119" s="3" t="s">
        <v>2276</v>
      </c>
      <c r="K1119" s="3" t="s">
        <v>2276</v>
      </c>
      <c r="L1119" s="3" t="s">
        <v>2276</v>
      </c>
      <c r="M1119" s="3" t="s">
        <v>2276</v>
      </c>
      <c r="N1119" s="3" t="s">
        <v>2276</v>
      </c>
      <c r="O1119" s="3" t="s">
        <v>2276</v>
      </c>
      <c r="P1119" s="3" t="s">
        <v>2276</v>
      </c>
      <c r="Q1119" s="3" t="s">
        <v>2276</v>
      </c>
      <c r="R1119" s="3" t="s">
        <v>2276</v>
      </c>
      <c r="S1119" s="3" t="s">
        <v>2276</v>
      </c>
      <c r="T1119" s="3" t="s">
        <v>2276</v>
      </c>
      <c r="U1119" s="3" t="s">
        <v>2276</v>
      </c>
      <c r="V1119" s="3" t="s">
        <v>2276</v>
      </c>
      <c r="W1119" s="3" t="s">
        <v>2276</v>
      </c>
      <c r="X1119" s="3" t="s">
        <v>2276</v>
      </c>
      <c r="Y1119" s="3" t="s">
        <v>2276</v>
      </c>
      <c r="Z1119" s="3" t="s">
        <v>2276</v>
      </c>
      <c r="AA1119" s="3" t="s">
        <v>2276</v>
      </c>
      <c r="AB1119" s="3" t="s">
        <v>2276</v>
      </c>
      <c r="AC1119" s="4" t="s">
        <v>3398</v>
      </c>
      <c r="AD1119" s="3"/>
    </row>
    <row r="1120" spans="1:30" ht="56.5" customHeight="1">
      <c r="A1120" s="11" t="s">
        <v>3379</v>
      </c>
      <c r="B1120" s="11" t="s">
        <v>3396</v>
      </c>
      <c r="C1120" s="3" t="s">
        <v>24</v>
      </c>
      <c r="D1120" s="3" t="s">
        <v>2341</v>
      </c>
      <c r="E1120" s="3" t="s">
        <v>5005</v>
      </c>
      <c r="F1120" s="4" t="s">
        <v>2662</v>
      </c>
      <c r="G1120" s="3" t="s">
        <v>2276</v>
      </c>
      <c r="H1120" s="3" t="s">
        <v>523</v>
      </c>
      <c r="I1120" s="3">
        <v>1968</v>
      </c>
      <c r="J1120" s="3" t="s">
        <v>2276</v>
      </c>
      <c r="K1120" s="3" t="s">
        <v>2276</v>
      </c>
      <c r="L1120" s="3" t="s">
        <v>2276</v>
      </c>
      <c r="M1120" s="3" t="s">
        <v>2276</v>
      </c>
      <c r="N1120" s="3" t="s">
        <v>2276</v>
      </c>
      <c r="O1120" s="3" t="s">
        <v>2276</v>
      </c>
      <c r="P1120" s="3" t="s">
        <v>2276</v>
      </c>
      <c r="Q1120" s="3" t="s">
        <v>2276</v>
      </c>
      <c r="R1120" s="3" t="s">
        <v>2276</v>
      </c>
      <c r="S1120" s="3" t="s">
        <v>2276</v>
      </c>
      <c r="T1120" s="3" t="s">
        <v>2276</v>
      </c>
      <c r="U1120" s="3" t="s">
        <v>2276</v>
      </c>
      <c r="V1120" s="3" t="s">
        <v>2276</v>
      </c>
      <c r="W1120" s="3" t="s">
        <v>2276</v>
      </c>
      <c r="X1120" s="3" t="s">
        <v>2276</v>
      </c>
      <c r="Y1120" s="3"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3" t="s">
        <v>2276</v>
      </c>
      <c r="H1121" s="3" t="s">
        <v>523</v>
      </c>
      <c r="I1121" s="3">
        <v>1968</v>
      </c>
      <c r="J1121" s="3" t="s">
        <v>2276</v>
      </c>
      <c r="K1121" s="3" t="s">
        <v>2276</v>
      </c>
      <c r="L1121" s="3" t="s">
        <v>2276</v>
      </c>
      <c r="M1121" s="3" t="s">
        <v>2276</v>
      </c>
      <c r="N1121" s="3" t="s">
        <v>2276</v>
      </c>
      <c r="O1121" s="3" t="s">
        <v>2276</v>
      </c>
      <c r="P1121" s="3" t="s">
        <v>2276</v>
      </c>
      <c r="Q1121" s="3" t="s">
        <v>2276</v>
      </c>
      <c r="R1121" s="3" t="s">
        <v>2276</v>
      </c>
      <c r="S1121" s="3" t="s">
        <v>2276</v>
      </c>
      <c r="T1121" s="3" t="s">
        <v>2276</v>
      </c>
      <c r="U1121" s="3" t="s">
        <v>2276</v>
      </c>
      <c r="V1121" s="3" t="s">
        <v>2276</v>
      </c>
      <c r="W1121" s="3" t="s">
        <v>2276</v>
      </c>
      <c r="X1121" s="3" t="s">
        <v>2276</v>
      </c>
      <c r="Y1121" s="3" t="s">
        <v>2276</v>
      </c>
      <c r="Z1121" s="3" t="s">
        <v>2276</v>
      </c>
      <c r="AA1121" s="3" t="s">
        <v>2276</v>
      </c>
      <c r="AB1121" s="3" t="s">
        <v>2276</v>
      </c>
      <c r="AC1121" s="4" t="s">
        <v>3398</v>
      </c>
      <c r="AD1121" s="3"/>
    </row>
    <row r="1122" spans="1:30" ht="41.5" customHeight="1">
      <c r="A1122" s="11" t="s">
        <v>3386</v>
      </c>
      <c r="B1122" s="11" t="s">
        <v>3407</v>
      </c>
      <c r="C1122" s="3" t="s">
        <v>24</v>
      </c>
      <c r="D1122" s="3" t="s">
        <v>2804</v>
      </c>
      <c r="E1122" s="3" t="s">
        <v>5005</v>
      </c>
      <c r="F1122" s="4" t="s">
        <v>2662</v>
      </c>
      <c r="G1122" s="3" t="s">
        <v>2276</v>
      </c>
      <c r="H1122" s="3" t="s">
        <v>523</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2276</v>
      </c>
      <c r="Y1122" s="3"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3"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3" t="s">
        <v>2276</v>
      </c>
      <c r="AB1123" s="3" t="s">
        <v>2276</v>
      </c>
      <c r="AC1123" s="4" t="s">
        <v>3410</v>
      </c>
      <c r="AD1123" s="3"/>
    </row>
    <row r="1124" spans="1:30" ht="47.5" customHeight="1">
      <c r="A1124" s="11" t="s">
        <v>3388</v>
      </c>
      <c r="B1124" s="11" t="s">
        <v>3409</v>
      </c>
      <c r="C1124" s="3" t="s">
        <v>24</v>
      </c>
      <c r="D1124" s="3" t="s">
        <v>2804</v>
      </c>
      <c r="E1124" s="3" t="s">
        <v>5005</v>
      </c>
      <c r="F1124" s="4" t="s">
        <v>2662</v>
      </c>
      <c r="G1124" s="3"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3" t="s">
        <v>2276</v>
      </c>
      <c r="Z1124" s="3" t="s">
        <v>2276</v>
      </c>
      <c r="AA1124" s="3" t="s">
        <v>2276</v>
      </c>
      <c r="AB1124" s="3"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3" t="s">
        <v>2276</v>
      </c>
      <c r="K1125" s="3" t="s">
        <v>2276</v>
      </c>
      <c r="L1125" s="3" t="s">
        <v>2276</v>
      </c>
      <c r="M1125" s="3" t="s">
        <v>2276</v>
      </c>
      <c r="N1125" s="3" t="s">
        <v>2276</v>
      </c>
      <c r="O1125" s="3" t="s">
        <v>2276</v>
      </c>
      <c r="P1125" s="3" t="s">
        <v>2276</v>
      </c>
      <c r="Q1125" s="3" t="s">
        <v>2276</v>
      </c>
      <c r="R1125" s="3" t="s">
        <v>2276</v>
      </c>
      <c r="S1125" s="3" t="s">
        <v>2276</v>
      </c>
      <c r="T1125" s="3" t="s">
        <v>2276</v>
      </c>
      <c r="U1125" s="3" t="s">
        <v>2276</v>
      </c>
      <c r="V1125" s="3" t="s">
        <v>2276</v>
      </c>
      <c r="W1125" s="3" t="s">
        <v>2276</v>
      </c>
      <c r="X1125" s="3" t="s">
        <v>2276</v>
      </c>
      <c r="Y1125" s="3" t="s">
        <v>2276</v>
      </c>
      <c r="Z1125" s="3" t="s">
        <v>86</v>
      </c>
      <c r="AA1125" s="3" t="s">
        <v>405</v>
      </c>
      <c r="AB1125" s="3"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2276</v>
      </c>
      <c r="Y1126" s="3" t="s">
        <v>2276</v>
      </c>
      <c r="Z1126" s="3" t="s">
        <v>86</v>
      </c>
      <c r="AA1126" s="3" t="s">
        <v>405</v>
      </c>
      <c r="AB1126" s="3" t="s">
        <v>64</v>
      </c>
      <c r="AC1126" s="4" t="s">
        <v>3421</v>
      </c>
      <c r="AD1126" s="3"/>
    </row>
    <row r="1127" spans="1:30" ht="113.5" customHeight="1">
      <c r="A1127" s="3" t="s">
        <v>3426</v>
      </c>
      <c r="B1127" s="3" t="s">
        <v>3429</v>
      </c>
      <c r="C1127" s="3" t="s">
        <v>24</v>
      </c>
      <c r="D1127" s="3" t="s">
        <v>1245</v>
      </c>
      <c r="E1127" s="3" t="s">
        <v>116</v>
      </c>
      <c r="F1127" s="4" t="s">
        <v>2662</v>
      </c>
      <c r="G1127" s="4" t="s">
        <v>2662</v>
      </c>
      <c r="H1127" s="3" t="s">
        <v>523</v>
      </c>
      <c r="I1127" s="3">
        <v>1953</v>
      </c>
      <c r="J1127" s="3" t="s">
        <v>2276</v>
      </c>
      <c r="K1127" s="3" t="s">
        <v>2276</v>
      </c>
      <c r="L1127" s="21">
        <v>0.5</v>
      </c>
      <c r="M1127" s="3" t="s">
        <v>2276</v>
      </c>
      <c r="N1127" s="3" t="s">
        <v>2276</v>
      </c>
      <c r="O1127" s="3" t="s">
        <v>2276</v>
      </c>
      <c r="P1127" s="3" t="s">
        <v>2276</v>
      </c>
      <c r="Q1127" s="3" t="s">
        <v>2276</v>
      </c>
      <c r="R1127" s="21">
        <v>5</v>
      </c>
      <c r="S1127" s="3" t="s">
        <v>2276</v>
      </c>
      <c r="T1127" s="3" t="s">
        <v>2276</v>
      </c>
      <c r="U1127" s="3" t="s">
        <v>2276</v>
      </c>
      <c r="V1127" s="3" t="s">
        <v>2276</v>
      </c>
      <c r="W1127" s="3" t="s">
        <v>2276</v>
      </c>
      <c r="X1127" s="3" t="s">
        <v>2276</v>
      </c>
      <c r="Y1127" s="3" t="s">
        <v>2276</v>
      </c>
      <c r="Z1127" s="3" t="s">
        <v>399</v>
      </c>
      <c r="AA1127" s="3" t="s">
        <v>127</v>
      </c>
      <c r="AB1127" s="3" t="s">
        <v>2312</v>
      </c>
      <c r="AC1127" s="4" t="s">
        <v>3442</v>
      </c>
      <c r="AD1127" s="4" t="s">
        <v>3443</v>
      </c>
    </row>
    <row r="1128" spans="1:30" ht="113.5" customHeight="1">
      <c r="A1128" s="3" t="s">
        <v>3426</v>
      </c>
      <c r="B1128" s="3" t="s">
        <v>3430</v>
      </c>
      <c r="C1128" s="3" t="s">
        <v>1105</v>
      </c>
      <c r="D1128" s="3" t="s">
        <v>1105</v>
      </c>
      <c r="E1128" s="3" t="s">
        <v>2276</v>
      </c>
      <c r="F1128" s="4" t="s">
        <v>2276</v>
      </c>
      <c r="G1128" s="4" t="s">
        <v>2662</v>
      </c>
      <c r="H1128" s="3" t="s">
        <v>523</v>
      </c>
      <c r="I1128" s="3">
        <v>1953</v>
      </c>
      <c r="J1128" s="3" t="s">
        <v>2276</v>
      </c>
      <c r="K1128" s="3" t="s">
        <v>2276</v>
      </c>
      <c r="L1128" s="21">
        <v>0.5</v>
      </c>
      <c r="M1128" s="3" t="s">
        <v>2276</v>
      </c>
      <c r="N1128" s="21">
        <v>6005</v>
      </c>
      <c r="O1128" s="3" t="s">
        <v>2276</v>
      </c>
      <c r="P1128" s="21">
        <v>63.9</v>
      </c>
      <c r="Q1128" s="3" t="s">
        <v>2276</v>
      </c>
      <c r="R1128" s="21">
        <v>10.199999999999999</v>
      </c>
      <c r="S1128" s="3" t="s">
        <v>2276</v>
      </c>
      <c r="T1128" s="3" t="s">
        <v>2276</v>
      </c>
      <c r="U1128" s="3" t="s">
        <v>2276</v>
      </c>
      <c r="V1128" s="21">
        <f>22/5</f>
        <v>4.4000000000000004</v>
      </c>
      <c r="W1128" s="3" t="s">
        <v>2276</v>
      </c>
      <c r="X1128" s="3" t="s">
        <v>2276</v>
      </c>
      <c r="Y1128" s="3" t="s">
        <v>2276</v>
      </c>
      <c r="Z1128" s="3" t="s">
        <v>399</v>
      </c>
      <c r="AA1128" s="3" t="s">
        <v>127</v>
      </c>
      <c r="AB1128" s="3" t="s">
        <v>2312</v>
      </c>
      <c r="AC1128" s="4"/>
      <c r="AD1128" s="4"/>
    </row>
    <row r="1129" spans="1:30" ht="56.5" customHeight="1">
      <c r="A1129" s="3" t="s">
        <v>3426</v>
      </c>
      <c r="B1129" s="3"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3" t="s">
        <v>2276</v>
      </c>
      <c r="AC1129" s="4" t="s">
        <v>3423</v>
      </c>
      <c r="AD1129" s="3"/>
    </row>
    <row r="1130" spans="1:30" ht="42" customHeight="1">
      <c r="A1130" s="3" t="s">
        <v>3426</v>
      </c>
      <c r="B1130" s="3" t="s">
        <v>3432</v>
      </c>
      <c r="C1130" s="3" t="s">
        <v>1105</v>
      </c>
      <c r="D1130" s="3" t="s">
        <v>1105</v>
      </c>
      <c r="E1130" s="3" t="s">
        <v>1105</v>
      </c>
      <c r="F1130" s="4" t="s">
        <v>1105</v>
      </c>
      <c r="G1130" s="3" t="s">
        <v>2276</v>
      </c>
      <c r="H1130" s="3" t="s">
        <v>523</v>
      </c>
      <c r="I1130" s="3">
        <v>1973</v>
      </c>
      <c r="J1130" s="21">
        <f>24/'Record info'!$K$618/5</f>
        <v>1.9899672484557027E-3</v>
      </c>
      <c r="K1130" s="3" t="s">
        <v>2276</v>
      </c>
      <c r="L1130" s="21">
        <v>15</v>
      </c>
      <c r="M1130" s="3" t="s">
        <v>2276</v>
      </c>
      <c r="N1130" s="21">
        <v>24708</v>
      </c>
      <c r="O1130" s="3" t="s">
        <v>2276</v>
      </c>
      <c r="P1130" s="21">
        <v>1583.9</v>
      </c>
      <c r="Q1130" s="3" t="s">
        <v>2276</v>
      </c>
      <c r="R1130" s="21">
        <v>60.9</v>
      </c>
      <c r="S1130" s="3" t="s">
        <v>2276</v>
      </c>
      <c r="T1130" s="3" t="s">
        <v>2276</v>
      </c>
      <c r="U1130" s="3" t="s">
        <v>2276</v>
      </c>
      <c r="V1130" s="14">
        <f>16/5</f>
        <v>3.2</v>
      </c>
      <c r="W1130" s="3" t="s">
        <v>2276</v>
      </c>
      <c r="X1130" s="3" t="s">
        <v>2276</v>
      </c>
      <c r="Y1130" s="3" t="s">
        <v>2276</v>
      </c>
      <c r="Z1130" s="3" t="s">
        <v>2276</v>
      </c>
      <c r="AA1130" s="3" t="s">
        <v>2276</v>
      </c>
      <c r="AB1130" s="3" t="s">
        <v>2276</v>
      </c>
      <c r="AC1130" s="4" t="s">
        <v>3424</v>
      </c>
      <c r="AD1130" s="3"/>
    </row>
    <row r="1131" spans="1:30" ht="42" customHeight="1">
      <c r="A1131" s="3" t="s">
        <v>3426</v>
      </c>
      <c r="B1131" s="3"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3" t="s">
        <v>2276</v>
      </c>
      <c r="AC1131" s="4" t="s">
        <v>3423</v>
      </c>
      <c r="AD1131" s="3"/>
    </row>
    <row r="1132" spans="1:30" ht="42" customHeight="1">
      <c r="A1132" s="3" t="s">
        <v>3426</v>
      </c>
      <c r="B1132" s="3" t="s">
        <v>3434</v>
      </c>
      <c r="C1132" s="3" t="s">
        <v>1105</v>
      </c>
      <c r="D1132" s="3" t="s">
        <v>1105</v>
      </c>
      <c r="E1132" s="3" t="s">
        <v>1105</v>
      </c>
      <c r="F1132" s="4" t="s">
        <v>1105</v>
      </c>
      <c r="G1132" s="3" t="s">
        <v>2276</v>
      </c>
      <c r="H1132" s="3" t="s">
        <v>523</v>
      </c>
      <c r="I1132" s="3">
        <v>1981</v>
      </c>
      <c r="J1132" s="161">
        <f>4/'Record info'!$K$618/5</f>
        <v>3.3166120807595043E-4</v>
      </c>
      <c r="K1132" s="3" t="s">
        <v>2276</v>
      </c>
      <c r="L1132" s="21">
        <v>17113</v>
      </c>
      <c r="M1132" s="3" t="s">
        <v>2276</v>
      </c>
      <c r="N1132" s="21">
        <v>129646</v>
      </c>
      <c r="O1132" s="3" t="s">
        <v>2276</v>
      </c>
      <c r="P1132" s="21">
        <v>52644</v>
      </c>
      <c r="Q1132" s="3" t="s">
        <v>2276</v>
      </c>
      <c r="R1132" s="3" t="s">
        <v>2276</v>
      </c>
      <c r="S1132" s="3" t="s">
        <v>2276</v>
      </c>
      <c r="T1132" s="3" t="s">
        <v>2276</v>
      </c>
      <c r="U1132" s="3" t="s">
        <v>2276</v>
      </c>
      <c r="V1132" s="14">
        <f>87/5</f>
        <v>17.399999999999999</v>
      </c>
      <c r="W1132" s="3" t="s">
        <v>2276</v>
      </c>
      <c r="X1132" s="3" t="s">
        <v>2276</v>
      </c>
      <c r="Y1132" s="3" t="s">
        <v>2276</v>
      </c>
      <c r="Z1132" s="3" t="s">
        <v>2276</v>
      </c>
      <c r="AA1132" s="3" t="s">
        <v>2276</v>
      </c>
      <c r="AB1132" s="3" t="s">
        <v>2276</v>
      </c>
      <c r="AC1132" s="4" t="s">
        <v>3424</v>
      </c>
      <c r="AD1132" s="3"/>
    </row>
    <row r="1133" spans="1:30" ht="42" customHeight="1">
      <c r="A1133" s="3" t="s">
        <v>3426</v>
      </c>
      <c r="B1133" s="3"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3" t="s">
        <v>2276</v>
      </c>
      <c r="AA1133" s="3" t="s">
        <v>2276</v>
      </c>
      <c r="AB1133" s="3" t="s">
        <v>2276</v>
      </c>
      <c r="AC1133" s="4" t="s">
        <v>3423</v>
      </c>
      <c r="AD1133" s="3"/>
    </row>
    <row r="1134" spans="1:30" ht="41" customHeight="1">
      <c r="A1134" s="3" t="s">
        <v>3426</v>
      </c>
      <c r="B1134" s="3" t="s">
        <v>3436</v>
      </c>
      <c r="C1134" s="3" t="s">
        <v>1105</v>
      </c>
      <c r="D1134" s="3" t="s">
        <v>1105</v>
      </c>
      <c r="E1134" s="3" t="s">
        <v>1105</v>
      </c>
      <c r="F1134" s="4" t="s">
        <v>1105</v>
      </c>
      <c r="G1134" s="3" t="s">
        <v>2276</v>
      </c>
      <c r="H1134" s="3" t="s">
        <v>523</v>
      </c>
      <c r="I1134" s="3">
        <v>1988</v>
      </c>
      <c r="J1134" s="21">
        <f>19/'Record info'!$K$618/5</f>
        <v>1.5753907383607648E-3</v>
      </c>
      <c r="K1134" s="3" t="s">
        <v>2276</v>
      </c>
      <c r="L1134" s="21">
        <v>1</v>
      </c>
      <c r="M1134" s="3" t="s">
        <v>2276</v>
      </c>
      <c r="N1134" s="21">
        <v>71346</v>
      </c>
      <c r="O1134" s="3" t="s">
        <v>2276</v>
      </c>
      <c r="P1134" s="21">
        <v>4970.8999999999996</v>
      </c>
      <c r="Q1134" s="3" t="s">
        <v>2276</v>
      </c>
      <c r="R1134" s="21">
        <v>309.89999999999998</v>
      </c>
      <c r="S1134" s="3" t="s">
        <v>2276</v>
      </c>
      <c r="T1134" s="3" t="s">
        <v>2276</v>
      </c>
      <c r="U1134" s="3" t="s">
        <v>2276</v>
      </c>
      <c r="V1134" s="14">
        <f>39/5</f>
        <v>7.8</v>
      </c>
      <c r="W1134" s="3" t="s">
        <v>2276</v>
      </c>
      <c r="X1134" s="3" t="s">
        <v>2276</v>
      </c>
      <c r="Y1134" s="3" t="s">
        <v>2276</v>
      </c>
      <c r="Z1134" s="3" t="s">
        <v>2276</v>
      </c>
      <c r="AA1134" s="3" t="s">
        <v>2276</v>
      </c>
      <c r="AB1134" s="3" t="s">
        <v>2276</v>
      </c>
      <c r="AC1134" s="4" t="s">
        <v>3424</v>
      </c>
      <c r="AD1134" s="3"/>
    </row>
    <row r="1135" spans="1:30" ht="45.5" customHeight="1">
      <c r="A1135" s="3" t="s">
        <v>3426</v>
      </c>
      <c r="B1135" s="3" t="s">
        <v>3437</v>
      </c>
      <c r="C1135" s="3" t="s">
        <v>24</v>
      </c>
      <c r="D1135" s="3" t="s">
        <v>1245</v>
      </c>
      <c r="E1135" s="3"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3" t="s">
        <v>2276</v>
      </c>
      <c r="AA1135" s="3" t="s">
        <v>2276</v>
      </c>
      <c r="AB1135" s="3" t="s">
        <v>2276</v>
      </c>
      <c r="AC1135" s="4" t="s">
        <v>3423</v>
      </c>
      <c r="AD1135" s="3"/>
    </row>
    <row r="1136" spans="1:30" ht="42.5" customHeight="1">
      <c r="A1136" s="3" t="s">
        <v>3426</v>
      </c>
      <c r="B1136" s="3" t="s">
        <v>3438</v>
      </c>
      <c r="C1136" s="3" t="s">
        <v>1105</v>
      </c>
      <c r="D1136" s="3" t="s">
        <v>1105</v>
      </c>
      <c r="E1136" s="3" t="s">
        <v>1105</v>
      </c>
      <c r="F1136" s="4" t="s">
        <v>1105</v>
      </c>
      <c r="G1136" s="3" t="s">
        <v>2276</v>
      </c>
      <c r="H1136" s="3" t="s">
        <v>523</v>
      </c>
      <c r="I1136" s="3">
        <v>1994</v>
      </c>
      <c r="J1136" s="21">
        <f>83/'Record info'!$K$618/5</f>
        <v>6.8819700675759711E-3</v>
      </c>
      <c r="K1136" s="3" t="s">
        <v>2276</v>
      </c>
      <c r="L1136" s="21">
        <v>8</v>
      </c>
      <c r="M1136" s="3" t="s">
        <v>2276</v>
      </c>
      <c r="N1136" s="21">
        <v>11992</v>
      </c>
      <c r="O1136" s="3" t="s">
        <v>2276</v>
      </c>
      <c r="P1136" s="21">
        <v>561.29999999999995</v>
      </c>
      <c r="Q1136" s="3" t="s">
        <v>2276</v>
      </c>
      <c r="R1136" s="21">
        <v>91.2</v>
      </c>
      <c r="S1136" s="3" t="s">
        <v>2276</v>
      </c>
      <c r="T1136" s="3" t="s">
        <v>2276</v>
      </c>
      <c r="U1136" s="3" t="s">
        <v>2276</v>
      </c>
      <c r="V1136" s="14">
        <f>19/5</f>
        <v>3.8</v>
      </c>
      <c r="W1136" s="3" t="s">
        <v>2276</v>
      </c>
      <c r="X1136" s="3" t="s">
        <v>2276</v>
      </c>
      <c r="Y1136" s="3" t="s">
        <v>2276</v>
      </c>
      <c r="Z1136" s="3" t="s">
        <v>2276</v>
      </c>
      <c r="AA1136" s="3" t="s">
        <v>2276</v>
      </c>
      <c r="AB1136" s="3" t="s">
        <v>2276</v>
      </c>
      <c r="AC1136" s="4" t="s">
        <v>3424</v>
      </c>
      <c r="AD1136" s="3"/>
    </row>
    <row r="1137" spans="1:30" ht="55.5" customHeight="1">
      <c r="A1137" s="3" t="s">
        <v>3426</v>
      </c>
      <c r="B1137" s="3"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3" t="s">
        <v>2276</v>
      </c>
      <c r="AC1137" s="4" t="s">
        <v>3423</v>
      </c>
      <c r="AD1137" s="3"/>
    </row>
    <row r="1138" spans="1:30" ht="55.5" customHeight="1">
      <c r="A1138" s="3" t="s">
        <v>3426</v>
      </c>
      <c r="B1138" s="3" t="s">
        <v>5021</v>
      </c>
      <c r="C1138" s="3" t="s">
        <v>1105</v>
      </c>
      <c r="D1138" s="3" t="s">
        <v>1105</v>
      </c>
      <c r="E1138" s="3" t="s">
        <v>1105</v>
      </c>
      <c r="F1138" s="4" t="s">
        <v>1105</v>
      </c>
      <c r="G1138" s="3" t="s">
        <v>2276</v>
      </c>
      <c r="H1138" s="3" t="s">
        <v>523</v>
      </c>
      <c r="I1138" s="3">
        <v>2000</v>
      </c>
      <c r="J1138" s="21">
        <f>25/'Record info'!$K$618/5</f>
        <v>2.0728825504746904E-3</v>
      </c>
      <c r="K1138" s="3" t="s">
        <v>2276</v>
      </c>
      <c r="L1138" s="21">
        <v>19</v>
      </c>
      <c r="M1138" s="3" t="s">
        <v>2276</v>
      </c>
      <c r="N1138" s="21">
        <v>3683</v>
      </c>
      <c r="O1138" s="3" t="s">
        <v>2276</v>
      </c>
      <c r="P1138" s="21">
        <v>444.2</v>
      </c>
      <c r="Q1138" s="3" t="s">
        <v>2276</v>
      </c>
      <c r="R1138" s="21">
        <v>78.2</v>
      </c>
      <c r="S1138" s="3" t="s">
        <v>2276</v>
      </c>
      <c r="T1138" s="3" t="s">
        <v>2276</v>
      </c>
      <c r="U1138" s="3" t="s">
        <v>2276</v>
      </c>
      <c r="V1138" s="21">
        <f>4.6/5</f>
        <v>0.91999999999999993</v>
      </c>
      <c r="W1138" s="3" t="s">
        <v>2276</v>
      </c>
      <c r="X1138" s="3" t="s">
        <v>2276</v>
      </c>
      <c r="Y1138" s="3" t="s">
        <v>2276</v>
      </c>
      <c r="Z1138" s="3" t="s">
        <v>2276</v>
      </c>
      <c r="AA1138" s="3" t="s">
        <v>2276</v>
      </c>
      <c r="AB1138" s="3"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2276</v>
      </c>
      <c r="Z1139" s="3" t="s">
        <v>86</v>
      </c>
      <c r="AA1139" s="3" t="s">
        <v>68</v>
      </c>
      <c r="AB1139" s="3"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2276</v>
      </c>
      <c r="Z1140" s="3" t="s">
        <v>86</v>
      </c>
      <c r="AA1140" s="3" t="s">
        <v>405</v>
      </c>
      <c r="AB1140" s="3" t="s">
        <v>2655</v>
      </c>
      <c r="AC1140" s="4" t="s">
        <v>3450</v>
      </c>
      <c r="AD1140" s="3"/>
    </row>
    <row r="1141" spans="1:30" ht="45" customHeight="1">
      <c r="A1141" s="11" t="s">
        <v>3445</v>
      </c>
      <c r="B1141" s="11" t="s">
        <v>3451</v>
      </c>
      <c r="C1141" s="3" t="s">
        <v>24</v>
      </c>
      <c r="D1141" s="3" t="s">
        <v>2305</v>
      </c>
      <c r="E1141" s="3" t="s">
        <v>116</v>
      </c>
      <c r="F1141" s="4" t="s">
        <v>55</v>
      </c>
      <c r="G1141" s="3" t="s">
        <v>55</v>
      </c>
      <c r="H1141" s="3" t="s">
        <v>523</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2276</v>
      </c>
      <c r="Z1141" s="3" t="s">
        <v>86</v>
      </c>
      <c r="AA1141" s="3" t="s">
        <v>68</v>
      </c>
      <c r="AB1141" s="3" t="s">
        <v>64</v>
      </c>
      <c r="AC1141" s="4" t="s">
        <v>3453</v>
      </c>
      <c r="AD1141" s="3"/>
    </row>
    <row r="1142" spans="1:30" ht="46" customHeight="1">
      <c r="A1142" s="11" t="s">
        <v>3445</v>
      </c>
      <c r="B1142" s="11" t="s">
        <v>3452</v>
      </c>
      <c r="C1142" s="3" t="s">
        <v>2656</v>
      </c>
      <c r="D1142" s="3" t="s">
        <v>2276</v>
      </c>
      <c r="E1142" s="3" t="s">
        <v>2276</v>
      </c>
      <c r="F1142" s="4" t="s">
        <v>2276</v>
      </c>
      <c r="G1142" s="3" t="s">
        <v>2276</v>
      </c>
      <c r="H1142" s="3" t="s">
        <v>523</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3"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3" t="s">
        <v>2276</v>
      </c>
      <c r="H1143" s="3" t="s">
        <v>523</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2276</v>
      </c>
      <c r="Z1143" s="3" t="s">
        <v>425</v>
      </c>
      <c r="AA1143" s="3" t="s">
        <v>68</v>
      </c>
      <c r="AB1143" s="3" t="s">
        <v>64</v>
      </c>
      <c r="AC1143" s="4" t="s">
        <v>3455</v>
      </c>
      <c r="AD1143" s="3"/>
    </row>
    <row r="1144" spans="1:30" ht="45" customHeight="1">
      <c r="A1144" s="11" t="s">
        <v>3460</v>
      </c>
      <c r="B1144" s="11" t="s">
        <v>3465</v>
      </c>
      <c r="C1144" s="3" t="s">
        <v>24</v>
      </c>
      <c r="D1144" s="3" t="s">
        <v>2804</v>
      </c>
      <c r="E1144" s="3" t="s">
        <v>5005</v>
      </c>
      <c r="F1144" s="4" t="s">
        <v>2662</v>
      </c>
      <c r="G1144" s="3" t="s">
        <v>2276</v>
      </c>
      <c r="H1144" s="3" t="s">
        <v>523</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2276</v>
      </c>
      <c r="X1144" s="3" t="s">
        <v>2276</v>
      </c>
      <c r="Y1144" s="3" t="s">
        <v>2276</v>
      </c>
      <c r="Z1144" s="3" t="s">
        <v>189</v>
      </c>
      <c r="AA1144" s="3" t="s">
        <v>38</v>
      </c>
      <c r="AB1144" s="3" t="s">
        <v>64</v>
      </c>
      <c r="AC1144" s="4" t="s">
        <v>3466</v>
      </c>
      <c r="AD1144" s="3"/>
    </row>
    <row r="1145" spans="1:30" ht="81.5" customHeight="1">
      <c r="A1145" s="11" t="s">
        <v>3460</v>
      </c>
      <c r="B1145" s="11" t="s">
        <v>3467</v>
      </c>
      <c r="C1145" s="3" t="s">
        <v>24</v>
      </c>
      <c r="D1145" s="3" t="s">
        <v>25</v>
      </c>
      <c r="E1145" s="3" t="s">
        <v>5005</v>
      </c>
      <c r="F1145" s="4" t="s">
        <v>2662</v>
      </c>
      <c r="G1145" s="3"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3" t="s">
        <v>68</v>
      </c>
      <c r="AA1145" s="3" t="s">
        <v>35</v>
      </c>
      <c r="AB1145" s="3" t="s">
        <v>2276</v>
      </c>
      <c r="AC1145" s="4" t="s">
        <v>3468</v>
      </c>
      <c r="AD1145" s="3"/>
    </row>
    <row r="1146" spans="1:30" ht="54.5" customHeight="1">
      <c r="A1146" s="11" t="s">
        <v>3460</v>
      </c>
      <c r="B1146" s="11" t="s">
        <v>3469</v>
      </c>
      <c r="C1146" s="3" t="s">
        <v>24</v>
      </c>
      <c r="D1146" s="3" t="s">
        <v>143</v>
      </c>
      <c r="E1146" s="3" t="s">
        <v>130</v>
      </c>
      <c r="F1146" s="4" t="s">
        <v>74</v>
      </c>
      <c r="G1146" s="3" t="s">
        <v>2276</v>
      </c>
      <c r="H1146" s="3" t="s">
        <v>523</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t="s">
        <v>2276</v>
      </c>
      <c r="AB1146" s="3" t="s">
        <v>2276</v>
      </c>
      <c r="AC1146" s="3"/>
      <c r="AD1146" s="3"/>
    </row>
    <row r="1147" spans="1:30" ht="47" customHeight="1">
      <c r="A1147" s="11" t="s">
        <v>3460</v>
      </c>
      <c r="B1147" s="11" t="s">
        <v>3470</v>
      </c>
      <c r="C1147" s="3" t="s">
        <v>24</v>
      </c>
      <c r="D1147" s="3" t="s">
        <v>2659</v>
      </c>
      <c r="E1147" s="3" t="s">
        <v>130</v>
      </c>
      <c r="F1147" s="4" t="s">
        <v>28</v>
      </c>
      <c r="G1147" s="3" t="s">
        <v>2276</v>
      </c>
      <c r="H1147" s="3" t="s">
        <v>523</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2276</v>
      </c>
      <c r="Y1147" s="3" t="s">
        <v>2276</v>
      </c>
      <c r="Z1147" s="3" t="s">
        <v>189</v>
      </c>
      <c r="AA1147" s="3" t="s">
        <v>38</v>
      </c>
      <c r="AB1147" s="3" t="s">
        <v>64</v>
      </c>
      <c r="AC1147" s="3" t="s">
        <v>3472</v>
      </c>
      <c r="AD1147" s="3"/>
    </row>
    <row r="1148" spans="1:30" ht="45.5" customHeight="1">
      <c r="A1148" s="11" t="s">
        <v>3460</v>
      </c>
      <c r="B1148" s="11" t="s">
        <v>3471</v>
      </c>
      <c r="C1148" s="3" t="s">
        <v>24</v>
      </c>
      <c r="D1148" s="3" t="s">
        <v>27</v>
      </c>
      <c r="E1148" s="3" t="s">
        <v>130</v>
      </c>
      <c r="F1148" s="4" t="s">
        <v>161</v>
      </c>
      <c r="G1148" s="3" t="s">
        <v>2276</v>
      </c>
      <c r="H1148" s="3" t="s">
        <v>523</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2276</v>
      </c>
      <c r="Y1148" s="3" t="s">
        <v>2276</v>
      </c>
      <c r="Z1148" s="3" t="s">
        <v>189</v>
      </c>
      <c r="AA1148" s="3" t="s">
        <v>38</v>
      </c>
      <c r="AB1148" s="3" t="s">
        <v>64</v>
      </c>
      <c r="AC1148" s="3" t="s">
        <v>3472</v>
      </c>
      <c r="AD1148" s="3"/>
    </row>
    <row r="1149" spans="1:30" ht="45" customHeight="1">
      <c r="A1149" s="11" t="s">
        <v>3460</v>
      </c>
      <c r="B1149" s="11" t="s">
        <v>3475</v>
      </c>
      <c r="C1149" s="3" t="s">
        <v>24</v>
      </c>
      <c r="D1149" s="3" t="s">
        <v>3476</v>
      </c>
      <c r="E1149" s="3" t="s">
        <v>863</v>
      </c>
      <c r="F1149" s="4" t="s">
        <v>161</v>
      </c>
      <c r="G1149" s="3" t="s">
        <v>2276</v>
      </c>
      <c r="H1149" s="3" t="s">
        <v>523</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t="s">
        <v>2276</v>
      </c>
      <c r="AB1149" s="3" t="s">
        <v>2276</v>
      </c>
      <c r="AC1149" s="3"/>
      <c r="AD1149" s="3"/>
    </row>
    <row r="1150" spans="1:30" ht="44.5" customHeight="1">
      <c r="A1150" s="11" t="s">
        <v>3460</v>
      </c>
      <c r="B1150" s="11" t="s">
        <v>3478</v>
      </c>
      <c r="C1150" s="3" t="s">
        <v>2458</v>
      </c>
      <c r="D1150" s="3" t="s">
        <v>3476</v>
      </c>
      <c r="E1150" s="3" t="s">
        <v>863</v>
      </c>
      <c r="F1150" s="4" t="s">
        <v>161</v>
      </c>
      <c r="G1150" s="3" t="s">
        <v>74</v>
      </c>
      <c r="H1150" s="3" t="s">
        <v>523</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3" t="s">
        <v>2276</v>
      </c>
      <c r="AB1150" s="3" t="s">
        <v>2276</v>
      </c>
      <c r="AC1150" s="11" t="s">
        <v>3477</v>
      </c>
      <c r="AD1150" s="3"/>
    </row>
    <row r="1151" spans="1:30" ht="44.5" customHeight="1">
      <c r="A1151" s="11" t="s">
        <v>3460</v>
      </c>
      <c r="B1151" s="11" t="s">
        <v>3479</v>
      </c>
      <c r="C1151" s="3" t="s">
        <v>24</v>
      </c>
      <c r="D1151" s="3" t="s">
        <v>3480</v>
      </c>
      <c r="E1151" s="3" t="s">
        <v>116</v>
      </c>
      <c r="F1151" s="4" t="s">
        <v>74</v>
      </c>
      <c r="G1151" s="3" t="s">
        <v>74</v>
      </c>
      <c r="H1151" s="3" t="s">
        <v>523</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3" t="s">
        <v>2276</v>
      </c>
      <c r="AB1151" s="3" t="s">
        <v>2276</v>
      </c>
      <c r="AC1151" s="19" t="s">
        <v>3481</v>
      </c>
      <c r="AD1151" s="3"/>
    </row>
    <row r="1152" spans="1:30" ht="44.5" customHeight="1">
      <c r="A1152" s="35" t="s">
        <v>3460</v>
      </c>
      <c r="B1152" s="35" t="s">
        <v>3482</v>
      </c>
      <c r="C1152" s="38" t="s">
        <v>2458</v>
      </c>
      <c r="D1152" s="38" t="s">
        <v>3480</v>
      </c>
      <c r="E1152" s="38" t="s">
        <v>116</v>
      </c>
      <c r="F1152" s="168"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3" t="s">
        <v>5005</v>
      </c>
      <c r="F1153" s="4" t="s">
        <v>28</v>
      </c>
      <c r="G1153" s="3" t="s">
        <v>2276</v>
      </c>
      <c r="H1153" s="3" t="s">
        <v>523</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3" t="s">
        <v>2276</v>
      </c>
      <c r="AB1153" s="3" t="s">
        <v>2276</v>
      </c>
      <c r="AC1153" s="4" t="s">
        <v>3484</v>
      </c>
      <c r="AD1153" s="3"/>
    </row>
    <row r="1154" spans="1:30" ht="37.5" customHeight="1">
      <c r="A1154" s="11" t="s">
        <v>3491</v>
      </c>
      <c r="B1154" s="11" t="s">
        <v>3497</v>
      </c>
      <c r="C1154" s="3" t="s">
        <v>1105</v>
      </c>
      <c r="D1154" s="3" t="s">
        <v>1105</v>
      </c>
      <c r="E1154" s="3" t="s">
        <v>1105</v>
      </c>
      <c r="F1154" s="4" t="s">
        <v>1105</v>
      </c>
      <c r="G1154" s="3" t="s">
        <v>1105</v>
      </c>
      <c r="H1154" s="3" t="s">
        <v>523</v>
      </c>
      <c r="I1154" s="3">
        <v>2009</v>
      </c>
      <c r="J1154" s="3" t="s">
        <v>2276</v>
      </c>
      <c r="K1154" s="3" t="s">
        <v>2276</v>
      </c>
      <c r="L1154" s="3" t="s">
        <v>2276</v>
      </c>
      <c r="M1154" s="3" t="s">
        <v>2276</v>
      </c>
      <c r="N1154" s="3" t="s">
        <v>2276</v>
      </c>
      <c r="O1154" s="3" t="s">
        <v>2276</v>
      </c>
      <c r="P1154" s="3" t="s">
        <v>2276</v>
      </c>
      <c r="Q1154" s="3" t="s">
        <v>2276</v>
      </c>
      <c r="R1154" s="3" t="s">
        <v>2276</v>
      </c>
      <c r="S1154" s="3" t="s">
        <v>2276</v>
      </c>
      <c r="T1154" s="21">
        <v>5377.8</v>
      </c>
      <c r="U1154" s="3" t="s">
        <v>2276</v>
      </c>
      <c r="V1154" s="3" t="s">
        <v>2276</v>
      </c>
      <c r="W1154" s="3" t="s">
        <v>2276</v>
      </c>
      <c r="X1154" s="3" t="s">
        <v>2276</v>
      </c>
      <c r="Y1154" s="3" t="s">
        <v>2276</v>
      </c>
      <c r="Z1154" s="3" t="s">
        <v>2276</v>
      </c>
      <c r="AA1154" s="3" t="s">
        <v>2276</v>
      </c>
      <c r="AB1154" s="3" t="s">
        <v>2276</v>
      </c>
      <c r="AC1154" s="3"/>
      <c r="AD1154" s="3"/>
    </row>
    <row r="1155" spans="1:30" ht="37.5" customHeight="1">
      <c r="A1155" s="11" t="s">
        <v>3491</v>
      </c>
      <c r="B1155" s="11" t="s">
        <v>3498</v>
      </c>
      <c r="C1155" s="3" t="s">
        <v>1105</v>
      </c>
      <c r="D1155" s="3" t="s">
        <v>1105</v>
      </c>
      <c r="E1155" s="3" t="s">
        <v>1105</v>
      </c>
      <c r="F1155" s="4" t="s">
        <v>1105</v>
      </c>
      <c r="G1155" s="3" t="s">
        <v>1105</v>
      </c>
      <c r="H1155" s="3" t="s">
        <v>523</v>
      </c>
      <c r="I1155" s="3">
        <v>2010</v>
      </c>
      <c r="J1155" s="3" t="s">
        <v>2276</v>
      </c>
      <c r="K1155" s="3" t="s">
        <v>2276</v>
      </c>
      <c r="L1155" s="3" t="s">
        <v>2276</v>
      </c>
      <c r="M1155" s="3" t="s">
        <v>2276</v>
      </c>
      <c r="N1155" s="3" t="s">
        <v>2276</v>
      </c>
      <c r="O1155" s="3" t="s">
        <v>2276</v>
      </c>
      <c r="P1155" s="3" t="s">
        <v>2276</v>
      </c>
      <c r="Q1155" s="3" t="s">
        <v>2276</v>
      </c>
      <c r="R1155" s="3" t="s">
        <v>2276</v>
      </c>
      <c r="S1155" s="3" t="s">
        <v>2276</v>
      </c>
      <c r="T1155" s="21">
        <v>10079.33</v>
      </c>
      <c r="U1155" s="3" t="s">
        <v>2276</v>
      </c>
      <c r="V1155" s="3" t="s">
        <v>2276</v>
      </c>
      <c r="W1155" s="3" t="s">
        <v>2276</v>
      </c>
      <c r="X1155" s="3" t="s">
        <v>2276</v>
      </c>
      <c r="Y1155" s="3" t="s">
        <v>2276</v>
      </c>
      <c r="Z1155" s="3" t="s">
        <v>2276</v>
      </c>
      <c r="AA1155" s="3" t="s">
        <v>2276</v>
      </c>
      <c r="AB1155" s="3" t="s">
        <v>2276</v>
      </c>
      <c r="AC1155" s="3"/>
      <c r="AD1155" s="3"/>
    </row>
    <row r="1156" spans="1:30" ht="37.5" customHeight="1">
      <c r="A1156" s="11" t="s">
        <v>3491</v>
      </c>
      <c r="B1156" s="11" t="s">
        <v>3499</v>
      </c>
      <c r="C1156" s="3" t="s">
        <v>1105</v>
      </c>
      <c r="D1156" s="3" t="s">
        <v>1105</v>
      </c>
      <c r="E1156" s="3" t="s">
        <v>1105</v>
      </c>
      <c r="F1156" s="4" t="s">
        <v>1105</v>
      </c>
      <c r="G1156" s="3" t="s">
        <v>1105</v>
      </c>
      <c r="H1156" s="3" t="s">
        <v>523</v>
      </c>
      <c r="I1156" s="3">
        <v>2011</v>
      </c>
      <c r="J1156" s="3" t="s">
        <v>2276</v>
      </c>
      <c r="K1156" s="3" t="s">
        <v>2276</v>
      </c>
      <c r="L1156" s="3" t="s">
        <v>2276</v>
      </c>
      <c r="M1156" s="3" t="s">
        <v>2276</v>
      </c>
      <c r="N1156" s="3" t="s">
        <v>2276</v>
      </c>
      <c r="O1156" s="3" t="s">
        <v>2276</v>
      </c>
      <c r="P1156" s="3" t="s">
        <v>2276</v>
      </c>
      <c r="Q1156" s="3" t="s">
        <v>2276</v>
      </c>
      <c r="R1156" s="3" t="s">
        <v>2276</v>
      </c>
      <c r="S1156" s="3" t="s">
        <v>2276</v>
      </c>
      <c r="T1156" s="21">
        <v>6966.96</v>
      </c>
      <c r="U1156" s="3" t="s">
        <v>2276</v>
      </c>
      <c r="V1156" s="3" t="s">
        <v>2276</v>
      </c>
      <c r="W1156" s="3" t="s">
        <v>2276</v>
      </c>
      <c r="X1156" s="3" t="s">
        <v>2276</v>
      </c>
      <c r="Y1156" s="3" t="s">
        <v>2276</v>
      </c>
      <c r="Z1156" s="3" t="s">
        <v>2276</v>
      </c>
      <c r="AA1156" s="3" t="s">
        <v>2276</v>
      </c>
      <c r="AB1156" s="3" t="s">
        <v>2276</v>
      </c>
      <c r="AC1156" s="3"/>
      <c r="AD1156" s="3"/>
    </row>
    <row r="1157" spans="1:30" ht="37.5" customHeight="1">
      <c r="A1157" s="11" t="s">
        <v>3491</v>
      </c>
      <c r="B1157" s="11" t="s">
        <v>3502</v>
      </c>
      <c r="C1157" s="3" t="s">
        <v>1105</v>
      </c>
      <c r="D1157" s="3" t="s">
        <v>1105</v>
      </c>
      <c r="E1157" s="3" t="s">
        <v>1105</v>
      </c>
      <c r="F1157" s="4" t="s">
        <v>1105</v>
      </c>
      <c r="G1157" s="3" t="s">
        <v>1105</v>
      </c>
      <c r="H1157" s="3" t="s">
        <v>523</v>
      </c>
      <c r="I1157" s="3">
        <v>2012</v>
      </c>
      <c r="J1157" s="3" t="s">
        <v>2276</v>
      </c>
      <c r="K1157" s="3" t="s">
        <v>2276</v>
      </c>
      <c r="L1157" s="3" t="s">
        <v>2276</v>
      </c>
      <c r="M1157" s="3" t="s">
        <v>2276</v>
      </c>
      <c r="N1157" s="3" t="s">
        <v>2276</v>
      </c>
      <c r="O1157" s="3" t="s">
        <v>2276</v>
      </c>
      <c r="P1157" s="3" t="s">
        <v>2276</v>
      </c>
      <c r="Q1157" s="3" t="s">
        <v>2276</v>
      </c>
      <c r="R1157" s="3" t="s">
        <v>2276</v>
      </c>
      <c r="S1157" s="3" t="s">
        <v>2276</v>
      </c>
      <c r="T1157" s="21">
        <v>4866.6099999999997</v>
      </c>
      <c r="U1157" s="3" t="s">
        <v>2276</v>
      </c>
      <c r="V1157" s="3" t="s">
        <v>2276</v>
      </c>
      <c r="W1157" s="3" t="s">
        <v>2276</v>
      </c>
      <c r="X1157" s="3" t="s">
        <v>2276</v>
      </c>
      <c r="Y1157" s="3" t="s">
        <v>2276</v>
      </c>
      <c r="Z1157" s="3" t="s">
        <v>2276</v>
      </c>
      <c r="AA1157" s="3" t="s">
        <v>2276</v>
      </c>
      <c r="AB1157" s="3" t="s">
        <v>2276</v>
      </c>
      <c r="AC1157" s="3"/>
      <c r="AD1157" s="3"/>
    </row>
    <row r="1158" spans="1:30" ht="37.5" customHeight="1">
      <c r="A1158" s="11" t="s">
        <v>3491</v>
      </c>
      <c r="B1158" s="11" t="s">
        <v>3503</v>
      </c>
      <c r="C1158" s="3" t="s">
        <v>1105</v>
      </c>
      <c r="D1158" s="3" t="s">
        <v>1105</v>
      </c>
      <c r="E1158" s="3" t="s">
        <v>1105</v>
      </c>
      <c r="F1158" s="4" t="s">
        <v>1105</v>
      </c>
      <c r="G1158" s="3" t="s">
        <v>1105</v>
      </c>
      <c r="H1158" s="3" t="s">
        <v>523</v>
      </c>
      <c r="I1158" s="3">
        <v>2013</v>
      </c>
      <c r="J1158" s="3" t="s">
        <v>2276</v>
      </c>
      <c r="K1158" s="3" t="s">
        <v>2276</v>
      </c>
      <c r="L1158" s="3" t="s">
        <v>2276</v>
      </c>
      <c r="M1158" s="3" t="s">
        <v>2276</v>
      </c>
      <c r="N1158" s="3" t="s">
        <v>2276</v>
      </c>
      <c r="O1158" s="3" t="s">
        <v>2276</v>
      </c>
      <c r="P1158" s="3" t="s">
        <v>2276</v>
      </c>
      <c r="Q1158" s="3" t="s">
        <v>2276</v>
      </c>
      <c r="R1158" s="3" t="s">
        <v>2276</v>
      </c>
      <c r="S1158" s="3" t="s">
        <v>2276</v>
      </c>
      <c r="T1158" s="21">
        <v>4766.0200000000004</v>
      </c>
      <c r="U1158" s="3" t="s">
        <v>2276</v>
      </c>
      <c r="V1158" s="3" t="s">
        <v>2276</v>
      </c>
      <c r="W1158" s="3" t="s">
        <v>2276</v>
      </c>
      <c r="X1158" s="3" t="s">
        <v>2276</v>
      </c>
      <c r="Y1158" s="3" t="s">
        <v>2276</v>
      </c>
      <c r="Z1158" s="3" t="s">
        <v>2276</v>
      </c>
      <c r="AA1158" s="3" t="s">
        <v>2276</v>
      </c>
      <c r="AB1158" s="3" t="s">
        <v>2276</v>
      </c>
      <c r="AC1158" s="3"/>
      <c r="AD1158" s="3"/>
    </row>
    <row r="1159" spans="1:30" ht="37.5" customHeight="1">
      <c r="A1159" s="11" t="s">
        <v>3491</v>
      </c>
      <c r="B1159" s="11" t="s">
        <v>3504</v>
      </c>
      <c r="C1159" s="3" t="s">
        <v>1105</v>
      </c>
      <c r="D1159" s="3" t="s">
        <v>1105</v>
      </c>
      <c r="E1159" s="3" t="s">
        <v>1105</v>
      </c>
      <c r="F1159" s="4" t="s">
        <v>1105</v>
      </c>
      <c r="G1159" s="3" t="s">
        <v>1105</v>
      </c>
      <c r="H1159" s="3" t="s">
        <v>523</v>
      </c>
      <c r="I1159" s="3">
        <v>2014</v>
      </c>
      <c r="J1159" s="3" t="s">
        <v>2276</v>
      </c>
      <c r="K1159" s="3" t="s">
        <v>2276</v>
      </c>
      <c r="L1159" s="3" t="s">
        <v>2276</v>
      </c>
      <c r="M1159" s="3" t="s">
        <v>2276</v>
      </c>
      <c r="N1159" s="3" t="s">
        <v>2276</v>
      </c>
      <c r="O1159" s="3" t="s">
        <v>2276</v>
      </c>
      <c r="P1159" s="3" t="s">
        <v>2276</v>
      </c>
      <c r="Q1159" s="3" t="s">
        <v>2276</v>
      </c>
      <c r="R1159" s="3" t="s">
        <v>2276</v>
      </c>
      <c r="S1159" s="3" t="s">
        <v>2276</v>
      </c>
      <c r="T1159" s="21">
        <v>3186.23</v>
      </c>
      <c r="U1159" s="3" t="s">
        <v>2276</v>
      </c>
      <c r="V1159" s="3" t="s">
        <v>2276</v>
      </c>
      <c r="W1159" s="3" t="s">
        <v>2276</v>
      </c>
      <c r="X1159" s="3" t="s">
        <v>2276</v>
      </c>
      <c r="Y1159" s="3" t="s">
        <v>2276</v>
      </c>
      <c r="Z1159" s="3" t="s">
        <v>2276</v>
      </c>
      <c r="AA1159" s="3" t="s">
        <v>2276</v>
      </c>
      <c r="AB1159" s="3" t="s">
        <v>2276</v>
      </c>
      <c r="AC1159" s="3"/>
      <c r="AD1159" s="3"/>
    </row>
    <row r="1160" spans="1:30" ht="45" customHeight="1">
      <c r="A1160" s="11" t="s">
        <v>3530</v>
      </c>
      <c r="B1160" s="3" t="s">
        <v>3533</v>
      </c>
      <c r="C1160" s="3" t="s">
        <v>24</v>
      </c>
      <c r="D1160" s="3" t="s">
        <v>1242</v>
      </c>
      <c r="E1160" s="3" t="s">
        <v>5005</v>
      </c>
      <c r="F1160" s="4" t="s">
        <v>2662</v>
      </c>
      <c r="G1160" s="3" t="s">
        <v>2276</v>
      </c>
      <c r="H1160" s="3" t="s">
        <v>523</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2276</v>
      </c>
      <c r="Y1160" s="21">
        <v>4.5</v>
      </c>
      <c r="Z1160" s="3" t="s">
        <v>425</v>
      </c>
      <c r="AA1160" s="3" t="s">
        <v>68</v>
      </c>
      <c r="AB1160" s="3" t="s">
        <v>64</v>
      </c>
      <c r="AC1160" s="3"/>
      <c r="AD1160" s="3"/>
    </row>
    <row r="1161" spans="1:30" ht="45" customHeight="1">
      <c r="A1161" s="11" t="s">
        <v>3530</v>
      </c>
      <c r="B1161" s="3" t="s">
        <v>3534</v>
      </c>
      <c r="C1161" s="3" t="s">
        <v>24</v>
      </c>
      <c r="D1161" s="3" t="s">
        <v>1242</v>
      </c>
      <c r="E1161" s="3" t="s">
        <v>5005</v>
      </c>
      <c r="F1161" s="4" t="s">
        <v>74</v>
      </c>
      <c r="G1161" s="3"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3" t="s">
        <v>2276</v>
      </c>
      <c r="Z1161" s="3" t="s">
        <v>2276</v>
      </c>
      <c r="AA1161" s="3" t="s">
        <v>2276</v>
      </c>
      <c r="AB1161" s="3" t="s">
        <v>2276</v>
      </c>
      <c r="AC1161" s="4" t="s">
        <v>3536</v>
      </c>
      <c r="AD1161" s="3"/>
    </row>
    <row r="1162" spans="1:30" ht="45" customHeight="1">
      <c r="A1162" s="11" t="s">
        <v>3530</v>
      </c>
      <c r="B1162" s="3" t="s">
        <v>3535</v>
      </c>
      <c r="C1162" s="3" t="s">
        <v>24</v>
      </c>
      <c r="D1162" s="3" t="s">
        <v>2804</v>
      </c>
      <c r="E1162" s="3" t="s">
        <v>5005</v>
      </c>
      <c r="F1162" s="4" t="s">
        <v>2662</v>
      </c>
      <c r="G1162" s="3" t="s">
        <v>2276</v>
      </c>
      <c r="H1162" s="3" t="s">
        <v>523</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2276</v>
      </c>
      <c r="Y1162" s="21">
        <v>4.5</v>
      </c>
      <c r="Z1162" s="3" t="s">
        <v>404</v>
      </c>
      <c r="AA1162" s="3" t="s">
        <v>68</v>
      </c>
      <c r="AB1162" s="3" t="s">
        <v>64</v>
      </c>
      <c r="AC1162" s="3"/>
      <c r="AD1162" s="3"/>
    </row>
    <row r="1163" spans="1:30" ht="45" customHeight="1">
      <c r="A1163" s="11" t="s">
        <v>3530</v>
      </c>
      <c r="B1163" s="3" t="s">
        <v>3537</v>
      </c>
      <c r="C1163" s="3" t="s">
        <v>24</v>
      </c>
      <c r="D1163" s="3" t="s">
        <v>2804</v>
      </c>
      <c r="E1163" s="3" t="s">
        <v>5005</v>
      </c>
      <c r="F1163" s="4" t="s">
        <v>2662</v>
      </c>
      <c r="G1163" s="3" t="s">
        <v>2276</v>
      </c>
      <c r="H1163" s="3" t="s">
        <v>523</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2276</v>
      </c>
      <c r="Y1163" s="21">
        <v>4.5</v>
      </c>
      <c r="Z1163" s="3" t="s">
        <v>399</v>
      </c>
      <c r="AA1163" s="3" t="s">
        <v>38</v>
      </c>
      <c r="AB1163" s="3" t="s">
        <v>64</v>
      </c>
      <c r="AC1163" s="3"/>
      <c r="AD1163" s="3"/>
    </row>
    <row r="1164" spans="1:30" ht="45" customHeight="1">
      <c r="A1164" s="11" t="s">
        <v>3530</v>
      </c>
      <c r="B1164" s="3" t="s">
        <v>3538</v>
      </c>
      <c r="C1164" s="3" t="s">
        <v>24</v>
      </c>
      <c r="D1164" s="3" t="s">
        <v>25</v>
      </c>
      <c r="E1164" s="3" t="s">
        <v>5005</v>
      </c>
      <c r="F1164" s="4" t="s">
        <v>2662</v>
      </c>
      <c r="G1164" s="3" t="s">
        <v>2276</v>
      </c>
      <c r="H1164" s="3" t="s">
        <v>523</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2276</v>
      </c>
      <c r="Y1164" s="21">
        <v>4.5</v>
      </c>
      <c r="Z1164" s="3" t="s">
        <v>404</v>
      </c>
      <c r="AA1164" s="3" t="s">
        <v>68</v>
      </c>
      <c r="AB1164" s="3" t="s">
        <v>64</v>
      </c>
      <c r="AC1164" s="3"/>
      <c r="AD1164" s="3"/>
    </row>
    <row r="1165" spans="1:30" ht="45" customHeight="1">
      <c r="A1165" s="11" t="s">
        <v>3530</v>
      </c>
      <c r="B1165" s="3" t="s">
        <v>3539</v>
      </c>
      <c r="C1165" s="3" t="s">
        <v>24</v>
      </c>
      <c r="D1165" s="3" t="s">
        <v>25</v>
      </c>
      <c r="E1165" s="3" t="s">
        <v>5005</v>
      </c>
      <c r="F1165" s="4" t="s">
        <v>2662</v>
      </c>
      <c r="G1165" s="3" t="s">
        <v>2276</v>
      </c>
      <c r="H1165" s="3" t="s">
        <v>523</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2276</v>
      </c>
      <c r="Y1165" s="21">
        <v>4.5</v>
      </c>
      <c r="Z1165" s="3" t="s">
        <v>399</v>
      </c>
      <c r="AA1165" s="3" t="s">
        <v>38</v>
      </c>
      <c r="AB1165" s="3" t="s">
        <v>64</v>
      </c>
      <c r="AC1165" s="3"/>
      <c r="AD1165" s="3"/>
    </row>
    <row r="1166" spans="1:30" ht="45" customHeight="1">
      <c r="A1166" s="11" t="s">
        <v>3530</v>
      </c>
      <c r="B1166" s="3" t="s">
        <v>3540</v>
      </c>
      <c r="C1166" s="3" t="s">
        <v>24</v>
      </c>
      <c r="D1166" s="3" t="s">
        <v>26</v>
      </c>
      <c r="E1166" s="3" t="s">
        <v>5005</v>
      </c>
      <c r="F1166" s="4" t="s">
        <v>2662</v>
      </c>
      <c r="G1166" s="3" t="s">
        <v>2276</v>
      </c>
      <c r="H1166" s="3" t="s">
        <v>523</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2276</v>
      </c>
      <c r="Y1166" s="21">
        <v>4.5</v>
      </c>
      <c r="Z1166" s="3" t="s">
        <v>404</v>
      </c>
      <c r="AA1166" s="3" t="s">
        <v>68</v>
      </c>
      <c r="AB1166" s="3" t="s">
        <v>64</v>
      </c>
      <c r="AC1166" s="3"/>
      <c r="AD1166" s="3"/>
    </row>
    <row r="1167" spans="1:30" ht="45" customHeight="1">
      <c r="A1167" s="11" t="s">
        <v>3530</v>
      </c>
      <c r="B1167" s="3" t="s">
        <v>3541</v>
      </c>
      <c r="C1167" s="3" t="s">
        <v>24</v>
      </c>
      <c r="D1167" s="3" t="s">
        <v>26</v>
      </c>
      <c r="E1167" s="3" t="s">
        <v>5005</v>
      </c>
      <c r="F1167" s="4" t="s">
        <v>2662</v>
      </c>
      <c r="G1167" s="3" t="s">
        <v>2276</v>
      </c>
      <c r="H1167" s="3" t="s">
        <v>523</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2276</v>
      </c>
      <c r="Y1167" s="21">
        <v>4.5</v>
      </c>
      <c r="Z1167" s="3" t="s">
        <v>399</v>
      </c>
      <c r="AA1167" s="3" t="s">
        <v>38</v>
      </c>
      <c r="AB1167" s="3" t="s">
        <v>64</v>
      </c>
      <c r="AC1167" s="3"/>
      <c r="AD1167" s="3"/>
    </row>
    <row r="1168" spans="1:30" ht="45" customHeight="1">
      <c r="A1168" s="11" t="s">
        <v>3530</v>
      </c>
      <c r="B1168" s="3" t="s">
        <v>3542</v>
      </c>
      <c r="C1168" s="3" t="s">
        <v>24</v>
      </c>
      <c r="D1168" s="3" t="s">
        <v>2341</v>
      </c>
      <c r="E1168" s="3" t="s">
        <v>5005</v>
      </c>
      <c r="F1168" s="4" t="s">
        <v>2662</v>
      </c>
      <c r="G1168" s="3" t="s">
        <v>2276</v>
      </c>
      <c r="H1168" s="3" t="s">
        <v>523</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2276</v>
      </c>
      <c r="Y1168" s="21">
        <v>4.5</v>
      </c>
      <c r="Z1168" s="3" t="s">
        <v>404</v>
      </c>
      <c r="AA1168" s="3" t="s">
        <v>68</v>
      </c>
      <c r="AB1168" s="3" t="s">
        <v>64</v>
      </c>
      <c r="AC1168" s="3"/>
      <c r="AD1168" s="3"/>
    </row>
    <row r="1169" spans="1:30" ht="45" customHeight="1">
      <c r="A1169" s="11" t="s">
        <v>3530</v>
      </c>
      <c r="B1169" s="3" t="s">
        <v>3543</v>
      </c>
      <c r="C1169" s="3" t="s">
        <v>24</v>
      </c>
      <c r="D1169" s="3" t="s">
        <v>2341</v>
      </c>
      <c r="E1169" s="3" t="s">
        <v>5005</v>
      </c>
      <c r="F1169" s="4" t="s">
        <v>2662</v>
      </c>
      <c r="G1169" s="3" t="s">
        <v>2276</v>
      </c>
      <c r="H1169" s="3" t="s">
        <v>523</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2276</v>
      </c>
      <c r="Y1169" s="21">
        <v>4.5</v>
      </c>
      <c r="Z1169" s="3" t="s">
        <v>399</v>
      </c>
      <c r="AA1169" s="3" t="s">
        <v>38</v>
      </c>
      <c r="AB1169" s="3" t="s">
        <v>64</v>
      </c>
      <c r="AC1169" s="3"/>
      <c r="AD1169" s="3"/>
    </row>
    <row r="1170" spans="1:30" ht="45" customHeight="1">
      <c r="A1170" s="11" t="s">
        <v>3530</v>
      </c>
      <c r="B1170" s="3" t="s">
        <v>3544</v>
      </c>
      <c r="C1170" s="3" t="s">
        <v>24</v>
      </c>
      <c r="D1170" s="3" t="s">
        <v>1131</v>
      </c>
      <c r="E1170" s="3" t="s">
        <v>5005</v>
      </c>
      <c r="F1170" s="4" t="s">
        <v>2662</v>
      </c>
      <c r="G1170" s="3" t="s">
        <v>2276</v>
      </c>
      <c r="H1170" s="3" t="s">
        <v>523</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2276</v>
      </c>
      <c r="Y1170" s="21">
        <v>4.5</v>
      </c>
      <c r="Z1170" s="3" t="s">
        <v>404</v>
      </c>
      <c r="AA1170" s="3" t="s">
        <v>68</v>
      </c>
      <c r="AB1170" s="3" t="s">
        <v>64</v>
      </c>
      <c r="AC1170" s="3"/>
      <c r="AD1170" s="3"/>
    </row>
    <row r="1171" spans="1:30" ht="45" customHeight="1">
      <c r="A1171" s="11" t="s">
        <v>3530</v>
      </c>
      <c r="B1171" s="3" t="s">
        <v>3545</v>
      </c>
      <c r="C1171" s="3" t="s">
        <v>24</v>
      </c>
      <c r="D1171" s="3" t="s">
        <v>1131</v>
      </c>
      <c r="E1171" s="3" t="s">
        <v>5005</v>
      </c>
      <c r="F1171" s="4" t="s">
        <v>2662</v>
      </c>
      <c r="G1171" s="3" t="s">
        <v>2276</v>
      </c>
      <c r="H1171" s="3" t="s">
        <v>523</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2276</v>
      </c>
      <c r="Y1171" s="21">
        <v>4.5</v>
      </c>
      <c r="Z1171" s="3" t="s">
        <v>399</v>
      </c>
      <c r="AA1171" s="3" t="s">
        <v>38</v>
      </c>
      <c r="AB1171" s="3" t="s">
        <v>64</v>
      </c>
      <c r="AC1171" s="3"/>
      <c r="AD1171" s="3"/>
    </row>
    <row r="1172" spans="1:30" ht="40" customHeight="1">
      <c r="A1172" s="11" t="s">
        <v>3530</v>
      </c>
      <c r="B1172" s="3" t="s">
        <v>3546</v>
      </c>
      <c r="C1172" s="3" t="s">
        <v>24</v>
      </c>
      <c r="D1172" s="3" t="s">
        <v>1105</v>
      </c>
      <c r="E1172" s="3" t="s">
        <v>116</v>
      </c>
      <c r="F1172" s="4" t="s">
        <v>74</v>
      </c>
      <c r="G1172" s="3"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3" t="s">
        <v>2276</v>
      </c>
      <c r="Z1172" s="3" t="s">
        <v>2276</v>
      </c>
      <c r="AA1172" s="3" t="s">
        <v>2276</v>
      </c>
      <c r="AB1172" s="3" t="s">
        <v>2276</v>
      </c>
      <c r="AC1172" s="4" t="s">
        <v>3536</v>
      </c>
      <c r="AD1172" s="3"/>
    </row>
    <row r="1173" spans="1:30" ht="92.5" customHeight="1">
      <c r="A1173" s="11" t="s">
        <v>3532</v>
      </c>
      <c r="B1173" s="11" t="s">
        <v>3553</v>
      </c>
      <c r="C1173" s="3" t="s">
        <v>24</v>
      </c>
      <c r="D1173" s="3" t="s">
        <v>1242</v>
      </c>
      <c r="E1173" s="3" t="s">
        <v>5005</v>
      </c>
      <c r="F1173" s="4" t="s">
        <v>2662</v>
      </c>
      <c r="G1173" s="3"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3" t="s">
        <v>2276</v>
      </c>
      <c r="Z1173" s="3" t="s">
        <v>2276</v>
      </c>
      <c r="AA1173" s="3" t="s">
        <v>2276</v>
      </c>
      <c r="AB1173" s="3" t="s">
        <v>2276</v>
      </c>
      <c r="AC1173" s="4" t="s">
        <v>3554</v>
      </c>
      <c r="AD1173" s="3"/>
    </row>
    <row r="1174" spans="1:30" ht="72.5">
      <c r="A1174" s="11" t="s">
        <v>3532</v>
      </c>
      <c r="B1174" s="11" t="s">
        <v>3555</v>
      </c>
      <c r="C1174" s="3" t="s">
        <v>24</v>
      </c>
      <c r="D1174" s="3" t="s">
        <v>2804</v>
      </c>
      <c r="E1174" s="3" t="s">
        <v>5005</v>
      </c>
      <c r="F1174" s="4" t="s">
        <v>2662</v>
      </c>
      <c r="G1174" s="3"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3" t="s">
        <v>2276</v>
      </c>
      <c r="Z1174" s="3" t="s">
        <v>2276</v>
      </c>
      <c r="AA1174" s="3" t="s">
        <v>2276</v>
      </c>
      <c r="AB1174" s="3" t="s">
        <v>2276</v>
      </c>
      <c r="AC1174" s="4" t="s">
        <v>3554</v>
      </c>
      <c r="AD1174" s="3"/>
    </row>
    <row r="1175" spans="1:30" ht="72.5">
      <c r="A1175" s="11" t="s">
        <v>3532</v>
      </c>
      <c r="B1175" s="11" t="s">
        <v>3556</v>
      </c>
      <c r="C1175" s="3" t="s">
        <v>24</v>
      </c>
      <c r="D1175" s="3" t="s">
        <v>26</v>
      </c>
      <c r="E1175" s="3" t="s">
        <v>5005</v>
      </c>
      <c r="F1175" s="4" t="s">
        <v>2662</v>
      </c>
      <c r="G1175" s="3"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3" t="s">
        <v>2276</v>
      </c>
      <c r="Z1175" s="3" t="s">
        <v>2276</v>
      </c>
      <c r="AA1175" s="3" t="s">
        <v>2276</v>
      </c>
      <c r="AB1175" s="3" t="s">
        <v>2276</v>
      </c>
      <c r="AC1175" s="4" t="s">
        <v>3554</v>
      </c>
      <c r="AD1175" s="3"/>
    </row>
    <row r="1176" spans="1:30" ht="72.5">
      <c r="A1176" s="11" t="s">
        <v>3532</v>
      </c>
      <c r="B1176" s="11" t="s">
        <v>3557</v>
      </c>
      <c r="C1176" s="3" t="s">
        <v>24</v>
      </c>
      <c r="D1176" s="3" t="s">
        <v>25</v>
      </c>
      <c r="E1176" s="3" t="s">
        <v>5005</v>
      </c>
      <c r="F1176" s="4" t="s">
        <v>2662</v>
      </c>
      <c r="G1176" s="3"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3" t="s">
        <v>2276</v>
      </c>
      <c r="Z1176" s="3" t="s">
        <v>2276</v>
      </c>
      <c r="AA1176" s="3" t="s">
        <v>2276</v>
      </c>
      <c r="AB1176" s="3" t="s">
        <v>2276</v>
      </c>
      <c r="AC1176" s="4" t="s">
        <v>3554</v>
      </c>
      <c r="AD1176" s="3"/>
    </row>
    <row r="1177" spans="1:30" ht="72.5">
      <c r="A1177" s="11" t="s">
        <v>3532</v>
      </c>
      <c r="B1177" s="11" t="s">
        <v>3558</v>
      </c>
      <c r="C1177" s="3" t="s">
        <v>24</v>
      </c>
      <c r="D1177" s="3" t="s">
        <v>2341</v>
      </c>
      <c r="E1177" s="3" t="s">
        <v>5005</v>
      </c>
      <c r="F1177" s="4" t="s">
        <v>2662</v>
      </c>
      <c r="G1177" s="3"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3" t="s">
        <v>2276</v>
      </c>
      <c r="Z1177" s="3" t="s">
        <v>2276</v>
      </c>
      <c r="AA1177" s="3" t="s">
        <v>2276</v>
      </c>
      <c r="AB1177" s="3" t="s">
        <v>2276</v>
      </c>
      <c r="AC1177" s="4" t="s">
        <v>3554</v>
      </c>
      <c r="AD1177" s="3"/>
    </row>
    <row r="1178" spans="1:30" ht="72.5">
      <c r="A1178" s="11" t="s">
        <v>3532</v>
      </c>
      <c r="B1178" s="11" t="s">
        <v>3559</v>
      </c>
      <c r="C1178" s="3" t="s">
        <v>24</v>
      </c>
      <c r="D1178" s="3" t="s">
        <v>1131</v>
      </c>
      <c r="E1178" s="3" t="s">
        <v>5005</v>
      </c>
      <c r="F1178" s="4" t="s">
        <v>2662</v>
      </c>
      <c r="G1178" s="3"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3" t="s">
        <v>2276</v>
      </c>
      <c r="Z1178" s="3" t="s">
        <v>2276</v>
      </c>
      <c r="AA1178" s="3" t="s">
        <v>2276</v>
      </c>
      <c r="AB1178" s="3" t="s">
        <v>2276</v>
      </c>
      <c r="AC1178" s="4" t="s">
        <v>3554</v>
      </c>
      <c r="AD1178" s="3"/>
    </row>
    <row r="1179" spans="1:30" ht="29">
      <c r="A1179" s="11" t="s">
        <v>3532</v>
      </c>
      <c r="B1179" s="11" t="s">
        <v>3560</v>
      </c>
      <c r="C1179" s="3" t="s">
        <v>24</v>
      </c>
      <c r="D1179" s="3" t="s">
        <v>25</v>
      </c>
      <c r="E1179" s="3" t="s">
        <v>5005</v>
      </c>
      <c r="F1179" s="4" t="s">
        <v>2662</v>
      </c>
      <c r="G1179" s="3" t="s">
        <v>2276</v>
      </c>
      <c r="H1179" s="3" t="s">
        <v>523</v>
      </c>
      <c r="I1179" s="3">
        <v>1998</v>
      </c>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2276</v>
      </c>
      <c r="Y1179" s="3" t="s">
        <v>2276</v>
      </c>
      <c r="Z1179" s="3" t="s">
        <v>68</v>
      </c>
      <c r="AA1179" s="3" t="s">
        <v>68</v>
      </c>
      <c r="AB1179" s="3" t="s">
        <v>2276</v>
      </c>
      <c r="AC1179" s="3" t="s">
        <v>3568</v>
      </c>
      <c r="AD1179" s="3"/>
    </row>
    <row r="1180" spans="1:30" ht="38" customHeight="1">
      <c r="A1180" s="11" t="s">
        <v>3532</v>
      </c>
      <c r="B1180" s="11" t="s">
        <v>3561</v>
      </c>
      <c r="C1180" s="3" t="s">
        <v>31</v>
      </c>
      <c r="D1180" s="3" t="s">
        <v>2276</v>
      </c>
      <c r="E1180" s="3" t="s">
        <v>2652</v>
      </c>
      <c r="F1180" s="4" t="s">
        <v>2276</v>
      </c>
      <c r="G1180" s="3" t="s">
        <v>2276</v>
      </c>
      <c r="H1180" s="3" t="s">
        <v>523</v>
      </c>
      <c r="I1180" s="3">
        <v>1999</v>
      </c>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2276</v>
      </c>
      <c r="Y1180" s="3" t="s">
        <v>2276</v>
      </c>
      <c r="Z1180" s="3" t="s">
        <v>425</v>
      </c>
      <c r="AA1180" s="3" t="s">
        <v>425</v>
      </c>
      <c r="AB1180" s="3" t="s">
        <v>2276</v>
      </c>
      <c r="AC1180" s="4" t="s">
        <v>3569</v>
      </c>
      <c r="AD1180" s="3"/>
    </row>
    <row r="1181" spans="1:30" ht="37" customHeight="1">
      <c r="A1181" s="11" t="s">
        <v>3532</v>
      </c>
      <c r="B1181" s="11" t="s">
        <v>3562</v>
      </c>
      <c r="C1181" s="3" t="s">
        <v>2458</v>
      </c>
      <c r="D1181" s="3" t="s">
        <v>2994</v>
      </c>
      <c r="E1181" s="3" t="s">
        <v>5005</v>
      </c>
      <c r="F1181" s="4" t="s">
        <v>2662</v>
      </c>
      <c r="G1181" s="3" t="s">
        <v>2276</v>
      </c>
      <c r="H1181" s="3" t="s">
        <v>523</v>
      </c>
      <c r="I1181" s="3">
        <v>2000</v>
      </c>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2276</v>
      </c>
      <c r="Y1181" s="3" t="s">
        <v>2276</v>
      </c>
      <c r="Z1181" s="3" t="s">
        <v>405</v>
      </c>
      <c r="AA1181" s="3" t="s">
        <v>405</v>
      </c>
      <c r="AB1181" s="3" t="s">
        <v>2276</v>
      </c>
      <c r="AC1181" s="3" t="s">
        <v>3570</v>
      </c>
      <c r="AD1181" s="3"/>
    </row>
    <row r="1182" spans="1:30" ht="37" customHeight="1">
      <c r="A1182" s="11" t="s">
        <v>3532</v>
      </c>
      <c r="B1182" s="11" t="s">
        <v>3563</v>
      </c>
      <c r="C1182" s="3" t="s">
        <v>24</v>
      </c>
      <c r="D1182" s="3" t="s">
        <v>2276</v>
      </c>
      <c r="E1182" s="3" t="s">
        <v>5005</v>
      </c>
      <c r="F1182" s="4" t="s">
        <v>2662</v>
      </c>
      <c r="G1182" s="3" t="s">
        <v>2276</v>
      </c>
      <c r="H1182" s="3" t="s">
        <v>523</v>
      </c>
      <c r="I1182" s="3">
        <v>2000</v>
      </c>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2276</v>
      </c>
      <c r="Y1182" s="3" t="s">
        <v>2276</v>
      </c>
      <c r="Z1182" s="3" t="s">
        <v>405</v>
      </c>
      <c r="AA1182" s="3" t="s">
        <v>405</v>
      </c>
      <c r="AB1182" s="3" t="s">
        <v>2276</v>
      </c>
      <c r="AC1182" s="3" t="s">
        <v>3571</v>
      </c>
      <c r="AD1182" s="3"/>
    </row>
    <row r="1183" spans="1:30" ht="37" customHeight="1">
      <c r="A1183" s="11" t="s">
        <v>3532</v>
      </c>
      <c r="B1183" s="11" t="s">
        <v>3564</v>
      </c>
      <c r="C1183" s="3" t="s">
        <v>2458</v>
      </c>
      <c r="D1183" s="3" t="s">
        <v>2994</v>
      </c>
      <c r="E1183" s="3" t="s">
        <v>5005</v>
      </c>
      <c r="F1183" s="4" t="s">
        <v>2662</v>
      </c>
      <c r="G1183" s="3" t="s">
        <v>2276</v>
      </c>
      <c r="H1183" s="3" t="s">
        <v>523</v>
      </c>
      <c r="I1183" s="3">
        <v>2003</v>
      </c>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2276</v>
      </c>
      <c r="Y1183" s="3" t="s">
        <v>2276</v>
      </c>
      <c r="Z1183" s="3" t="s">
        <v>34</v>
      </c>
      <c r="AA1183" s="3" t="s">
        <v>34</v>
      </c>
      <c r="AB1183" s="3" t="s">
        <v>2276</v>
      </c>
      <c r="AC1183" s="3" t="s">
        <v>3570</v>
      </c>
      <c r="AD1183" s="3"/>
    </row>
    <row r="1184" spans="1:30" ht="37" customHeight="1">
      <c r="A1184" s="11" t="s">
        <v>3532</v>
      </c>
      <c r="B1184" s="11" t="s">
        <v>3565</v>
      </c>
      <c r="C1184" s="3" t="s">
        <v>31</v>
      </c>
      <c r="D1184" s="3" t="s">
        <v>2276</v>
      </c>
      <c r="E1184" s="3" t="s">
        <v>2652</v>
      </c>
      <c r="F1184" s="4" t="s">
        <v>2662</v>
      </c>
      <c r="G1184" s="3" t="s">
        <v>2276</v>
      </c>
      <c r="H1184" s="3" t="s">
        <v>523</v>
      </c>
      <c r="I1184" s="3">
        <v>2003</v>
      </c>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2276</v>
      </c>
      <c r="Y1184" s="3" t="s">
        <v>2276</v>
      </c>
      <c r="Z1184" s="3" t="s">
        <v>425</v>
      </c>
      <c r="AA1184" s="3" t="s">
        <v>425</v>
      </c>
      <c r="AB1184" s="3" t="s">
        <v>2276</v>
      </c>
      <c r="AC1184" s="3" t="s">
        <v>3572</v>
      </c>
      <c r="AD1184" s="3"/>
    </row>
    <row r="1185" spans="1:30" ht="37" customHeight="1">
      <c r="A1185" s="11" t="s">
        <v>3532</v>
      </c>
      <c r="B1185" s="11" t="s">
        <v>3566</v>
      </c>
      <c r="C1185" s="3" t="s">
        <v>2458</v>
      </c>
      <c r="D1185" s="3" t="s">
        <v>3476</v>
      </c>
      <c r="E1185" s="3" t="s">
        <v>116</v>
      </c>
      <c r="F1185" s="4" t="s">
        <v>2662</v>
      </c>
      <c r="G1185" s="3" t="s">
        <v>2276</v>
      </c>
      <c r="H1185" s="3" t="s">
        <v>523</v>
      </c>
      <c r="I1185" s="3">
        <v>2004</v>
      </c>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2276</v>
      </c>
      <c r="Y1185" s="3" t="s">
        <v>2276</v>
      </c>
      <c r="Z1185" s="3" t="s">
        <v>404</v>
      </c>
      <c r="AA1185" s="3" t="s">
        <v>404</v>
      </c>
      <c r="AB1185" s="3" t="s">
        <v>2276</v>
      </c>
      <c r="AC1185" s="3" t="s">
        <v>3476</v>
      </c>
      <c r="AD1185" s="3"/>
    </row>
    <row r="1186" spans="1:30" ht="37" customHeight="1">
      <c r="A1186" s="11" t="s">
        <v>3532</v>
      </c>
      <c r="B1186" s="11" t="s">
        <v>3567</v>
      </c>
      <c r="C1186" s="3" t="s">
        <v>2458</v>
      </c>
      <c r="D1186" s="3" t="s">
        <v>3476</v>
      </c>
      <c r="E1186" s="3" t="s">
        <v>116</v>
      </c>
      <c r="F1186" s="4" t="s">
        <v>2662</v>
      </c>
      <c r="G1186" s="3" t="s">
        <v>2276</v>
      </c>
      <c r="H1186" s="3" t="s">
        <v>523</v>
      </c>
      <c r="I1186" s="3">
        <v>2005</v>
      </c>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2276</v>
      </c>
      <c r="Y1186" s="3" t="s">
        <v>2276</v>
      </c>
      <c r="Z1186" s="3" t="s">
        <v>399</v>
      </c>
      <c r="AA1186" s="3" t="s">
        <v>399</v>
      </c>
      <c r="AB1186" s="3" t="s">
        <v>2276</v>
      </c>
      <c r="AC1186" s="3" t="s">
        <v>3476</v>
      </c>
      <c r="AD1186" s="3"/>
    </row>
    <row r="1187" spans="1:30" ht="30" customHeight="1">
      <c r="A1187" s="11" t="s">
        <v>3586</v>
      </c>
      <c r="B1187" s="3" t="s">
        <v>3599</v>
      </c>
      <c r="C1187" s="3" t="s">
        <v>24</v>
      </c>
      <c r="D1187" s="3" t="s">
        <v>27</v>
      </c>
      <c r="E1187" s="3" t="s">
        <v>130</v>
      </c>
      <c r="F1187" s="4" t="s">
        <v>161</v>
      </c>
      <c r="G1187" s="3" t="s">
        <v>2276</v>
      </c>
      <c r="H1187" s="3" t="s">
        <v>523</v>
      </c>
      <c r="I1187" s="3"/>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3" t="s">
        <v>2276</v>
      </c>
      <c r="AB1187" s="3" t="s">
        <v>2276</v>
      </c>
      <c r="AC1187" s="4" t="s">
        <v>3609</v>
      </c>
      <c r="AD1187" s="3"/>
    </row>
    <row r="1188" spans="1:30" ht="30" customHeight="1">
      <c r="A1188" s="11" t="s">
        <v>3589</v>
      </c>
      <c r="B1188" s="3" t="s">
        <v>3600</v>
      </c>
      <c r="C1188" s="3" t="s">
        <v>24</v>
      </c>
      <c r="D1188" s="3" t="s">
        <v>27</v>
      </c>
      <c r="E1188" s="3" t="s">
        <v>130</v>
      </c>
      <c r="F1188" s="4" t="s">
        <v>161</v>
      </c>
      <c r="G1188" s="3" t="s">
        <v>2276</v>
      </c>
      <c r="H1188" s="3" t="s">
        <v>523</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3" t="s">
        <v>2276</v>
      </c>
      <c r="AB1188" s="3" t="s">
        <v>2276</v>
      </c>
      <c r="AC1188" s="4" t="s">
        <v>3610</v>
      </c>
      <c r="AD1188" s="3"/>
    </row>
    <row r="1189" spans="1:30" ht="30" customHeight="1">
      <c r="A1189" s="11" t="s">
        <v>3590</v>
      </c>
      <c r="B1189" s="3" t="s">
        <v>3601</v>
      </c>
      <c r="C1189" s="3" t="s">
        <v>24</v>
      </c>
      <c r="D1189" s="3" t="s">
        <v>27</v>
      </c>
      <c r="E1189" s="3" t="s">
        <v>130</v>
      </c>
      <c r="F1189" s="4" t="s">
        <v>161</v>
      </c>
      <c r="G1189" s="3" t="s">
        <v>2276</v>
      </c>
      <c r="H1189" s="3" t="s">
        <v>523</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3" t="s">
        <v>2276</v>
      </c>
      <c r="AB1189" s="3" t="s">
        <v>2276</v>
      </c>
      <c r="AC1189" s="4" t="s">
        <v>3611</v>
      </c>
      <c r="AD1189" s="3"/>
    </row>
    <row r="1190" spans="1:30" ht="30" customHeight="1">
      <c r="A1190" s="11" t="s">
        <v>3591</v>
      </c>
      <c r="B1190" s="3" t="s">
        <v>3602</v>
      </c>
      <c r="C1190" s="3" t="s">
        <v>24</v>
      </c>
      <c r="D1190" s="3" t="s">
        <v>27</v>
      </c>
      <c r="E1190" s="3" t="s">
        <v>130</v>
      </c>
      <c r="F1190" s="4" t="s">
        <v>161</v>
      </c>
      <c r="G1190" s="3" t="s">
        <v>2276</v>
      </c>
      <c r="H1190" s="3" t="s">
        <v>523</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3" t="s">
        <v>2276</v>
      </c>
      <c r="AB1190" s="3" t="s">
        <v>2276</v>
      </c>
      <c r="AC1190" s="4" t="s">
        <v>3611</v>
      </c>
      <c r="AD1190" s="3"/>
    </row>
    <row r="1191" spans="1:30" ht="30" customHeight="1">
      <c r="A1191" s="11" t="s">
        <v>3592</v>
      </c>
      <c r="B1191" s="3" t="s">
        <v>3603</v>
      </c>
      <c r="C1191" s="3" t="s">
        <v>24</v>
      </c>
      <c r="D1191" s="3" t="s">
        <v>27</v>
      </c>
      <c r="E1191" s="3" t="s">
        <v>130</v>
      </c>
      <c r="F1191" s="4" t="s">
        <v>161</v>
      </c>
      <c r="G1191" s="3" t="s">
        <v>2276</v>
      </c>
      <c r="H1191" s="3"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3" t="s">
        <v>2276</v>
      </c>
      <c r="Z1191" s="3" t="s">
        <v>2276</v>
      </c>
      <c r="AA1191" s="3" t="s">
        <v>2276</v>
      </c>
      <c r="AB1191" s="3" t="s">
        <v>2276</v>
      </c>
      <c r="AC1191" s="3"/>
      <c r="AD1191" s="3"/>
    </row>
    <row r="1192" spans="1:30" ht="36" customHeight="1">
      <c r="A1192" s="11" t="s">
        <v>3586</v>
      </c>
      <c r="B1192" s="3" t="s">
        <v>3604</v>
      </c>
      <c r="C1192" s="3" t="s">
        <v>24</v>
      </c>
      <c r="D1192" s="3" t="s">
        <v>2659</v>
      </c>
      <c r="E1192" s="3" t="s">
        <v>130</v>
      </c>
      <c r="F1192" s="4" t="s">
        <v>28</v>
      </c>
      <c r="G1192" s="3" t="s">
        <v>2276</v>
      </c>
      <c r="H1192" s="3" t="s">
        <v>523</v>
      </c>
      <c r="I1192" s="3"/>
      <c r="J1192" s="3" t="s">
        <v>2276</v>
      </c>
      <c r="K1192" s="3" t="s">
        <v>2276</v>
      </c>
      <c r="L1192" s="3" t="s">
        <v>2276</v>
      </c>
      <c r="M1192" s="3" t="s">
        <v>2276</v>
      </c>
      <c r="N1192" s="3" t="s">
        <v>2276</v>
      </c>
      <c r="O1192" s="3" t="s">
        <v>2276</v>
      </c>
      <c r="P1192" s="3" t="s">
        <v>2276</v>
      </c>
      <c r="Q1192" s="3" t="s">
        <v>2276</v>
      </c>
      <c r="R1192" s="3" t="s">
        <v>2276</v>
      </c>
      <c r="S1192" s="3" t="s">
        <v>2276</v>
      </c>
      <c r="T1192" s="3" t="s">
        <v>2276</v>
      </c>
      <c r="U1192" s="3" t="s">
        <v>2276</v>
      </c>
      <c r="V1192" s="3" t="s">
        <v>2276</v>
      </c>
      <c r="W1192" s="3" t="s">
        <v>2276</v>
      </c>
      <c r="X1192" s="3" t="s">
        <v>2276</v>
      </c>
      <c r="Y1192" s="3" t="s">
        <v>2276</v>
      </c>
      <c r="Z1192" s="3" t="s">
        <v>2276</v>
      </c>
      <c r="AA1192" s="3" t="s">
        <v>2276</v>
      </c>
      <c r="AB1192" s="3" t="s">
        <v>2276</v>
      </c>
      <c r="AC1192" s="4" t="s">
        <v>3612</v>
      </c>
      <c r="AD1192" s="3"/>
    </row>
    <row r="1193" spans="1:30" ht="36" customHeight="1">
      <c r="A1193" s="11" t="s">
        <v>3589</v>
      </c>
      <c r="B1193" s="3" t="s">
        <v>3605</v>
      </c>
      <c r="C1193" s="3" t="s">
        <v>24</v>
      </c>
      <c r="D1193" s="3" t="s">
        <v>2659</v>
      </c>
      <c r="E1193" s="3" t="s">
        <v>130</v>
      </c>
      <c r="F1193" s="4" t="s">
        <v>28</v>
      </c>
      <c r="G1193" s="3" t="s">
        <v>2276</v>
      </c>
      <c r="H1193" s="3" t="s">
        <v>523</v>
      </c>
      <c r="I1193" s="3"/>
      <c r="J1193" s="3" t="s">
        <v>2276</v>
      </c>
      <c r="K1193" s="3" t="s">
        <v>2276</v>
      </c>
      <c r="L1193" s="3" t="s">
        <v>2276</v>
      </c>
      <c r="M1193" s="3" t="s">
        <v>2276</v>
      </c>
      <c r="N1193" s="3" t="s">
        <v>2276</v>
      </c>
      <c r="O1193" s="3" t="s">
        <v>2276</v>
      </c>
      <c r="P1193" s="3" t="s">
        <v>2276</v>
      </c>
      <c r="Q1193" s="3" t="s">
        <v>2276</v>
      </c>
      <c r="R1193" s="3" t="s">
        <v>2276</v>
      </c>
      <c r="S1193" s="3" t="s">
        <v>2276</v>
      </c>
      <c r="T1193" s="3" t="s">
        <v>2276</v>
      </c>
      <c r="U1193" s="3" t="s">
        <v>2276</v>
      </c>
      <c r="V1193" s="3" t="s">
        <v>2276</v>
      </c>
      <c r="W1193" s="3" t="s">
        <v>2276</v>
      </c>
      <c r="X1193" s="3" t="s">
        <v>2276</v>
      </c>
      <c r="Y1193" s="3" t="s">
        <v>2276</v>
      </c>
      <c r="Z1193" s="3" t="s">
        <v>2276</v>
      </c>
      <c r="AA1193" s="3" t="s">
        <v>2276</v>
      </c>
      <c r="AB1193" s="3" t="s">
        <v>2276</v>
      </c>
      <c r="AC1193" s="4" t="s">
        <v>3612</v>
      </c>
      <c r="AD1193" s="3"/>
    </row>
    <row r="1194" spans="1:30" ht="36" customHeight="1">
      <c r="A1194" s="11" t="s">
        <v>3590</v>
      </c>
      <c r="B1194" s="3" t="s">
        <v>3606</v>
      </c>
      <c r="C1194" s="3" t="s">
        <v>24</v>
      </c>
      <c r="D1194" s="3" t="s">
        <v>2659</v>
      </c>
      <c r="E1194" s="3" t="s">
        <v>130</v>
      </c>
      <c r="F1194" s="4" t="s">
        <v>28</v>
      </c>
      <c r="G1194" s="3" t="s">
        <v>2276</v>
      </c>
      <c r="H1194" s="3" t="s">
        <v>523</v>
      </c>
      <c r="I1194" s="3"/>
      <c r="J1194" s="3" t="s">
        <v>2276</v>
      </c>
      <c r="K1194" s="3" t="s">
        <v>2276</v>
      </c>
      <c r="L1194" s="3" t="s">
        <v>2276</v>
      </c>
      <c r="M1194" s="3" t="s">
        <v>2276</v>
      </c>
      <c r="N1194" s="3" t="s">
        <v>2276</v>
      </c>
      <c r="O1194" s="3" t="s">
        <v>2276</v>
      </c>
      <c r="P1194" s="3" t="s">
        <v>2276</v>
      </c>
      <c r="Q1194" s="3" t="s">
        <v>2276</v>
      </c>
      <c r="R1194" s="3" t="s">
        <v>2276</v>
      </c>
      <c r="S1194" s="3" t="s">
        <v>2276</v>
      </c>
      <c r="T1194" s="3" t="s">
        <v>2276</v>
      </c>
      <c r="U1194" s="3" t="s">
        <v>2276</v>
      </c>
      <c r="V1194" s="3" t="s">
        <v>2276</v>
      </c>
      <c r="W1194" s="3" t="s">
        <v>2276</v>
      </c>
      <c r="X1194" s="3" t="s">
        <v>2276</v>
      </c>
      <c r="Y1194" s="3" t="s">
        <v>2276</v>
      </c>
      <c r="Z1194" s="3" t="s">
        <v>2276</v>
      </c>
      <c r="AA1194" s="3" t="s">
        <v>2276</v>
      </c>
      <c r="AB1194" s="3" t="s">
        <v>2276</v>
      </c>
      <c r="AC1194" s="4" t="s">
        <v>3612</v>
      </c>
      <c r="AD1194" s="3"/>
    </row>
    <row r="1195" spans="1:30" ht="36" customHeight="1">
      <c r="A1195" s="11" t="s">
        <v>3591</v>
      </c>
      <c r="B1195" s="3" t="s">
        <v>3607</v>
      </c>
      <c r="C1195" s="3" t="s">
        <v>24</v>
      </c>
      <c r="D1195" s="3" t="s">
        <v>2659</v>
      </c>
      <c r="E1195" s="3" t="s">
        <v>130</v>
      </c>
      <c r="F1195" s="4" t="s">
        <v>28</v>
      </c>
      <c r="G1195" s="3" t="s">
        <v>2276</v>
      </c>
      <c r="H1195" s="3" t="s">
        <v>523</v>
      </c>
      <c r="I1195" s="3"/>
      <c r="J1195" s="3" t="s">
        <v>2276</v>
      </c>
      <c r="K1195" s="3" t="s">
        <v>2276</v>
      </c>
      <c r="L1195" s="3" t="s">
        <v>2276</v>
      </c>
      <c r="M1195" s="3" t="s">
        <v>2276</v>
      </c>
      <c r="N1195" s="3" t="s">
        <v>2276</v>
      </c>
      <c r="O1195" s="3" t="s">
        <v>2276</v>
      </c>
      <c r="P1195" s="3" t="s">
        <v>2276</v>
      </c>
      <c r="Q1195" s="3" t="s">
        <v>2276</v>
      </c>
      <c r="R1195" s="3" t="s">
        <v>2276</v>
      </c>
      <c r="S1195" s="3" t="s">
        <v>2276</v>
      </c>
      <c r="T1195" s="3" t="s">
        <v>2276</v>
      </c>
      <c r="U1195" s="3" t="s">
        <v>2276</v>
      </c>
      <c r="V1195" s="3" t="s">
        <v>2276</v>
      </c>
      <c r="W1195" s="3" t="s">
        <v>2276</v>
      </c>
      <c r="X1195" s="3" t="s">
        <v>2276</v>
      </c>
      <c r="Y1195" s="3" t="s">
        <v>2276</v>
      </c>
      <c r="Z1195" s="3" t="s">
        <v>2276</v>
      </c>
      <c r="AA1195" s="3" t="s">
        <v>2276</v>
      </c>
      <c r="AB1195" s="3" t="s">
        <v>2276</v>
      </c>
      <c r="AC1195" s="4" t="s">
        <v>3612</v>
      </c>
      <c r="AD1195" s="3"/>
    </row>
    <row r="1196" spans="1:30" ht="36" customHeight="1">
      <c r="A1196" s="11" t="s">
        <v>3592</v>
      </c>
      <c r="B1196" s="3" t="s">
        <v>3608</v>
      </c>
      <c r="C1196" s="3" t="s">
        <v>24</v>
      </c>
      <c r="D1196" s="3" t="s">
        <v>2659</v>
      </c>
      <c r="E1196" s="3" t="s">
        <v>130</v>
      </c>
      <c r="F1196" s="4" t="s">
        <v>28</v>
      </c>
      <c r="G1196" s="3" t="s">
        <v>2276</v>
      </c>
      <c r="H1196" s="3" t="s">
        <v>523</v>
      </c>
      <c r="I1196" s="3"/>
      <c r="J1196" s="3" t="s">
        <v>2276</v>
      </c>
      <c r="K1196" s="3" t="s">
        <v>2276</v>
      </c>
      <c r="L1196" s="3" t="s">
        <v>2276</v>
      </c>
      <c r="M1196" s="3" t="s">
        <v>2276</v>
      </c>
      <c r="N1196" s="3" t="s">
        <v>2276</v>
      </c>
      <c r="O1196" s="3" t="s">
        <v>2276</v>
      </c>
      <c r="P1196" s="3" t="s">
        <v>2276</v>
      </c>
      <c r="Q1196" s="3" t="s">
        <v>2276</v>
      </c>
      <c r="R1196" s="3" t="s">
        <v>2276</v>
      </c>
      <c r="S1196" s="3" t="s">
        <v>2276</v>
      </c>
      <c r="T1196" s="3" t="s">
        <v>2276</v>
      </c>
      <c r="U1196" s="3" t="s">
        <v>2276</v>
      </c>
      <c r="V1196" s="3" t="s">
        <v>2276</v>
      </c>
      <c r="W1196" s="3" t="s">
        <v>2276</v>
      </c>
      <c r="X1196" s="3" t="s">
        <v>2276</v>
      </c>
      <c r="Y1196" s="3" t="s">
        <v>2276</v>
      </c>
      <c r="Z1196" s="3" t="s">
        <v>2276</v>
      </c>
      <c r="AA1196" s="3" t="s">
        <v>2276</v>
      </c>
      <c r="AB1196" s="3" t="s">
        <v>2276</v>
      </c>
      <c r="AC1196" s="4" t="s">
        <v>3612</v>
      </c>
      <c r="AD1196" s="3"/>
    </row>
    <row r="1197" spans="1:30" ht="41" customHeight="1">
      <c r="A1197" s="11" t="s">
        <v>3614</v>
      </c>
      <c r="B1197" s="11" t="s">
        <v>3618</v>
      </c>
      <c r="C1197" s="3" t="s">
        <v>24</v>
      </c>
      <c r="D1197" s="3" t="s">
        <v>2804</v>
      </c>
      <c r="E1197" s="3" t="s">
        <v>5005</v>
      </c>
      <c r="F1197" s="4" t="s">
        <v>2276</v>
      </c>
      <c r="G1197" s="3"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3" t="s">
        <v>2276</v>
      </c>
      <c r="Z1197" s="3" t="s">
        <v>2276</v>
      </c>
      <c r="AA1197" s="3" t="s">
        <v>2276</v>
      </c>
      <c r="AB1197" s="3" t="s">
        <v>2276</v>
      </c>
      <c r="AC1197" s="3"/>
      <c r="AD1197" s="4" t="s">
        <v>3620</v>
      </c>
    </row>
    <row r="1198" spans="1:30" ht="43" customHeight="1">
      <c r="A1198" s="11" t="s">
        <v>3614</v>
      </c>
      <c r="B1198" s="11" t="s">
        <v>3619</v>
      </c>
      <c r="C1198" s="3" t="s">
        <v>24</v>
      </c>
      <c r="D1198" s="3" t="s">
        <v>25</v>
      </c>
      <c r="E1198" s="3" t="s">
        <v>5005</v>
      </c>
      <c r="F1198" s="4" t="s">
        <v>2276</v>
      </c>
      <c r="G1198" s="3"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3" t="s">
        <v>2276</v>
      </c>
      <c r="Z1198" s="3" t="s">
        <v>2276</v>
      </c>
      <c r="AA1198" s="3" t="s">
        <v>2276</v>
      </c>
      <c r="AB1198" s="3" t="s">
        <v>2276</v>
      </c>
      <c r="AC1198" s="3"/>
      <c r="AD1198" s="4" t="s">
        <v>3620</v>
      </c>
    </row>
    <row r="1199" spans="1:30" ht="40" customHeight="1">
      <c r="A1199" s="11" t="s">
        <v>3614</v>
      </c>
      <c r="B1199" s="11" t="s">
        <v>3622</v>
      </c>
      <c r="C1199" s="3" t="s">
        <v>24</v>
      </c>
      <c r="D1199" s="3" t="s">
        <v>2804</v>
      </c>
      <c r="E1199" s="3" t="s">
        <v>45</v>
      </c>
      <c r="F1199" s="4" t="s">
        <v>2276</v>
      </c>
      <c r="G1199" s="3"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3" t="s">
        <v>2276</v>
      </c>
      <c r="Z1199" s="3" t="s">
        <v>2276</v>
      </c>
      <c r="AA1199" s="3" t="s">
        <v>2276</v>
      </c>
      <c r="AB1199" s="3" t="s">
        <v>2276</v>
      </c>
      <c r="AC1199" s="3"/>
      <c r="AD1199" s="4" t="s">
        <v>3620</v>
      </c>
    </row>
    <row r="1200" spans="1:30" ht="41" customHeight="1">
      <c r="A1200" s="11" t="s">
        <v>3614</v>
      </c>
      <c r="B1200" s="11" t="s">
        <v>3623</v>
      </c>
      <c r="C1200" s="3" t="s">
        <v>24</v>
      </c>
      <c r="D1200" s="3" t="s">
        <v>25</v>
      </c>
      <c r="E1200" s="3" t="s">
        <v>45</v>
      </c>
      <c r="F1200" s="4" t="s">
        <v>2276</v>
      </c>
      <c r="G1200" s="3"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3" t="s">
        <v>2276</v>
      </c>
      <c r="Z1200" s="3" t="s">
        <v>2276</v>
      </c>
      <c r="AA1200" s="3" t="s">
        <v>2276</v>
      </c>
      <c r="AB1200" s="3" t="s">
        <v>2276</v>
      </c>
      <c r="AC1200" s="3"/>
      <c r="AD1200" s="4" t="s">
        <v>3620</v>
      </c>
    </row>
    <row r="1201" spans="1:30" ht="28" customHeight="1">
      <c r="A1201" s="3" t="s">
        <v>3625</v>
      </c>
      <c r="B1201" s="3" t="s">
        <v>3635</v>
      </c>
      <c r="C1201" s="3" t="s">
        <v>24</v>
      </c>
      <c r="D1201" s="3" t="s">
        <v>27</v>
      </c>
      <c r="E1201" s="3" t="s">
        <v>130</v>
      </c>
      <c r="F1201" s="4" t="s">
        <v>2276</v>
      </c>
      <c r="G1201" s="3" t="s">
        <v>2276</v>
      </c>
      <c r="H1201" s="3" t="s">
        <v>523</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t="s">
        <v>2276</v>
      </c>
      <c r="AB1201" s="3" t="s">
        <v>2276</v>
      </c>
      <c r="AC1201" s="3"/>
      <c r="AD1201" s="3"/>
    </row>
    <row r="1202" spans="1:30" ht="28" customHeight="1">
      <c r="A1202" s="3" t="s">
        <v>3626</v>
      </c>
      <c r="B1202" s="3" t="s">
        <v>3636</v>
      </c>
      <c r="C1202" s="3" t="s">
        <v>24</v>
      </c>
      <c r="D1202" s="3" t="s">
        <v>27</v>
      </c>
      <c r="E1202" s="3" t="s">
        <v>130</v>
      </c>
      <c r="F1202" s="4" t="s">
        <v>2276</v>
      </c>
      <c r="G1202" s="3" t="s">
        <v>2276</v>
      </c>
      <c r="H1202" s="3" t="s">
        <v>523</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t="s">
        <v>2276</v>
      </c>
      <c r="AB1202" s="3" t="s">
        <v>2276</v>
      </c>
      <c r="AC1202" s="3"/>
      <c r="AD1202" s="3"/>
    </row>
    <row r="1203" spans="1:30" ht="28" customHeight="1">
      <c r="A1203" s="3" t="s">
        <v>3629</v>
      </c>
      <c r="B1203" s="3" t="s">
        <v>3637</v>
      </c>
      <c r="C1203" s="3" t="s">
        <v>24</v>
      </c>
      <c r="D1203" s="3" t="s">
        <v>27</v>
      </c>
      <c r="E1203" s="3" t="s">
        <v>130</v>
      </c>
      <c r="F1203" s="4" t="s">
        <v>2276</v>
      </c>
      <c r="G1203" s="3" t="s">
        <v>2276</v>
      </c>
      <c r="H1203" s="3" t="s">
        <v>523</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t="s">
        <v>2276</v>
      </c>
      <c r="AB1203" s="3" t="s">
        <v>2276</v>
      </c>
      <c r="AC1203" s="3"/>
      <c r="AD1203" s="3"/>
    </row>
    <row r="1204" spans="1:30" ht="27" customHeight="1">
      <c r="A1204" s="3" t="s">
        <v>3630</v>
      </c>
      <c r="B1204" s="3" t="s">
        <v>3638</v>
      </c>
      <c r="C1204" s="3" t="s">
        <v>24</v>
      </c>
      <c r="D1204" s="3" t="s">
        <v>27</v>
      </c>
      <c r="E1204" s="3" t="s">
        <v>130</v>
      </c>
      <c r="F1204" s="4" t="s">
        <v>2276</v>
      </c>
      <c r="G1204" s="3" t="s">
        <v>2276</v>
      </c>
      <c r="H1204" s="3" t="s">
        <v>523</v>
      </c>
      <c r="I1204" s="3">
        <v>2017</v>
      </c>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t="s">
        <v>2276</v>
      </c>
      <c r="AB1204" s="3" t="s">
        <v>2276</v>
      </c>
      <c r="AC1204" s="3"/>
      <c r="AD1204" s="3"/>
    </row>
    <row r="1205" spans="1:30" ht="24.5" customHeight="1">
      <c r="A1205" s="3" t="s">
        <v>3625</v>
      </c>
      <c r="B1205" s="3" t="s">
        <v>3639</v>
      </c>
      <c r="C1205" s="3" t="s">
        <v>24</v>
      </c>
      <c r="D1205" s="3" t="s">
        <v>144</v>
      </c>
      <c r="E1205" s="3" t="s">
        <v>137</v>
      </c>
      <c r="F1205" s="4" t="s">
        <v>2276</v>
      </c>
      <c r="G1205" s="3" t="s">
        <v>2276</v>
      </c>
      <c r="H1205" s="3" t="s">
        <v>523</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t="s">
        <v>2276</v>
      </c>
      <c r="AB1205" s="3" t="s">
        <v>2276</v>
      </c>
      <c r="AC1205" s="3"/>
      <c r="AD1205" s="3"/>
    </row>
    <row r="1206" spans="1:30" ht="24.5" customHeight="1">
      <c r="A1206" s="3" t="s">
        <v>3626</v>
      </c>
      <c r="B1206" s="3" t="s">
        <v>3640</v>
      </c>
      <c r="C1206" s="3" t="s">
        <v>24</v>
      </c>
      <c r="D1206" s="3" t="s">
        <v>144</v>
      </c>
      <c r="E1206" s="3" t="s">
        <v>137</v>
      </c>
      <c r="F1206" s="4" t="s">
        <v>2276</v>
      </c>
      <c r="G1206" s="3" t="s">
        <v>2276</v>
      </c>
      <c r="H1206" s="3" t="s">
        <v>523</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t="s">
        <v>2276</v>
      </c>
      <c r="AB1206" s="3" t="s">
        <v>2276</v>
      </c>
      <c r="AC1206" s="3"/>
      <c r="AD1206" s="3"/>
    </row>
    <row r="1207" spans="1:30" ht="24.5" customHeight="1">
      <c r="A1207" s="3" t="s">
        <v>3629</v>
      </c>
      <c r="B1207" s="3" t="s">
        <v>3641</v>
      </c>
      <c r="C1207" s="3" t="s">
        <v>24</v>
      </c>
      <c r="D1207" s="3" t="s">
        <v>144</v>
      </c>
      <c r="E1207" s="3" t="s">
        <v>137</v>
      </c>
      <c r="F1207" s="4" t="s">
        <v>2276</v>
      </c>
      <c r="G1207" s="3" t="s">
        <v>2276</v>
      </c>
      <c r="H1207" s="3" t="s">
        <v>523</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t="s">
        <v>2276</v>
      </c>
      <c r="AB1207" s="3" t="s">
        <v>2276</v>
      </c>
      <c r="AC1207" s="3"/>
      <c r="AD1207" s="3"/>
    </row>
    <row r="1208" spans="1:30" ht="66" customHeight="1">
      <c r="A1208" s="3" t="s">
        <v>3664</v>
      </c>
      <c r="B1208" s="3" t="s">
        <v>3669</v>
      </c>
      <c r="C1208" s="3" t="s">
        <v>24</v>
      </c>
      <c r="D1208" s="3" t="s">
        <v>27</v>
      </c>
      <c r="E1208" s="4" t="s">
        <v>397</v>
      </c>
      <c r="F1208" s="4" t="s">
        <v>28</v>
      </c>
      <c r="G1208" s="3" t="s">
        <v>28</v>
      </c>
      <c r="H1208" s="3" t="s">
        <v>523</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405</v>
      </c>
      <c r="AA1208" s="3" t="s">
        <v>68</v>
      </c>
      <c r="AB1208" s="3" t="s">
        <v>64</v>
      </c>
      <c r="AC1208" s="3"/>
      <c r="AD1208" s="3"/>
    </row>
    <row r="1209" spans="1:30" ht="66" customHeight="1">
      <c r="A1209" s="3" t="s">
        <v>3664</v>
      </c>
      <c r="B1209" s="3" t="s">
        <v>3670</v>
      </c>
      <c r="C1209" s="3" t="s">
        <v>2458</v>
      </c>
      <c r="D1209" s="3" t="s">
        <v>2231</v>
      </c>
      <c r="E1209" s="4" t="s">
        <v>397</v>
      </c>
      <c r="F1209" s="4" t="s">
        <v>2276</v>
      </c>
      <c r="G1209" s="3" t="s">
        <v>2276</v>
      </c>
      <c r="H1209" s="3" t="s">
        <v>523</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405</v>
      </c>
      <c r="AA1209" s="3" t="s">
        <v>68</v>
      </c>
      <c r="AB1209" s="3" t="s">
        <v>64</v>
      </c>
      <c r="AC1209" s="3"/>
      <c r="AD1209" s="3"/>
    </row>
    <row r="1210" spans="1:30" ht="66" customHeight="1">
      <c r="A1210" s="3" t="s">
        <v>3664</v>
      </c>
      <c r="B1210" s="3" t="s">
        <v>3671</v>
      </c>
      <c r="C1210" s="3" t="s">
        <v>2458</v>
      </c>
      <c r="D1210" s="3" t="s">
        <v>2231</v>
      </c>
      <c r="E1210" s="4" t="s">
        <v>396</v>
      </c>
      <c r="F1210" s="4" t="s">
        <v>2276</v>
      </c>
      <c r="G1210" s="3" t="s">
        <v>2276</v>
      </c>
      <c r="H1210" s="3" t="s">
        <v>523</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405</v>
      </c>
      <c r="AA1210" s="3" t="s">
        <v>68</v>
      </c>
      <c r="AB1210" s="3" t="s">
        <v>64</v>
      </c>
      <c r="AC1210" s="3"/>
      <c r="AD1210" s="3"/>
    </row>
    <row r="1211" spans="1:30" ht="97" customHeight="1">
      <c r="A1211" s="3" t="s">
        <v>3664</v>
      </c>
      <c r="B1211" s="3" t="s">
        <v>3672</v>
      </c>
      <c r="C1211" s="3" t="s">
        <v>2658</v>
      </c>
      <c r="D1211" s="3" t="s">
        <v>1105</v>
      </c>
      <c r="E1211" s="4" t="s">
        <v>397</v>
      </c>
      <c r="F1211" s="4" t="s">
        <v>2276</v>
      </c>
      <c r="G1211" s="3" t="s">
        <v>2276</v>
      </c>
      <c r="H1211" s="3" t="s">
        <v>523</v>
      </c>
      <c r="I1211" s="3">
        <v>2009</v>
      </c>
      <c r="J1211" s="3" t="s">
        <v>2276</v>
      </c>
      <c r="K1211" s="3" t="s">
        <v>2276</v>
      </c>
      <c r="L1211" s="3" t="s">
        <v>2276</v>
      </c>
      <c r="M1211" s="3" t="s">
        <v>2276</v>
      </c>
      <c r="N1211" s="3" t="s">
        <v>2276</v>
      </c>
      <c r="O1211" s="3" t="s">
        <v>2276</v>
      </c>
      <c r="P1211" s="3" t="s">
        <v>2276</v>
      </c>
      <c r="Q1211" s="3" t="s">
        <v>2276</v>
      </c>
      <c r="R1211" s="3" t="s">
        <v>2276</v>
      </c>
      <c r="S1211" s="3" t="s">
        <v>2276</v>
      </c>
      <c r="T1211" s="3" t="s">
        <v>2276</v>
      </c>
      <c r="U1211" s="3" t="s">
        <v>2276</v>
      </c>
      <c r="V1211" s="3" t="s">
        <v>2276</v>
      </c>
      <c r="W1211" s="3" t="s">
        <v>2276</v>
      </c>
      <c r="X1211" s="3" t="s">
        <v>2276</v>
      </c>
      <c r="Y1211" s="3" t="s">
        <v>2276</v>
      </c>
      <c r="Z1211" s="3" t="s">
        <v>405</v>
      </c>
      <c r="AA1211" s="3" t="s">
        <v>68</v>
      </c>
      <c r="AB1211" s="3" t="s">
        <v>64</v>
      </c>
      <c r="AC1211" s="4" t="s">
        <v>3692</v>
      </c>
      <c r="AD1211" s="4" t="s">
        <v>3690</v>
      </c>
    </row>
    <row r="1212" spans="1:30" ht="97" customHeight="1">
      <c r="A1212" s="3" t="s">
        <v>3664</v>
      </c>
      <c r="B1212" s="3" t="s">
        <v>3674</v>
      </c>
      <c r="C1212" s="3" t="s">
        <v>2658</v>
      </c>
      <c r="D1212" s="3" t="s">
        <v>2231</v>
      </c>
      <c r="E1212" s="4" t="s">
        <v>396</v>
      </c>
      <c r="F1212" s="4" t="s">
        <v>2276</v>
      </c>
      <c r="G1212" s="3" t="s">
        <v>2276</v>
      </c>
      <c r="H1212" s="3" t="s">
        <v>523</v>
      </c>
      <c r="I1212" s="3">
        <v>2009</v>
      </c>
      <c r="J1212" s="3" t="s">
        <v>2276</v>
      </c>
      <c r="K1212" s="3" t="s">
        <v>2276</v>
      </c>
      <c r="L1212" s="3" t="s">
        <v>2276</v>
      </c>
      <c r="M1212" s="3" t="s">
        <v>2276</v>
      </c>
      <c r="N1212" s="3" t="s">
        <v>2276</v>
      </c>
      <c r="O1212" s="3" t="s">
        <v>2276</v>
      </c>
      <c r="P1212" s="3" t="s">
        <v>2276</v>
      </c>
      <c r="Q1212" s="3" t="s">
        <v>2276</v>
      </c>
      <c r="R1212" s="3" t="s">
        <v>2276</v>
      </c>
      <c r="S1212" s="3" t="s">
        <v>2276</v>
      </c>
      <c r="T1212" s="3" t="s">
        <v>2276</v>
      </c>
      <c r="U1212" s="3" t="s">
        <v>2276</v>
      </c>
      <c r="V1212" s="3" t="s">
        <v>2276</v>
      </c>
      <c r="W1212" s="3" t="s">
        <v>2276</v>
      </c>
      <c r="X1212" s="3" t="s">
        <v>2276</v>
      </c>
      <c r="Y1212" s="3" t="s">
        <v>2276</v>
      </c>
      <c r="Z1212" s="3" t="s">
        <v>405</v>
      </c>
      <c r="AA1212" s="3" t="s">
        <v>68</v>
      </c>
      <c r="AB1212" s="3" t="s">
        <v>64</v>
      </c>
      <c r="AC1212" s="4" t="s">
        <v>3689</v>
      </c>
      <c r="AD1212" s="4" t="s">
        <v>3691</v>
      </c>
    </row>
    <row r="1213" spans="1:30" ht="97" customHeight="1">
      <c r="A1213" s="3" t="s">
        <v>3664</v>
      </c>
      <c r="B1213" s="3" t="s">
        <v>3676</v>
      </c>
      <c r="C1213" s="3" t="s">
        <v>2658</v>
      </c>
      <c r="D1213" s="3" t="s">
        <v>1105</v>
      </c>
      <c r="E1213" s="4" t="s">
        <v>397</v>
      </c>
      <c r="F1213" s="4" t="s">
        <v>2276</v>
      </c>
      <c r="G1213" s="3" t="s">
        <v>2276</v>
      </c>
      <c r="H1213" s="3" t="s">
        <v>523</v>
      </c>
      <c r="I1213" s="3">
        <v>2010</v>
      </c>
      <c r="J1213" s="3" t="s">
        <v>2276</v>
      </c>
      <c r="K1213" s="3" t="s">
        <v>2276</v>
      </c>
      <c r="L1213" s="3" t="s">
        <v>2276</v>
      </c>
      <c r="M1213" s="3" t="s">
        <v>2276</v>
      </c>
      <c r="N1213" s="3" t="s">
        <v>2276</v>
      </c>
      <c r="O1213" s="3" t="s">
        <v>2276</v>
      </c>
      <c r="P1213" s="3" t="s">
        <v>2276</v>
      </c>
      <c r="Q1213" s="3" t="s">
        <v>2276</v>
      </c>
      <c r="R1213" s="3" t="s">
        <v>2276</v>
      </c>
      <c r="S1213" s="3" t="s">
        <v>2276</v>
      </c>
      <c r="T1213" s="3" t="s">
        <v>2276</v>
      </c>
      <c r="U1213" s="3" t="s">
        <v>2276</v>
      </c>
      <c r="V1213" s="3" t="s">
        <v>2276</v>
      </c>
      <c r="W1213" s="3" t="s">
        <v>2276</v>
      </c>
      <c r="X1213" s="3" t="s">
        <v>2276</v>
      </c>
      <c r="Y1213" s="3" t="s">
        <v>2276</v>
      </c>
      <c r="Z1213" s="3" t="s">
        <v>405</v>
      </c>
      <c r="AA1213" s="3" t="s">
        <v>68</v>
      </c>
      <c r="AB1213" s="3" t="s">
        <v>64</v>
      </c>
      <c r="AC1213" s="4" t="s">
        <v>3692</v>
      </c>
      <c r="AD1213" s="4" t="s">
        <v>3690</v>
      </c>
    </row>
    <row r="1214" spans="1:30" ht="97" customHeight="1">
      <c r="A1214" s="3" t="s">
        <v>3664</v>
      </c>
      <c r="B1214" s="3" t="s">
        <v>3677</v>
      </c>
      <c r="C1214" s="3" t="s">
        <v>2658</v>
      </c>
      <c r="D1214" s="3" t="s">
        <v>2231</v>
      </c>
      <c r="E1214" s="4" t="s">
        <v>396</v>
      </c>
      <c r="F1214" s="4" t="s">
        <v>2276</v>
      </c>
      <c r="G1214" s="3" t="s">
        <v>2276</v>
      </c>
      <c r="H1214" s="3" t="s">
        <v>523</v>
      </c>
      <c r="I1214" s="3">
        <v>2010</v>
      </c>
      <c r="J1214" s="3" t="s">
        <v>2276</v>
      </c>
      <c r="K1214" s="3" t="s">
        <v>2276</v>
      </c>
      <c r="L1214" s="3" t="s">
        <v>2276</v>
      </c>
      <c r="M1214" s="3" t="s">
        <v>2276</v>
      </c>
      <c r="N1214" s="3" t="s">
        <v>2276</v>
      </c>
      <c r="O1214" s="3" t="s">
        <v>2276</v>
      </c>
      <c r="P1214" s="3" t="s">
        <v>2276</v>
      </c>
      <c r="Q1214" s="3" t="s">
        <v>2276</v>
      </c>
      <c r="R1214" s="3" t="s">
        <v>2276</v>
      </c>
      <c r="S1214" s="3" t="s">
        <v>2276</v>
      </c>
      <c r="T1214" s="3" t="s">
        <v>2276</v>
      </c>
      <c r="U1214" s="3" t="s">
        <v>2276</v>
      </c>
      <c r="V1214" s="3" t="s">
        <v>2276</v>
      </c>
      <c r="W1214" s="3" t="s">
        <v>2276</v>
      </c>
      <c r="X1214" s="3" t="s">
        <v>2276</v>
      </c>
      <c r="Y1214" s="3" t="s">
        <v>2276</v>
      </c>
      <c r="Z1214" s="3" t="s">
        <v>405</v>
      </c>
      <c r="AA1214" s="3" t="s">
        <v>68</v>
      </c>
      <c r="AB1214" s="3" t="s">
        <v>64</v>
      </c>
      <c r="AC1214" s="4" t="s">
        <v>3689</v>
      </c>
      <c r="AD1214" s="4" t="s">
        <v>3691</v>
      </c>
    </row>
    <row r="1215" spans="1:30" ht="97" customHeight="1">
      <c r="A1215" s="3" t="s">
        <v>3664</v>
      </c>
      <c r="B1215" s="3" t="s">
        <v>3678</v>
      </c>
      <c r="C1215" s="3" t="s">
        <v>2658</v>
      </c>
      <c r="D1215" s="3" t="s">
        <v>1105</v>
      </c>
      <c r="E1215" s="4" t="s">
        <v>397</v>
      </c>
      <c r="F1215" s="4" t="s">
        <v>2276</v>
      </c>
      <c r="G1215" s="3" t="s">
        <v>2276</v>
      </c>
      <c r="H1215" s="3" t="s">
        <v>523</v>
      </c>
      <c r="I1215" s="3">
        <v>2011</v>
      </c>
      <c r="J1215" s="3" t="s">
        <v>2276</v>
      </c>
      <c r="K1215" s="3" t="s">
        <v>2276</v>
      </c>
      <c r="L1215" s="3" t="s">
        <v>2276</v>
      </c>
      <c r="M1215" s="3" t="s">
        <v>2276</v>
      </c>
      <c r="N1215" s="3" t="s">
        <v>2276</v>
      </c>
      <c r="O1215" s="3" t="s">
        <v>2276</v>
      </c>
      <c r="P1215" s="3" t="s">
        <v>2276</v>
      </c>
      <c r="Q1215" s="3" t="s">
        <v>2276</v>
      </c>
      <c r="R1215" s="3" t="s">
        <v>2276</v>
      </c>
      <c r="S1215" s="3" t="s">
        <v>2276</v>
      </c>
      <c r="T1215" s="3" t="s">
        <v>2276</v>
      </c>
      <c r="U1215" s="3" t="s">
        <v>2276</v>
      </c>
      <c r="V1215" s="3" t="s">
        <v>2276</v>
      </c>
      <c r="W1215" s="3" t="s">
        <v>2276</v>
      </c>
      <c r="X1215" s="3" t="s">
        <v>2276</v>
      </c>
      <c r="Y1215" s="3" t="s">
        <v>2276</v>
      </c>
      <c r="Z1215" s="3" t="s">
        <v>405</v>
      </c>
      <c r="AA1215" s="3" t="s">
        <v>68</v>
      </c>
      <c r="AB1215" s="3" t="s">
        <v>64</v>
      </c>
      <c r="AC1215" s="4" t="s">
        <v>3692</v>
      </c>
      <c r="AD1215" s="4" t="s">
        <v>3690</v>
      </c>
    </row>
    <row r="1216" spans="1:30" ht="97" customHeight="1">
      <c r="A1216" s="3" t="s">
        <v>3664</v>
      </c>
      <c r="B1216" s="3" t="s">
        <v>3679</v>
      </c>
      <c r="C1216" s="3" t="s">
        <v>2658</v>
      </c>
      <c r="D1216" s="3" t="s">
        <v>2231</v>
      </c>
      <c r="E1216" s="4" t="s">
        <v>396</v>
      </c>
      <c r="F1216" s="4" t="s">
        <v>2276</v>
      </c>
      <c r="G1216" s="3" t="s">
        <v>2276</v>
      </c>
      <c r="H1216" s="3" t="s">
        <v>523</v>
      </c>
      <c r="I1216" s="3">
        <v>2011</v>
      </c>
      <c r="J1216" s="3" t="s">
        <v>2276</v>
      </c>
      <c r="K1216" s="3" t="s">
        <v>2276</v>
      </c>
      <c r="L1216" s="3" t="s">
        <v>2276</v>
      </c>
      <c r="M1216" s="3" t="s">
        <v>2276</v>
      </c>
      <c r="N1216" s="3" t="s">
        <v>2276</v>
      </c>
      <c r="O1216" s="3" t="s">
        <v>2276</v>
      </c>
      <c r="P1216" s="3" t="s">
        <v>2276</v>
      </c>
      <c r="Q1216" s="3" t="s">
        <v>2276</v>
      </c>
      <c r="R1216" s="3" t="s">
        <v>2276</v>
      </c>
      <c r="S1216" s="3" t="s">
        <v>2276</v>
      </c>
      <c r="T1216" s="3" t="s">
        <v>2276</v>
      </c>
      <c r="U1216" s="3" t="s">
        <v>2276</v>
      </c>
      <c r="V1216" s="3" t="s">
        <v>2276</v>
      </c>
      <c r="W1216" s="3" t="s">
        <v>2276</v>
      </c>
      <c r="X1216" s="3" t="s">
        <v>2276</v>
      </c>
      <c r="Y1216" s="3" t="s">
        <v>2276</v>
      </c>
      <c r="Z1216" s="3" t="s">
        <v>405</v>
      </c>
      <c r="AA1216" s="3" t="s">
        <v>68</v>
      </c>
      <c r="AB1216" s="3" t="s">
        <v>64</v>
      </c>
      <c r="AC1216" s="4" t="s">
        <v>3689</v>
      </c>
      <c r="AD1216" s="4" t="s">
        <v>3691</v>
      </c>
    </row>
    <row r="1217" spans="1:30" ht="97" customHeight="1">
      <c r="A1217" s="3" t="s">
        <v>3664</v>
      </c>
      <c r="B1217" s="3" t="s">
        <v>3682</v>
      </c>
      <c r="C1217" s="3" t="s">
        <v>2658</v>
      </c>
      <c r="D1217" s="3" t="s">
        <v>1105</v>
      </c>
      <c r="E1217" s="4" t="s">
        <v>397</v>
      </c>
      <c r="F1217" s="4" t="s">
        <v>2276</v>
      </c>
      <c r="G1217" s="3" t="s">
        <v>2276</v>
      </c>
      <c r="H1217" s="3" t="s">
        <v>523</v>
      </c>
      <c r="I1217" s="3">
        <v>2012</v>
      </c>
      <c r="J1217" s="3" t="s">
        <v>2276</v>
      </c>
      <c r="K1217" s="3" t="s">
        <v>2276</v>
      </c>
      <c r="L1217" s="3" t="s">
        <v>2276</v>
      </c>
      <c r="M1217" s="3" t="s">
        <v>2276</v>
      </c>
      <c r="N1217" s="3" t="s">
        <v>2276</v>
      </c>
      <c r="O1217" s="3" t="s">
        <v>2276</v>
      </c>
      <c r="P1217" s="3" t="s">
        <v>2276</v>
      </c>
      <c r="Q1217" s="3" t="s">
        <v>2276</v>
      </c>
      <c r="R1217" s="3" t="s">
        <v>2276</v>
      </c>
      <c r="S1217" s="3" t="s">
        <v>2276</v>
      </c>
      <c r="T1217" s="3" t="s">
        <v>2276</v>
      </c>
      <c r="U1217" s="3" t="s">
        <v>2276</v>
      </c>
      <c r="V1217" s="3" t="s">
        <v>2276</v>
      </c>
      <c r="W1217" s="3" t="s">
        <v>2276</v>
      </c>
      <c r="X1217" s="3" t="s">
        <v>2276</v>
      </c>
      <c r="Y1217" s="3" t="s">
        <v>2276</v>
      </c>
      <c r="Z1217" s="3" t="s">
        <v>405</v>
      </c>
      <c r="AA1217" s="3" t="s">
        <v>68</v>
      </c>
      <c r="AB1217" s="3" t="s">
        <v>64</v>
      </c>
      <c r="AC1217" s="4" t="s">
        <v>3692</v>
      </c>
      <c r="AD1217" s="4" t="s">
        <v>3690</v>
      </c>
    </row>
    <row r="1218" spans="1:30" ht="97" customHeight="1">
      <c r="A1218" s="3" t="s">
        <v>3664</v>
      </c>
      <c r="B1218" s="3" t="s">
        <v>3683</v>
      </c>
      <c r="C1218" s="3" t="s">
        <v>2658</v>
      </c>
      <c r="D1218" s="3" t="s">
        <v>2231</v>
      </c>
      <c r="E1218" s="4" t="s">
        <v>396</v>
      </c>
      <c r="F1218" s="4" t="s">
        <v>2276</v>
      </c>
      <c r="G1218" s="3" t="s">
        <v>2276</v>
      </c>
      <c r="H1218" s="3" t="s">
        <v>523</v>
      </c>
      <c r="I1218" s="3">
        <v>2012</v>
      </c>
      <c r="J1218" s="3" t="s">
        <v>2276</v>
      </c>
      <c r="K1218" s="3" t="s">
        <v>2276</v>
      </c>
      <c r="L1218" s="3" t="s">
        <v>2276</v>
      </c>
      <c r="M1218" s="3" t="s">
        <v>2276</v>
      </c>
      <c r="N1218" s="3" t="s">
        <v>2276</v>
      </c>
      <c r="O1218" s="3" t="s">
        <v>2276</v>
      </c>
      <c r="P1218" s="3" t="s">
        <v>2276</v>
      </c>
      <c r="Q1218" s="3" t="s">
        <v>2276</v>
      </c>
      <c r="R1218" s="3" t="s">
        <v>2276</v>
      </c>
      <c r="S1218" s="3" t="s">
        <v>2276</v>
      </c>
      <c r="T1218" s="3" t="s">
        <v>2276</v>
      </c>
      <c r="U1218" s="3" t="s">
        <v>2276</v>
      </c>
      <c r="V1218" s="3" t="s">
        <v>2276</v>
      </c>
      <c r="W1218" s="3" t="s">
        <v>2276</v>
      </c>
      <c r="X1218" s="3" t="s">
        <v>2276</v>
      </c>
      <c r="Y1218" s="3" t="s">
        <v>2276</v>
      </c>
      <c r="Z1218" s="3" t="s">
        <v>405</v>
      </c>
      <c r="AA1218" s="3" t="s">
        <v>68</v>
      </c>
      <c r="AB1218" s="3" t="s">
        <v>64</v>
      </c>
      <c r="AC1218" s="4" t="s">
        <v>3689</v>
      </c>
      <c r="AD1218" s="4" t="s">
        <v>3691</v>
      </c>
    </row>
    <row r="1219" spans="1:30" ht="89.5" customHeight="1">
      <c r="A1219" s="3" t="s">
        <v>3664</v>
      </c>
      <c r="B1219" s="3" t="s">
        <v>3684</v>
      </c>
      <c r="C1219" s="3" t="s">
        <v>24</v>
      </c>
      <c r="D1219" s="3" t="s">
        <v>2346</v>
      </c>
      <c r="E1219" s="3" t="s">
        <v>2276</v>
      </c>
      <c r="F1219" s="4" t="s">
        <v>2663</v>
      </c>
      <c r="G1219" s="3" t="s">
        <v>2276</v>
      </c>
      <c r="H1219" s="3" t="s">
        <v>523</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34</v>
      </c>
      <c r="AA1219" s="3" t="s">
        <v>35</v>
      </c>
      <c r="AB1219" s="3" t="s">
        <v>64</v>
      </c>
      <c r="AC1219" s="4" t="s">
        <v>3675</v>
      </c>
      <c r="AD1219" s="3"/>
    </row>
    <row r="1220" spans="1:30" ht="89.5" customHeight="1">
      <c r="A1220" s="3" t="s">
        <v>3664</v>
      </c>
      <c r="B1220" s="3" t="s">
        <v>3685</v>
      </c>
      <c r="C1220" s="3" t="s">
        <v>24</v>
      </c>
      <c r="D1220" s="3" t="s">
        <v>25</v>
      </c>
      <c r="E1220" s="3" t="s">
        <v>45</v>
      </c>
      <c r="F1220" s="4" t="s">
        <v>29</v>
      </c>
      <c r="G1220" s="3" t="s">
        <v>2276</v>
      </c>
      <c r="H1220" s="3" t="s">
        <v>523</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34</v>
      </c>
      <c r="AA1220" s="3" t="s">
        <v>35</v>
      </c>
      <c r="AB1220" s="3" t="s">
        <v>64</v>
      </c>
      <c r="AC1220" s="3"/>
      <c r="AD1220" s="3"/>
    </row>
    <row r="1221" spans="1:30" ht="89.5" customHeight="1">
      <c r="A1221" s="3" t="s">
        <v>3664</v>
      </c>
      <c r="B1221" s="3" t="s">
        <v>3686</v>
      </c>
      <c r="C1221" s="3" t="s">
        <v>24</v>
      </c>
      <c r="D1221" s="3" t="s">
        <v>1242</v>
      </c>
      <c r="E1221" s="3" t="s">
        <v>2276</v>
      </c>
      <c r="F1221" s="4" t="s">
        <v>2276</v>
      </c>
      <c r="G1221" s="3" t="s">
        <v>2276</v>
      </c>
      <c r="H1221" s="3" t="s">
        <v>523</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34</v>
      </c>
      <c r="AA1221" s="3" t="s">
        <v>35</v>
      </c>
      <c r="AB1221" s="3" t="s">
        <v>64</v>
      </c>
      <c r="AC1221" s="3"/>
      <c r="AD1221" s="3"/>
    </row>
    <row r="1222" spans="1:30" ht="89.5" customHeight="1">
      <c r="A1222" s="3" t="s">
        <v>3664</v>
      </c>
      <c r="B1222" s="3" t="s">
        <v>3687</v>
      </c>
      <c r="C1222" s="3" t="s">
        <v>2458</v>
      </c>
      <c r="D1222" s="3" t="s">
        <v>2994</v>
      </c>
      <c r="E1222" s="3" t="s">
        <v>2652</v>
      </c>
      <c r="F1222" s="4" t="s">
        <v>2276</v>
      </c>
      <c r="G1222" s="3" t="s">
        <v>2276</v>
      </c>
      <c r="H1222" s="3" t="s">
        <v>523</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34</v>
      </c>
      <c r="AA1222" s="3" t="s">
        <v>35</v>
      </c>
      <c r="AB1222" s="3" t="s">
        <v>64</v>
      </c>
      <c r="AC1222" s="3" t="s">
        <v>3680</v>
      </c>
      <c r="AD1222" s="3"/>
    </row>
    <row r="1223" spans="1:30" ht="89.5" customHeight="1">
      <c r="A1223" s="3" t="s">
        <v>3664</v>
      </c>
      <c r="B1223" s="3" t="s">
        <v>3688</v>
      </c>
      <c r="C1223" s="3" t="s">
        <v>31</v>
      </c>
      <c r="D1223" s="3" t="s">
        <v>2276</v>
      </c>
      <c r="E1223" s="3" t="s">
        <v>2653</v>
      </c>
      <c r="F1223" s="4" t="s">
        <v>2276</v>
      </c>
      <c r="G1223" s="3" t="s">
        <v>2276</v>
      </c>
      <c r="H1223" s="3" t="s">
        <v>523</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34</v>
      </c>
      <c r="AA1223" s="3" t="s">
        <v>35</v>
      </c>
      <c r="AB1223" s="3" t="s">
        <v>64</v>
      </c>
      <c r="AC1223" s="4" t="s">
        <v>3681</v>
      </c>
      <c r="AD1223" s="3"/>
    </row>
    <row r="1224" spans="1:30" ht="109.5" customHeight="1">
      <c r="A1224" s="3" t="s">
        <v>3666</v>
      </c>
      <c r="B1224" s="3" t="s">
        <v>3667</v>
      </c>
      <c r="C1224" s="3" t="s">
        <v>24</v>
      </c>
      <c r="D1224" s="3" t="s">
        <v>27</v>
      </c>
      <c r="E1224" s="3"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3" t="s">
        <v>2276</v>
      </c>
      <c r="Z1224" s="3" t="s">
        <v>2276</v>
      </c>
      <c r="AA1224" s="3" t="s">
        <v>2276</v>
      </c>
      <c r="AB1224" s="3" t="s">
        <v>2276</v>
      </c>
      <c r="AC1224" s="4" t="s">
        <v>3668</v>
      </c>
      <c r="AD1224" s="3"/>
    </row>
    <row r="1225" spans="1:30" ht="42.5" customHeight="1">
      <c r="A1225" s="11" t="s">
        <v>3700</v>
      </c>
      <c r="B1225" s="11" t="s">
        <v>3711</v>
      </c>
      <c r="C1225" s="3" t="s">
        <v>1105</v>
      </c>
      <c r="D1225" s="3" t="s">
        <v>1105</v>
      </c>
      <c r="E1225" s="3"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3" t="s">
        <v>2276</v>
      </c>
      <c r="Z1225" s="3" t="s">
        <v>2276</v>
      </c>
      <c r="AA1225" s="3" t="s">
        <v>2276</v>
      </c>
      <c r="AB1225" s="3" t="s">
        <v>2276</v>
      </c>
      <c r="AC1225" s="4" t="s">
        <v>3707</v>
      </c>
      <c r="AD1225" s="3"/>
    </row>
    <row r="1226" spans="1:30" ht="42.5" customHeight="1">
      <c r="A1226" s="11" t="s">
        <v>3700</v>
      </c>
      <c r="B1226" s="11" t="s">
        <v>3709</v>
      </c>
      <c r="C1226" s="3" t="s">
        <v>1105</v>
      </c>
      <c r="D1226" s="3" t="s">
        <v>1105</v>
      </c>
      <c r="E1226" s="3" t="s">
        <v>1105</v>
      </c>
      <c r="F1226" s="4" t="s">
        <v>2276</v>
      </c>
      <c r="G1226" s="3" t="s">
        <v>55</v>
      </c>
      <c r="H1226" s="3" t="s">
        <v>523</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3" t="s">
        <v>2276</v>
      </c>
      <c r="AB1226" s="3" t="s">
        <v>2276</v>
      </c>
      <c r="AC1226" s="4" t="s">
        <v>3708</v>
      </c>
      <c r="AD1226" s="3"/>
    </row>
    <row r="1227" spans="1:30" ht="41" customHeight="1">
      <c r="A1227" s="11" t="s">
        <v>3700</v>
      </c>
      <c r="B1227" s="11" t="s">
        <v>3712</v>
      </c>
      <c r="C1227" s="3" t="s">
        <v>1105</v>
      </c>
      <c r="D1227" s="3" t="s">
        <v>2276</v>
      </c>
      <c r="E1227" s="3" t="s">
        <v>1105</v>
      </c>
      <c r="F1227" s="4" t="s">
        <v>2276</v>
      </c>
      <c r="G1227" s="3"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3" t="s">
        <v>2276</v>
      </c>
      <c r="Z1227" s="3" t="s">
        <v>2276</v>
      </c>
      <c r="AA1227" s="3" t="s">
        <v>2276</v>
      </c>
      <c r="AB1227" s="3" t="s">
        <v>2276</v>
      </c>
      <c r="AC1227" s="4" t="s">
        <v>3707</v>
      </c>
      <c r="AD1227" s="3"/>
    </row>
    <row r="1228" spans="1:30" ht="42.5" customHeight="1">
      <c r="A1228" s="11" t="s">
        <v>3701</v>
      </c>
      <c r="B1228" s="11" t="s">
        <v>3710</v>
      </c>
      <c r="C1228" s="3" t="s">
        <v>1105</v>
      </c>
      <c r="D1228" s="3" t="s">
        <v>2276</v>
      </c>
      <c r="E1228" s="3" t="s">
        <v>1105</v>
      </c>
      <c r="F1228" s="4" t="s">
        <v>2276</v>
      </c>
      <c r="G1228" s="3" t="s">
        <v>2276</v>
      </c>
      <c r="H1228" s="3" t="s">
        <v>523</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3" t="s">
        <v>2276</v>
      </c>
      <c r="AB1228" s="3" t="s">
        <v>2276</v>
      </c>
      <c r="AC1228" s="4" t="s">
        <v>3708</v>
      </c>
      <c r="AD1228" s="3"/>
    </row>
    <row r="1229" spans="1:30" ht="32" customHeight="1">
      <c r="A1229" s="11" t="s">
        <v>3716</v>
      </c>
      <c r="B1229" s="11" t="s">
        <v>3720</v>
      </c>
      <c r="C1229" s="3" t="s">
        <v>24</v>
      </c>
      <c r="D1229" s="3" t="s">
        <v>1242</v>
      </c>
      <c r="E1229" s="3" t="s">
        <v>116</v>
      </c>
      <c r="F1229" s="4" t="s">
        <v>2662</v>
      </c>
      <c r="G1229" s="3" t="s">
        <v>2276</v>
      </c>
      <c r="H1229" s="3" t="s">
        <v>523</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38</v>
      </c>
      <c r="AA1229" s="3" t="s">
        <v>34</v>
      </c>
      <c r="AB1229" s="3" t="s">
        <v>64</v>
      </c>
      <c r="AC1229" s="163"/>
      <c r="AD1229" s="3"/>
    </row>
    <row r="1230" spans="1:30" ht="31" customHeight="1">
      <c r="A1230" s="11" t="s">
        <v>3716</v>
      </c>
      <c r="B1230" s="11" t="s">
        <v>3721</v>
      </c>
      <c r="C1230" s="3" t="s">
        <v>24</v>
      </c>
      <c r="D1230" s="3" t="s">
        <v>406</v>
      </c>
      <c r="E1230" s="3" t="s">
        <v>130</v>
      </c>
      <c r="F1230" s="4" t="s">
        <v>2276</v>
      </c>
      <c r="G1230" s="3" t="s">
        <v>2276</v>
      </c>
      <c r="H1230" s="3" t="s">
        <v>523</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38</v>
      </c>
      <c r="AA1230" s="3" t="s">
        <v>68</v>
      </c>
      <c r="AB1230" s="3" t="s">
        <v>64</v>
      </c>
      <c r="AC1230" s="163"/>
      <c r="AD1230" s="3"/>
    </row>
    <row r="1231" spans="1:30" ht="33.5" customHeight="1">
      <c r="A1231" s="11" t="s">
        <v>3716</v>
      </c>
      <c r="B1231" s="11" t="s">
        <v>3722</v>
      </c>
      <c r="C1231" s="3" t="s">
        <v>24</v>
      </c>
      <c r="D1231" s="3" t="s">
        <v>406</v>
      </c>
      <c r="E1231" s="3" t="s">
        <v>116</v>
      </c>
      <c r="F1231" s="4" t="s">
        <v>2276</v>
      </c>
      <c r="G1231" s="3" t="s">
        <v>2276</v>
      </c>
      <c r="H1231" s="3" t="s">
        <v>523</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38</v>
      </c>
      <c r="AA1231" s="3" t="s">
        <v>68</v>
      </c>
      <c r="AB1231" s="3" t="s">
        <v>64</v>
      </c>
      <c r="AC1231" s="163"/>
      <c r="AD1231" s="3"/>
    </row>
    <row r="1232" spans="1:30" ht="32.5" customHeight="1">
      <c r="A1232" s="11" t="s">
        <v>3716</v>
      </c>
      <c r="B1232" s="11" t="s">
        <v>3723</v>
      </c>
      <c r="C1232" s="3" t="s">
        <v>24</v>
      </c>
      <c r="D1232" s="3" t="s">
        <v>27</v>
      </c>
      <c r="E1232" s="3" t="s">
        <v>130</v>
      </c>
      <c r="F1232" s="4" t="s">
        <v>28</v>
      </c>
      <c r="G1232" s="3" t="s">
        <v>2276</v>
      </c>
      <c r="H1232" s="3" t="s">
        <v>523</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405</v>
      </c>
      <c r="AA1232" s="3" t="s">
        <v>68</v>
      </c>
      <c r="AB1232" s="3" t="s">
        <v>64</v>
      </c>
      <c r="AC1232" s="163"/>
      <c r="AD1232" s="3"/>
    </row>
    <row r="1233" spans="1:30" ht="32.5" customHeight="1">
      <c r="A1233" s="11" t="s">
        <v>3716</v>
      </c>
      <c r="B1233" s="11" t="s">
        <v>3724</v>
      </c>
      <c r="C1233" s="3" t="s">
        <v>24</v>
      </c>
      <c r="D1233" s="3" t="s">
        <v>1245</v>
      </c>
      <c r="E1233" s="3" t="s">
        <v>116</v>
      </c>
      <c r="F1233" s="4" t="s">
        <v>2662</v>
      </c>
      <c r="G1233" s="3" t="s">
        <v>2276</v>
      </c>
      <c r="H1233" s="3" t="s">
        <v>523</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38</v>
      </c>
      <c r="AA1233" s="3" t="s">
        <v>68</v>
      </c>
      <c r="AB1233" s="3" t="s">
        <v>64</v>
      </c>
      <c r="AC1233" s="163"/>
      <c r="AD1233" s="3"/>
    </row>
    <row r="1234" spans="1:30" ht="32" customHeight="1">
      <c r="A1234" s="11" t="s">
        <v>3716</v>
      </c>
      <c r="B1234" s="11" t="s">
        <v>3725</v>
      </c>
      <c r="C1234" s="3" t="s">
        <v>24</v>
      </c>
      <c r="D1234" s="3" t="s">
        <v>3480</v>
      </c>
      <c r="E1234" s="3" t="s">
        <v>116</v>
      </c>
      <c r="F1234" s="4" t="s">
        <v>2662</v>
      </c>
      <c r="G1234" s="3" t="s">
        <v>2276</v>
      </c>
      <c r="H1234" s="3" t="s">
        <v>523</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86</v>
      </c>
      <c r="AA1234" s="3" t="s">
        <v>425</v>
      </c>
      <c r="AB1234" s="3" t="s">
        <v>64</v>
      </c>
      <c r="AC1234" s="163"/>
      <c r="AD1234" s="3"/>
    </row>
    <row r="1235" spans="1:30" ht="35" customHeight="1">
      <c r="A1235" s="11" t="s">
        <v>3716</v>
      </c>
      <c r="B1235" s="11" t="s">
        <v>3726</v>
      </c>
      <c r="C1235" s="3" t="s">
        <v>24</v>
      </c>
      <c r="D1235" s="3" t="s">
        <v>25</v>
      </c>
      <c r="E1235" s="3" t="s">
        <v>5005</v>
      </c>
      <c r="F1235" s="4" t="s">
        <v>55</v>
      </c>
      <c r="G1235" s="3" t="s">
        <v>2276</v>
      </c>
      <c r="H1235" s="3" t="s">
        <v>523</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34</v>
      </c>
      <c r="AA1235" s="3" t="s">
        <v>425</v>
      </c>
      <c r="AB1235" s="3" t="s">
        <v>64</v>
      </c>
      <c r="AC1235" s="163"/>
      <c r="AD1235" s="3"/>
    </row>
    <row r="1236" spans="1:30" ht="33.5" customHeight="1">
      <c r="A1236" s="11" t="s">
        <v>3716</v>
      </c>
      <c r="B1236" s="11" t="s">
        <v>3727</v>
      </c>
      <c r="C1236" s="3" t="s">
        <v>24</v>
      </c>
      <c r="D1236" s="3" t="s">
        <v>26</v>
      </c>
      <c r="E1236" s="3" t="s">
        <v>5005</v>
      </c>
      <c r="F1236" s="4" t="s">
        <v>2276</v>
      </c>
      <c r="G1236" s="3" t="s">
        <v>2276</v>
      </c>
      <c r="H1236" s="3" t="s">
        <v>523</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38</v>
      </c>
      <c r="AA1236" s="3" t="s">
        <v>68</v>
      </c>
      <c r="AB1236" s="3" t="s">
        <v>64</v>
      </c>
      <c r="AC1236" s="163"/>
      <c r="AD1236" s="3"/>
    </row>
    <row r="1237" spans="1:30" ht="34.5" customHeight="1">
      <c r="A1237" s="11" t="s">
        <v>3716</v>
      </c>
      <c r="B1237" s="11" t="s">
        <v>3728</v>
      </c>
      <c r="C1237" s="3" t="s">
        <v>24</v>
      </c>
      <c r="D1237" s="3" t="s">
        <v>2341</v>
      </c>
      <c r="E1237" s="3" t="s">
        <v>116</v>
      </c>
      <c r="F1237" s="4" t="s">
        <v>2662</v>
      </c>
      <c r="G1237" s="3" t="s">
        <v>2276</v>
      </c>
      <c r="H1237" s="3" t="s">
        <v>523</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38</v>
      </c>
      <c r="AA1237" s="3" t="s">
        <v>68</v>
      </c>
      <c r="AB1237" s="3" t="s">
        <v>64</v>
      </c>
      <c r="AC1237" s="163"/>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2276</v>
      </c>
      <c r="W1238" s="3" t="s">
        <v>2276</v>
      </c>
      <c r="X1238" s="3" t="s">
        <v>2276</v>
      </c>
      <c r="Y1238" s="3" t="s">
        <v>2276</v>
      </c>
      <c r="Z1238" s="3" t="s">
        <v>38</v>
      </c>
      <c r="AA1238" s="3" t="s">
        <v>68</v>
      </c>
      <c r="AB1238" s="3"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2276</v>
      </c>
      <c r="W1239" s="3" t="s">
        <v>2276</v>
      </c>
      <c r="X1239" s="3" t="s">
        <v>2276</v>
      </c>
      <c r="Y1239" s="3" t="s">
        <v>2276</v>
      </c>
      <c r="Z1239" s="3" t="s">
        <v>38</v>
      </c>
      <c r="AA1239" s="3" t="s">
        <v>68</v>
      </c>
      <c r="AB1239" s="3"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3" t="s">
        <v>2276</v>
      </c>
      <c r="K1240" s="21">
        <v>0.5</v>
      </c>
      <c r="L1240" s="21">
        <v>0.5</v>
      </c>
      <c r="M1240" s="3" t="s">
        <v>2276</v>
      </c>
      <c r="N1240" s="3" t="s">
        <v>2276</v>
      </c>
      <c r="O1240" s="3" t="s">
        <v>2276</v>
      </c>
      <c r="P1240" s="3" t="s">
        <v>2276</v>
      </c>
      <c r="Q1240" s="3" t="s">
        <v>2276</v>
      </c>
      <c r="R1240" s="3" t="s">
        <v>2276</v>
      </c>
      <c r="S1240" s="3" t="s">
        <v>2276</v>
      </c>
      <c r="T1240" s="3" t="s">
        <v>2276</v>
      </c>
      <c r="U1240" s="3" t="s">
        <v>2276</v>
      </c>
      <c r="V1240" s="3" t="s">
        <v>2276</v>
      </c>
      <c r="W1240" s="3" t="s">
        <v>2276</v>
      </c>
      <c r="X1240" s="3" t="s">
        <v>2276</v>
      </c>
      <c r="Y1240" s="3" t="s">
        <v>2276</v>
      </c>
      <c r="Z1240" s="3" t="s">
        <v>68</v>
      </c>
      <c r="AA1240" s="3" t="s">
        <v>188</v>
      </c>
      <c r="AB1240" s="3"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3" t="s">
        <v>2276</v>
      </c>
      <c r="K1241" s="21">
        <v>0.5</v>
      </c>
      <c r="L1241" s="21">
        <v>0.5</v>
      </c>
      <c r="M1241" s="3" t="s">
        <v>2276</v>
      </c>
      <c r="N1241" s="3" t="s">
        <v>2276</v>
      </c>
      <c r="O1241" s="3" t="s">
        <v>2276</v>
      </c>
      <c r="P1241" s="3" t="s">
        <v>2276</v>
      </c>
      <c r="Q1241" s="3" t="s">
        <v>2276</v>
      </c>
      <c r="R1241" s="3" t="s">
        <v>2276</v>
      </c>
      <c r="S1241" s="3" t="s">
        <v>2276</v>
      </c>
      <c r="T1241" s="3" t="s">
        <v>2276</v>
      </c>
      <c r="U1241" s="3" t="s">
        <v>2276</v>
      </c>
      <c r="V1241" s="3" t="s">
        <v>2276</v>
      </c>
      <c r="W1241" s="3" t="s">
        <v>2276</v>
      </c>
      <c r="X1241" s="3" t="s">
        <v>2276</v>
      </c>
      <c r="Y1241" s="3"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3" t="s">
        <v>2276</v>
      </c>
      <c r="K1242" s="21">
        <v>0.5</v>
      </c>
      <c r="L1242" s="21">
        <v>0.5</v>
      </c>
      <c r="M1242" s="3" t="s">
        <v>2276</v>
      </c>
      <c r="N1242" s="3" t="s">
        <v>2276</v>
      </c>
      <c r="O1242" s="3" t="s">
        <v>2276</v>
      </c>
      <c r="P1242" s="3" t="s">
        <v>2276</v>
      </c>
      <c r="Q1242" s="3" t="s">
        <v>2276</v>
      </c>
      <c r="R1242" s="3" t="s">
        <v>2276</v>
      </c>
      <c r="S1242" s="3" t="s">
        <v>2276</v>
      </c>
      <c r="T1242" s="3" t="s">
        <v>2276</v>
      </c>
      <c r="U1242" s="3" t="s">
        <v>2276</v>
      </c>
      <c r="V1242" s="3" t="s">
        <v>2276</v>
      </c>
      <c r="W1242" s="3" t="s">
        <v>2276</v>
      </c>
      <c r="X1242" s="3" t="s">
        <v>2276</v>
      </c>
      <c r="Y1242" s="1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3" t="s">
        <v>2276</v>
      </c>
      <c r="Z1243" s="3" t="s">
        <v>2276</v>
      </c>
      <c r="AA1243" s="3" t="s">
        <v>2276</v>
      </c>
      <c r="AB1243" s="3"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3" t="s">
        <v>2276</v>
      </c>
      <c r="Z1244" s="3" t="s">
        <v>2276</v>
      </c>
      <c r="AA1244" s="3" t="s">
        <v>2276</v>
      </c>
      <c r="AB1244" s="3"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3" t="s">
        <v>2276</v>
      </c>
      <c r="AA1245" s="3" t="s">
        <v>2276</v>
      </c>
      <c r="AB1245" s="3"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3" t="s">
        <v>2276</v>
      </c>
      <c r="AA1246" s="3" t="s">
        <v>2276</v>
      </c>
      <c r="AB1246" s="3"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3" t="s">
        <v>2276</v>
      </c>
      <c r="AA1247" s="3" t="s">
        <v>2276</v>
      </c>
      <c r="AB1247" s="3"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3" t="s">
        <v>2276</v>
      </c>
      <c r="AA1248" s="3" t="s">
        <v>2276</v>
      </c>
      <c r="AB1248" s="3"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3" t="s">
        <v>2276</v>
      </c>
      <c r="AA1249" s="3" t="s">
        <v>2276</v>
      </c>
      <c r="AB1249" s="3"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3" t="s">
        <v>2276</v>
      </c>
      <c r="AA1250" s="3" t="s">
        <v>2276</v>
      </c>
      <c r="AB1250" s="3"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t="s">
        <v>2276</v>
      </c>
      <c r="AB1251" s="3" t="s">
        <v>2276</v>
      </c>
      <c r="AC1251" s="3"/>
      <c r="AD1251" s="3"/>
    </row>
    <row r="1252" spans="1:30" ht="47" customHeight="1">
      <c r="A1252" s="11" t="s">
        <v>3758</v>
      </c>
      <c r="B1252" s="11" t="s">
        <v>3766</v>
      </c>
      <c r="C1252" s="3" t="s">
        <v>24</v>
      </c>
      <c r="D1252" s="3" t="s">
        <v>27</v>
      </c>
      <c r="E1252" s="3" t="s">
        <v>130</v>
      </c>
      <c r="F1252" s="4" t="s">
        <v>161</v>
      </c>
      <c r="G1252" s="3" t="s">
        <v>2276</v>
      </c>
      <c r="H1252" s="3" t="s">
        <v>523</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t="s">
        <v>2276</v>
      </c>
      <c r="AB1252" s="3" t="s">
        <v>2276</v>
      </c>
      <c r="AC1252" s="3"/>
      <c r="AD1252" s="3"/>
    </row>
    <row r="1253" spans="1:30" ht="51" customHeight="1">
      <c r="A1253" s="11" t="s">
        <v>3769</v>
      </c>
      <c r="B1253" s="11" t="s">
        <v>3774</v>
      </c>
      <c r="C1253" s="3" t="s">
        <v>24</v>
      </c>
      <c r="D1253" s="3" t="s">
        <v>25</v>
      </c>
      <c r="E1253" s="3" t="s">
        <v>45</v>
      </c>
      <c r="F1253" s="4" t="s">
        <v>29</v>
      </c>
      <c r="G1253" s="3" t="s">
        <v>2276</v>
      </c>
      <c r="H1253" s="3" t="s">
        <v>523</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2276</v>
      </c>
      <c r="X1253" s="3" t="s">
        <v>2276</v>
      </c>
      <c r="Y1253" s="3" t="s">
        <v>2276</v>
      </c>
      <c r="Z1253" s="3" t="s">
        <v>2276</v>
      </c>
      <c r="AA1253" s="3" t="s">
        <v>2276</v>
      </c>
      <c r="AB1253" s="3" t="s">
        <v>2276</v>
      </c>
      <c r="AC1253" s="4"/>
      <c r="AD1253" s="4" t="s">
        <v>3777</v>
      </c>
    </row>
    <row r="1254" spans="1:30" ht="42" customHeight="1">
      <c r="A1254" s="11" t="s">
        <v>3769</v>
      </c>
      <c r="B1254" s="11" t="s">
        <v>3775</v>
      </c>
      <c r="C1254" s="3" t="s">
        <v>24</v>
      </c>
      <c r="D1254" s="3" t="s">
        <v>1245</v>
      </c>
      <c r="E1254" s="3" t="s">
        <v>116</v>
      </c>
      <c r="F1254" s="4" t="s">
        <v>55</v>
      </c>
      <c r="G1254" s="3" t="s">
        <v>2276</v>
      </c>
      <c r="H1254" s="3" t="s">
        <v>523</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3" t="s">
        <v>2276</v>
      </c>
      <c r="AB1254" s="3" t="s">
        <v>2276</v>
      </c>
      <c r="AC1254" s="4" t="s">
        <v>3778</v>
      </c>
      <c r="AD1254" s="3"/>
    </row>
    <row r="1255" spans="1:30" ht="55.5" customHeight="1">
      <c r="A1255" s="11" t="s">
        <v>3769</v>
      </c>
      <c r="B1255" s="11" t="s">
        <v>3776</v>
      </c>
      <c r="C1255" s="3" t="s">
        <v>24</v>
      </c>
      <c r="D1255" s="3" t="s">
        <v>144</v>
      </c>
      <c r="E1255" s="3" t="s">
        <v>137</v>
      </c>
      <c r="F1255" s="4" t="s">
        <v>55</v>
      </c>
      <c r="G1255" s="3" t="s">
        <v>2276</v>
      </c>
      <c r="H1255" s="3" t="s">
        <v>523</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3" t="s">
        <v>2276</v>
      </c>
      <c r="AB1255" s="3" t="s">
        <v>2276</v>
      </c>
      <c r="AC1255" s="4" t="s">
        <v>3779</v>
      </c>
      <c r="AD1255" s="3"/>
    </row>
    <row r="1256" spans="1:30" ht="40.5" customHeight="1">
      <c r="A1256" s="11" t="s">
        <v>3783</v>
      </c>
      <c r="B1256" s="11" t="s">
        <v>3786</v>
      </c>
      <c r="C1256" s="3" t="s">
        <v>24</v>
      </c>
      <c r="D1256" s="3" t="s">
        <v>25</v>
      </c>
      <c r="E1256" s="3" t="s">
        <v>45</v>
      </c>
      <c r="F1256" s="4" t="s">
        <v>29</v>
      </c>
      <c r="G1256" s="3" t="s">
        <v>2276</v>
      </c>
      <c r="H1256" s="3" t="s">
        <v>523</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2276</v>
      </c>
      <c r="Y1256" s="3" t="s">
        <v>2276</v>
      </c>
      <c r="Z1256" s="3" t="s">
        <v>399</v>
      </c>
      <c r="AA1256" s="3" t="s">
        <v>127</v>
      </c>
      <c r="AB1256" s="3" t="s">
        <v>2312</v>
      </c>
      <c r="AC1256" s="4" t="s">
        <v>3787</v>
      </c>
      <c r="AD1256" s="3"/>
    </row>
    <row r="1257" spans="1:30" ht="40" customHeight="1">
      <c r="A1257" s="11" t="s">
        <v>3783</v>
      </c>
      <c r="B1257" s="11" t="s">
        <v>3788</v>
      </c>
      <c r="C1257" s="3" t="s">
        <v>24</v>
      </c>
      <c r="D1257" s="3" t="s">
        <v>27</v>
      </c>
      <c r="E1257" s="3" t="s">
        <v>130</v>
      </c>
      <c r="F1257" s="4" t="s">
        <v>2276</v>
      </c>
      <c r="G1257" s="3" t="s">
        <v>2276</v>
      </c>
      <c r="H1257" s="3" t="s">
        <v>523</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3" t="s">
        <v>2276</v>
      </c>
      <c r="AB1257" s="3" t="s">
        <v>2276</v>
      </c>
      <c r="AC1257" s="4"/>
      <c r="AD1257" s="3"/>
    </row>
    <row r="1258" spans="1:30" ht="40" customHeight="1">
      <c r="A1258" s="11" t="s">
        <v>3783</v>
      </c>
      <c r="B1258" s="11" t="s">
        <v>3789</v>
      </c>
      <c r="C1258" s="3" t="s">
        <v>24</v>
      </c>
      <c r="D1258" s="3" t="s">
        <v>1242</v>
      </c>
      <c r="E1258" s="3" t="s">
        <v>1105</v>
      </c>
      <c r="F1258" s="4" t="s">
        <v>55</v>
      </c>
      <c r="G1258" s="3" t="s">
        <v>2276</v>
      </c>
      <c r="H1258" s="3" t="s">
        <v>523</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3" t="s">
        <v>2276</v>
      </c>
      <c r="AB1258" s="3" t="s">
        <v>2276</v>
      </c>
      <c r="AC1258" s="4"/>
      <c r="AD1258" s="3"/>
    </row>
    <row r="1259" spans="1:30" ht="43" customHeight="1">
      <c r="A1259" s="11" t="s">
        <v>3783</v>
      </c>
      <c r="B1259" s="11" t="s">
        <v>3790</v>
      </c>
      <c r="C1259" s="3" t="s">
        <v>24</v>
      </c>
      <c r="D1259" s="3" t="s">
        <v>26</v>
      </c>
      <c r="E1259" s="3" t="s">
        <v>45</v>
      </c>
      <c r="F1259" s="4" t="s">
        <v>29</v>
      </c>
      <c r="G1259" s="3" t="s">
        <v>2276</v>
      </c>
      <c r="H1259" s="3" t="s">
        <v>523</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2276</v>
      </c>
      <c r="Y1259" s="3" t="s">
        <v>2276</v>
      </c>
      <c r="Z1259" s="3" t="s">
        <v>34</v>
      </c>
      <c r="AA1259" s="3" t="s">
        <v>405</v>
      </c>
      <c r="AB1259" s="3" t="s">
        <v>64</v>
      </c>
      <c r="AC1259" s="4" t="s">
        <v>3791</v>
      </c>
      <c r="AD1259" s="3"/>
    </row>
    <row r="1260" spans="1:30" ht="38" customHeight="1">
      <c r="A1260" s="11" t="s">
        <v>3783</v>
      </c>
      <c r="B1260" s="11" t="s">
        <v>3793</v>
      </c>
      <c r="C1260" s="3" t="s">
        <v>24</v>
      </c>
      <c r="D1260" s="3" t="s">
        <v>1245</v>
      </c>
      <c r="E1260" s="3" t="s">
        <v>116</v>
      </c>
      <c r="F1260" s="4" t="s">
        <v>55</v>
      </c>
      <c r="G1260" s="3" t="s">
        <v>2276</v>
      </c>
      <c r="H1260" s="3" t="s">
        <v>523</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3" t="s">
        <v>2276</v>
      </c>
      <c r="AB1260" s="3" t="s">
        <v>2276</v>
      </c>
      <c r="AC1260" s="4" t="s">
        <v>3778</v>
      </c>
      <c r="AD1260" s="3"/>
    </row>
    <row r="1261" spans="1:30" ht="54.5" customHeight="1">
      <c r="A1261" s="11" t="s">
        <v>3783</v>
      </c>
      <c r="B1261" s="11" t="s">
        <v>3794</v>
      </c>
      <c r="C1261" s="3" t="s">
        <v>24</v>
      </c>
      <c r="D1261" s="3" t="s">
        <v>144</v>
      </c>
      <c r="E1261" s="3" t="s">
        <v>137</v>
      </c>
      <c r="F1261" s="4" t="s">
        <v>55</v>
      </c>
      <c r="G1261" s="3" t="s">
        <v>2276</v>
      </c>
      <c r="H1261" s="3" t="s">
        <v>523</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3" t="s">
        <v>2276</v>
      </c>
      <c r="AB1261" s="3" t="s">
        <v>2276</v>
      </c>
      <c r="AC1261" s="4" t="s">
        <v>3779</v>
      </c>
      <c r="AD1261" s="3"/>
    </row>
    <row r="1262" spans="1:30" ht="73" customHeight="1">
      <c r="A1262" s="11" t="s">
        <v>3797</v>
      </c>
      <c r="B1262" s="11" t="s">
        <v>3801</v>
      </c>
      <c r="C1262" s="3" t="s">
        <v>24</v>
      </c>
      <c r="D1262" s="3" t="s">
        <v>1242</v>
      </c>
      <c r="E1262" s="3" t="s">
        <v>1105</v>
      </c>
      <c r="F1262" s="4" t="s">
        <v>2662</v>
      </c>
      <c r="G1262" s="3" t="s">
        <v>2276</v>
      </c>
      <c r="H1262" s="3" t="s">
        <v>523</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2276</v>
      </c>
      <c r="X1262" s="3" t="s">
        <v>2276</v>
      </c>
      <c r="Y1262" s="3" t="s">
        <v>2276</v>
      </c>
      <c r="Z1262" s="3" t="s">
        <v>68</v>
      </c>
      <c r="AA1262" s="3" t="s">
        <v>35</v>
      </c>
      <c r="AB1262" s="3" t="s">
        <v>64</v>
      </c>
      <c r="AC1262" s="4" t="s">
        <v>3814</v>
      </c>
      <c r="AD1262" s="3"/>
    </row>
    <row r="1263" spans="1:30" ht="67.5" customHeight="1">
      <c r="A1263" s="11" t="s">
        <v>3797</v>
      </c>
      <c r="B1263" s="11" t="s">
        <v>3802</v>
      </c>
      <c r="C1263" s="3" t="s">
        <v>24</v>
      </c>
      <c r="D1263" s="3" t="s">
        <v>27</v>
      </c>
      <c r="E1263" s="3" t="s">
        <v>130</v>
      </c>
      <c r="F1263" s="4" t="s">
        <v>161</v>
      </c>
      <c r="G1263" s="3" t="s">
        <v>2276</v>
      </c>
      <c r="H1263" s="3" t="s">
        <v>523</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2276</v>
      </c>
      <c r="Y1263" s="3"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3" t="s">
        <v>2276</v>
      </c>
      <c r="H1264" s="3" t="s">
        <v>523</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2276</v>
      </c>
      <c r="X1264" s="3" t="s">
        <v>2276</v>
      </c>
      <c r="Y1264" s="3" t="s">
        <v>2276</v>
      </c>
      <c r="Z1264" s="3" t="s">
        <v>38</v>
      </c>
      <c r="AA1264" s="3" t="s">
        <v>86</v>
      </c>
      <c r="AB1264" s="3" t="s">
        <v>64</v>
      </c>
      <c r="AC1264" s="4" t="s">
        <v>3813</v>
      </c>
      <c r="AD1264" s="3"/>
    </row>
    <row r="1265" spans="1:30" ht="46.5" customHeight="1">
      <c r="A1265" s="19" t="s">
        <v>3797</v>
      </c>
      <c r="B1265" s="11" t="s">
        <v>3805</v>
      </c>
      <c r="C1265" s="4" t="s">
        <v>24</v>
      </c>
      <c r="D1265" s="4" t="s">
        <v>25</v>
      </c>
      <c r="E1265" s="4" t="s">
        <v>45</v>
      </c>
      <c r="F1265" s="4" t="s">
        <v>2662</v>
      </c>
      <c r="G1265" s="3" t="s">
        <v>2276</v>
      </c>
      <c r="H1265" s="3" t="s">
        <v>523</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t="s">
        <v>2276</v>
      </c>
      <c r="AB1265" s="3" t="s">
        <v>2276</v>
      </c>
      <c r="AC1265" s="3"/>
      <c r="AD1265" s="3"/>
    </row>
    <row r="1266" spans="1:30" ht="47.5" customHeight="1">
      <c r="A1266" s="19" t="s">
        <v>3797</v>
      </c>
      <c r="B1266" s="11" t="s">
        <v>3806</v>
      </c>
      <c r="C1266" s="4" t="s">
        <v>24</v>
      </c>
      <c r="D1266" s="4" t="s">
        <v>1245</v>
      </c>
      <c r="E1266" s="4" t="s">
        <v>116</v>
      </c>
      <c r="F1266" s="4" t="s">
        <v>2662</v>
      </c>
      <c r="G1266" s="3" t="s">
        <v>2276</v>
      </c>
      <c r="H1266" s="3" t="s">
        <v>523</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t="s">
        <v>2276</v>
      </c>
      <c r="AB1266" s="3" t="s">
        <v>2276</v>
      </c>
      <c r="AC1266" s="3"/>
      <c r="AD1266" s="3"/>
    </row>
    <row r="1267" spans="1:30" ht="41.5" customHeight="1">
      <c r="A1267" s="19" t="s">
        <v>3797</v>
      </c>
      <c r="B1267" s="11" t="s">
        <v>3809</v>
      </c>
      <c r="C1267" s="3" t="s">
        <v>2658</v>
      </c>
      <c r="D1267" s="3" t="s">
        <v>2276</v>
      </c>
      <c r="E1267" s="3" t="s">
        <v>2276</v>
      </c>
      <c r="F1267" s="4" t="s">
        <v>74</v>
      </c>
      <c r="G1267" s="3" t="s">
        <v>74</v>
      </c>
      <c r="H1267" s="3" t="s">
        <v>523</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2276</v>
      </c>
      <c r="Y1267" s="3" t="s">
        <v>2276</v>
      </c>
      <c r="Z1267" s="3" t="s">
        <v>68</v>
      </c>
      <c r="AA1267" s="3" t="s">
        <v>38</v>
      </c>
      <c r="AB1267" s="3" t="s">
        <v>76</v>
      </c>
      <c r="AC1267" s="3"/>
      <c r="AD1267" s="4" t="s">
        <v>3807</v>
      </c>
    </row>
    <row r="1268" spans="1:30" ht="37" customHeight="1">
      <c r="A1268" s="19" t="s">
        <v>3816</v>
      </c>
      <c r="B1268" s="11" t="s">
        <v>3818</v>
      </c>
      <c r="C1268" s="3" t="s">
        <v>24</v>
      </c>
      <c r="D1268" s="3" t="s">
        <v>1242</v>
      </c>
      <c r="E1268" s="3" t="s">
        <v>1105</v>
      </c>
      <c r="F1268" s="4" t="s">
        <v>2662</v>
      </c>
      <c r="G1268" s="3" t="s">
        <v>2276</v>
      </c>
      <c r="H1268" s="3" t="s">
        <v>523</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2276</v>
      </c>
      <c r="W1268" s="3" t="s">
        <v>2276</v>
      </c>
      <c r="X1268" s="3" t="s">
        <v>2276</v>
      </c>
      <c r="Y1268" s="3" t="s">
        <v>2276</v>
      </c>
      <c r="Z1268" s="3" t="s">
        <v>68</v>
      </c>
      <c r="AA1268" s="3" t="s">
        <v>127</v>
      </c>
      <c r="AB1268" s="3" t="s">
        <v>64</v>
      </c>
      <c r="AC1268" s="3"/>
      <c r="AD1268" s="3"/>
    </row>
    <row r="1269" spans="1:30" ht="37" customHeight="1">
      <c r="A1269" s="19" t="s">
        <v>3816</v>
      </c>
      <c r="B1269" s="11" t="s">
        <v>3819</v>
      </c>
      <c r="C1269" s="4" t="s">
        <v>24</v>
      </c>
      <c r="D1269" s="4" t="s">
        <v>25</v>
      </c>
      <c r="E1269" s="4" t="s">
        <v>45</v>
      </c>
      <c r="F1269" s="4" t="s">
        <v>2662</v>
      </c>
      <c r="G1269" s="3" t="s">
        <v>2276</v>
      </c>
      <c r="H1269" s="3" t="s">
        <v>523</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2276</v>
      </c>
      <c r="W1269" s="3" t="s">
        <v>2276</v>
      </c>
      <c r="X1269" s="3" t="s">
        <v>2276</v>
      </c>
      <c r="Y1269" s="3" t="s">
        <v>2276</v>
      </c>
      <c r="Z1269" s="3" t="s">
        <v>68</v>
      </c>
      <c r="AA1269" s="3" t="s">
        <v>127</v>
      </c>
      <c r="AB1269" s="3" t="s">
        <v>64</v>
      </c>
      <c r="AC1269" s="3"/>
      <c r="AD1269" s="3"/>
    </row>
    <row r="1270" spans="1:30" ht="37" customHeight="1">
      <c r="A1270" s="19" t="s">
        <v>3816</v>
      </c>
      <c r="B1270" s="11" t="s">
        <v>3820</v>
      </c>
      <c r="C1270" s="4" t="s">
        <v>24</v>
      </c>
      <c r="D1270" s="4" t="s">
        <v>26</v>
      </c>
      <c r="E1270" s="4" t="s">
        <v>1105</v>
      </c>
      <c r="F1270" s="4" t="s">
        <v>2662</v>
      </c>
      <c r="G1270" s="3" t="s">
        <v>2276</v>
      </c>
      <c r="H1270" s="3" t="s">
        <v>523</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2276</v>
      </c>
      <c r="W1270" s="3" t="s">
        <v>2276</v>
      </c>
      <c r="X1270" s="3" t="s">
        <v>2276</v>
      </c>
      <c r="Y1270" s="3" t="s">
        <v>2276</v>
      </c>
      <c r="Z1270" s="3" t="s">
        <v>68</v>
      </c>
      <c r="AA1270" s="3" t="s">
        <v>127</v>
      </c>
      <c r="AB1270" s="3" t="s">
        <v>64</v>
      </c>
      <c r="AC1270" s="3"/>
      <c r="AD1270" s="3"/>
    </row>
    <row r="1271" spans="1:30" ht="37" customHeight="1">
      <c r="A1271" s="19" t="s">
        <v>3816</v>
      </c>
      <c r="B1271" s="11" t="s">
        <v>3821</v>
      </c>
      <c r="C1271" s="4" t="s">
        <v>24</v>
      </c>
      <c r="D1271" s="4" t="s">
        <v>1245</v>
      </c>
      <c r="E1271" s="4" t="s">
        <v>116</v>
      </c>
      <c r="F1271" s="4" t="s">
        <v>2662</v>
      </c>
      <c r="G1271" s="3" t="s">
        <v>2276</v>
      </c>
      <c r="H1271" s="3" t="s">
        <v>523</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2276</v>
      </c>
      <c r="W1271" s="3" t="s">
        <v>2276</v>
      </c>
      <c r="X1271" s="3" t="s">
        <v>2276</v>
      </c>
      <c r="Y1271" s="3" t="s">
        <v>2276</v>
      </c>
      <c r="Z1271" s="3" t="s">
        <v>68</v>
      </c>
      <c r="AA1271" s="3" t="s">
        <v>127</v>
      </c>
      <c r="AB1271" s="3" t="s">
        <v>64</v>
      </c>
      <c r="AC1271" s="3"/>
      <c r="AD1271" s="3"/>
    </row>
    <row r="1272" spans="1:30" ht="32.5" customHeight="1">
      <c r="A1272" s="19" t="s">
        <v>3816</v>
      </c>
      <c r="B1272" s="11" t="s">
        <v>3822</v>
      </c>
      <c r="C1272" s="3" t="s">
        <v>24</v>
      </c>
      <c r="D1272" s="3" t="s">
        <v>27</v>
      </c>
      <c r="E1272" s="3" t="s">
        <v>130</v>
      </c>
      <c r="F1272" s="4" t="s">
        <v>161</v>
      </c>
      <c r="G1272" s="3" t="s">
        <v>2276</v>
      </c>
      <c r="H1272" s="3" t="s">
        <v>523</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2276</v>
      </c>
      <c r="W1272" s="3" t="s">
        <v>2276</v>
      </c>
      <c r="X1272" s="3" t="s">
        <v>2276</v>
      </c>
      <c r="Y1272" s="3" t="s">
        <v>2276</v>
      </c>
      <c r="Z1272" s="3" t="s">
        <v>127</v>
      </c>
      <c r="AA1272" s="3" t="s">
        <v>399</v>
      </c>
      <c r="AB1272" s="3" t="s">
        <v>64</v>
      </c>
      <c r="AC1272" s="3"/>
      <c r="AD1272" s="3"/>
    </row>
    <row r="1273" spans="1:30" ht="33.5" customHeight="1">
      <c r="A1273" s="19" t="s">
        <v>3816</v>
      </c>
      <c r="B1273" s="11" t="s">
        <v>3823</v>
      </c>
      <c r="C1273" s="4" t="s">
        <v>24</v>
      </c>
      <c r="D1273" s="4" t="s">
        <v>1242</v>
      </c>
      <c r="E1273" s="4" t="s">
        <v>130</v>
      </c>
      <c r="F1273" s="4" t="s">
        <v>161</v>
      </c>
      <c r="G1273" s="3" t="s">
        <v>2276</v>
      </c>
      <c r="H1273" s="3" t="s">
        <v>523</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2276</v>
      </c>
      <c r="W1273" s="3" t="s">
        <v>2276</v>
      </c>
      <c r="X1273" s="3" t="s">
        <v>2276</v>
      </c>
      <c r="Y1273" s="3" t="s">
        <v>2276</v>
      </c>
      <c r="Z1273" s="3" t="s">
        <v>127</v>
      </c>
      <c r="AA1273" s="3" t="s">
        <v>399</v>
      </c>
      <c r="AB1273" s="3" t="s">
        <v>64</v>
      </c>
      <c r="AC1273" s="3"/>
      <c r="AD1273" s="3"/>
    </row>
    <row r="1274" spans="1:30" ht="38" customHeight="1">
      <c r="A1274" s="19" t="s">
        <v>3816</v>
      </c>
      <c r="B1274" s="11" t="s">
        <v>3824</v>
      </c>
      <c r="C1274" s="3" t="s">
        <v>24</v>
      </c>
      <c r="D1274" s="3" t="s">
        <v>61</v>
      </c>
      <c r="E1274" s="3" t="s">
        <v>116</v>
      </c>
      <c r="F1274" s="4" t="s">
        <v>74</v>
      </c>
      <c r="G1274" s="3" t="s">
        <v>74</v>
      </c>
      <c r="H1274" s="3" t="s">
        <v>523</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2276</v>
      </c>
      <c r="W1274" s="3" t="s">
        <v>2276</v>
      </c>
      <c r="X1274" s="3" t="s">
        <v>2276</v>
      </c>
      <c r="Y1274" s="3" t="s">
        <v>2276</v>
      </c>
      <c r="Z1274" s="3" t="s">
        <v>399</v>
      </c>
      <c r="AA1274" s="3" t="s">
        <v>38</v>
      </c>
      <c r="AB1274" s="3" t="s">
        <v>64</v>
      </c>
      <c r="AC1274" s="3"/>
      <c r="AD1274" s="3"/>
    </row>
    <row r="1275" spans="1:30" ht="42" customHeight="1">
      <c r="A1275" s="19" t="s">
        <v>3816</v>
      </c>
      <c r="B1275" s="11" t="s">
        <v>3826</v>
      </c>
      <c r="C1275" s="3" t="s">
        <v>31</v>
      </c>
      <c r="D1275" s="3" t="s">
        <v>2276</v>
      </c>
      <c r="E1275" s="3" t="s">
        <v>1105</v>
      </c>
      <c r="F1275" s="4" t="s">
        <v>2276</v>
      </c>
      <c r="G1275" s="3" t="s">
        <v>74</v>
      </c>
      <c r="H1275" s="3" t="s">
        <v>523</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2276</v>
      </c>
      <c r="W1275" s="3" t="s">
        <v>2276</v>
      </c>
      <c r="X1275" s="3" t="s">
        <v>2276</v>
      </c>
      <c r="Y1275" s="3" t="s">
        <v>2276</v>
      </c>
      <c r="Z1275" s="3" t="s">
        <v>399</v>
      </c>
      <c r="AA1275" s="3" t="s">
        <v>38</v>
      </c>
      <c r="AB1275" s="3" t="s">
        <v>64</v>
      </c>
      <c r="AC1275" s="3"/>
      <c r="AD1275" s="3"/>
    </row>
    <row r="1276" spans="1:30" ht="41" customHeight="1">
      <c r="A1276" s="19" t="s">
        <v>3816</v>
      </c>
      <c r="B1276" s="11" t="s">
        <v>3827</v>
      </c>
      <c r="C1276" s="3" t="s">
        <v>24</v>
      </c>
      <c r="D1276" s="3" t="s">
        <v>27</v>
      </c>
      <c r="E1276" s="3" t="s">
        <v>130</v>
      </c>
      <c r="F1276" s="4" t="s">
        <v>74</v>
      </c>
      <c r="G1276" s="3" t="s">
        <v>2276</v>
      </c>
      <c r="H1276" s="3" t="s">
        <v>523</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2276</v>
      </c>
      <c r="W1276" s="3" t="s">
        <v>2276</v>
      </c>
      <c r="X1276" s="3" t="s">
        <v>2276</v>
      </c>
      <c r="Y1276" s="3" t="s">
        <v>2276</v>
      </c>
      <c r="Z1276" s="3" t="s">
        <v>188</v>
      </c>
      <c r="AA1276" s="3" t="s">
        <v>38</v>
      </c>
      <c r="AB1276" s="3" t="s">
        <v>64</v>
      </c>
      <c r="AC1276" s="3"/>
      <c r="AD1276" s="3"/>
    </row>
    <row r="1277" spans="1:30" ht="43.5" customHeight="1">
      <c r="A1277" s="19" t="s">
        <v>3832</v>
      </c>
      <c r="B1277" s="11" t="s">
        <v>3838</v>
      </c>
      <c r="C1277" s="3" t="s">
        <v>24</v>
      </c>
      <c r="D1277" s="3" t="s">
        <v>3476</v>
      </c>
      <c r="E1277" s="3"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3" t="s">
        <v>2276</v>
      </c>
      <c r="AA1277" s="3" t="s">
        <v>2276</v>
      </c>
      <c r="AB1277" s="3" t="s">
        <v>2276</v>
      </c>
      <c r="AC1277" s="3"/>
      <c r="AD1277" s="3"/>
    </row>
    <row r="1278" spans="1:30" ht="63.5" customHeight="1">
      <c r="A1278" s="19" t="s">
        <v>3841</v>
      </c>
      <c r="B1278" s="11" t="s">
        <v>3845</v>
      </c>
      <c r="C1278" s="3" t="s">
        <v>24</v>
      </c>
      <c r="D1278" s="3" t="s">
        <v>2804</v>
      </c>
      <c r="E1278" s="3" t="s">
        <v>5005</v>
      </c>
      <c r="F1278" s="4" t="s">
        <v>2662</v>
      </c>
      <c r="G1278" s="4" t="s">
        <v>2662</v>
      </c>
      <c r="H1278" s="3" t="s">
        <v>523</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2276</v>
      </c>
      <c r="X1278" s="3" t="s">
        <v>2276</v>
      </c>
      <c r="Y1278" s="3" t="s">
        <v>2276</v>
      </c>
      <c r="Z1278" s="3" t="s">
        <v>2276</v>
      </c>
      <c r="AA1278" s="3" t="s">
        <v>2276</v>
      </c>
      <c r="AB1278" s="3"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3" t="s">
        <v>2276</v>
      </c>
      <c r="AA1279" s="3" t="s">
        <v>2276</v>
      </c>
      <c r="AB1279" s="3"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3" t="s">
        <v>2276</v>
      </c>
      <c r="Z1280" s="3" t="s">
        <v>2276</v>
      </c>
      <c r="AA1280" s="3" t="s">
        <v>2276</v>
      </c>
      <c r="AB1280" s="3" t="s">
        <v>2276</v>
      </c>
      <c r="AC1280" s="24" t="s">
        <v>3858</v>
      </c>
      <c r="AD1280" s="24" t="s">
        <v>3899</v>
      </c>
    </row>
    <row r="1281" spans="1:30" ht="52.5" customHeight="1">
      <c r="A1281" s="19" t="s">
        <v>3861</v>
      </c>
      <c r="B1281" s="11" t="s">
        <v>3865</v>
      </c>
      <c r="C1281" s="3" t="s">
        <v>1105</v>
      </c>
      <c r="D1281" s="3" t="s">
        <v>1105</v>
      </c>
      <c r="E1281" s="3" t="s">
        <v>116</v>
      </c>
      <c r="F1281" s="4" t="s">
        <v>2276</v>
      </c>
      <c r="G1281" s="3" t="s">
        <v>2276</v>
      </c>
      <c r="H1281" s="3" t="s">
        <v>523</v>
      </c>
      <c r="I1281" s="3">
        <v>1992</v>
      </c>
      <c r="J1281" s="3" t="s">
        <v>2276</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2276</v>
      </c>
      <c r="Y1281" s="3" t="s">
        <v>2276</v>
      </c>
      <c r="Z1281" s="3" t="s">
        <v>399</v>
      </c>
      <c r="AA1281" s="3" t="s">
        <v>86</v>
      </c>
      <c r="AB1281" s="3"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3" t="s">
        <v>2276</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2276</v>
      </c>
      <c r="Y1282" s="3" t="s">
        <v>2276</v>
      </c>
      <c r="Z1282" s="3" t="s">
        <v>399</v>
      </c>
      <c r="AA1282" s="3" t="s">
        <v>86</v>
      </c>
      <c r="AB1282" s="3" t="s">
        <v>2276</v>
      </c>
      <c r="AC1282" s="4" t="s">
        <v>3866</v>
      </c>
      <c r="AD1282" s="4" t="s">
        <v>3878</v>
      </c>
    </row>
    <row r="1283" spans="1:30" ht="52.5" customHeight="1">
      <c r="A1283" s="19" t="s">
        <v>3861</v>
      </c>
      <c r="B1283" s="11" t="s">
        <v>3868</v>
      </c>
      <c r="C1283" s="3" t="s">
        <v>1105</v>
      </c>
      <c r="D1283" s="3" t="s">
        <v>1105</v>
      </c>
      <c r="E1283" s="3" t="s">
        <v>116</v>
      </c>
      <c r="F1283" s="4" t="s">
        <v>2276</v>
      </c>
      <c r="G1283" s="3" t="s">
        <v>2276</v>
      </c>
      <c r="H1283" s="3" t="s">
        <v>523</v>
      </c>
      <c r="I1283" s="3">
        <v>1994</v>
      </c>
      <c r="J1283" s="3" t="s">
        <v>2276</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2276</v>
      </c>
      <c r="Y1283" s="3" t="s">
        <v>2276</v>
      </c>
      <c r="Z1283" s="3" t="s">
        <v>399</v>
      </c>
      <c r="AA1283" s="3" t="s">
        <v>86</v>
      </c>
      <c r="AB1283" s="3"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3" t="s">
        <v>2276</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2276</v>
      </c>
      <c r="Y1284" s="3" t="s">
        <v>2276</v>
      </c>
      <c r="Z1284" s="3" t="s">
        <v>399</v>
      </c>
      <c r="AA1284" s="3" t="s">
        <v>86</v>
      </c>
      <c r="AB1284" s="3" t="s">
        <v>2276</v>
      </c>
      <c r="AC1284" s="4" t="s">
        <v>3866</v>
      </c>
      <c r="AD1284" s="4" t="s">
        <v>3878</v>
      </c>
    </row>
    <row r="1285" spans="1:30" ht="52.5" customHeight="1">
      <c r="A1285" s="19" t="s">
        <v>3861</v>
      </c>
      <c r="B1285" s="11" t="s">
        <v>3870</v>
      </c>
      <c r="C1285" s="3" t="s">
        <v>1105</v>
      </c>
      <c r="D1285" s="3" t="s">
        <v>1105</v>
      </c>
      <c r="E1285" s="3" t="s">
        <v>116</v>
      </c>
      <c r="F1285" s="4" t="s">
        <v>2276</v>
      </c>
      <c r="G1285" s="3" t="s">
        <v>2276</v>
      </c>
      <c r="H1285" s="3" t="s">
        <v>523</v>
      </c>
      <c r="I1285" s="3">
        <v>1996</v>
      </c>
      <c r="J1285" s="3" t="s">
        <v>2276</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2276</v>
      </c>
      <c r="Y1285" s="3" t="s">
        <v>2276</v>
      </c>
      <c r="Z1285" s="3" t="s">
        <v>399</v>
      </c>
      <c r="AA1285" s="3" t="s">
        <v>86</v>
      </c>
      <c r="AB1285" s="3" t="s">
        <v>2276</v>
      </c>
      <c r="AC1285" s="4" t="s">
        <v>3866</v>
      </c>
      <c r="AD1285" s="4" t="s">
        <v>3878</v>
      </c>
    </row>
    <row r="1286" spans="1:30" ht="52.5" customHeight="1">
      <c r="A1286" s="19" t="s">
        <v>3861</v>
      </c>
      <c r="B1286" s="11" t="s">
        <v>3871</v>
      </c>
      <c r="C1286" s="3" t="s">
        <v>1105</v>
      </c>
      <c r="D1286" s="3" t="s">
        <v>1105</v>
      </c>
      <c r="E1286" s="3" t="s">
        <v>116</v>
      </c>
      <c r="F1286" s="4" t="s">
        <v>2276</v>
      </c>
      <c r="G1286" s="3" t="s">
        <v>2276</v>
      </c>
      <c r="H1286" s="3" t="s">
        <v>523</v>
      </c>
      <c r="I1286" s="3">
        <v>1997</v>
      </c>
      <c r="J1286" s="3" t="s">
        <v>2276</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2276</v>
      </c>
      <c r="Y1286" s="3" t="s">
        <v>2276</v>
      </c>
      <c r="Z1286" s="3" t="s">
        <v>399</v>
      </c>
      <c r="AA1286" s="3" t="s">
        <v>86</v>
      </c>
      <c r="AB1286" s="3"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3" t="s">
        <v>2276</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2276</v>
      </c>
      <c r="Y1287" s="3" t="s">
        <v>2276</v>
      </c>
      <c r="Z1287" s="3" t="s">
        <v>399</v>
      </c>
      <c r="AA1287" s="3" t="s">
        <v>86</v>
      </c>
      <c r="AB1287" s="3"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3" t="s">
        <v>2276</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2276</v>
      </c>
      <c r="Y1288" s="3" t="s">
        <v>2276</v>
      </c>
      <c r="Z1288" s="3" t="s">
        <v>399</v>
      </c>
      <c r="AA1288" s="3" t="s">
        <v>86</v>
      </c>
      <c r="AB1288" s="3" t="s">
        <v>2276</v>
      </c>
      <c r="AC1288" s="4" t="s">
        <v>3866</v>
      </c>
      <c r="AD1288" s="4" t="s">
        <v>3878</v>
      </c>
    </row>
    <row r="1289" spans="1:30" ht="52.5" customHeight="1">
      <c r="A1289" s="19" t="s">
        <v>3861</v>
      </c>
      <c r="B1289" s="11" t="s">
        <v>3874</v>
      </c>
      <c r="C1289" s="3" t="s">
        <v>1105</v>
      </c>
      <c r="D1289" s="3" t="s">
        <v>1105</v>
      </c>
      <c r="E1289" s="3" t="s">
        <v>116</v>
      </c>
      <c r="F1289" s="4" t="s">
        <v>2276</v>
      </c>
      <c r="G1289" s="3" t="s">
        <v>2276</v>
      </c>
      <c r="H1289" s="3" t="s">
        <v>523</v>
      </c>
      <c r="I1289" s="3">
        <v>2000</v>
      </c>
      <c r="J1289" s="3" t="s">
        <v>2276</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2276</v>
      </c>
      <c r="Y1289" s="3" t="s">
        <v>2276</v>
      </c>
      <c r="Z1289" s="3" t="s">
        <v>399</v>
      </c>
      <c r="AA1289" s="3" t="s">
        <v>86</v>
      </c>
      <c r="AB1289" s="3"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3" t="s">
        <v>2276</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2276</v>
      </c>
      <c r="Y1290" s="3" t="s">
        <v>2276</v>
      </c>
      <c r="Z1290" s="3" t="s">
        <v>399</v>
      </c>
      <c r="AA1290" s="3" t="s">
        <v>86</v>
      </c>
      <c r="AB1290" s="3" t="s">
        <v>2276</v>
      </c>
      <c r="AC1290" s="4" t="s">
        <v>3866</v>
      </c>
      <c r="AD1290" s="4" t="s">
        <v>3878</v>
      </c>
    </row>
    <row r="1291" spans="1:30" ht="52.5" customHeight="1">
      <c r="A1291" s="19" t="s">
        <v>3861</v>
      </c>
      <c r="B1291" s="11" t="s">
        <v>3876</v>
      </c>
      <c r="C1291" s="3" t="s">
        <v>1105</v>
      </c>
      <c r="D1291" s="3" t="s">
        <v>1105</v>
      </c>
      <c r="E1291" s="3" t="s">
        <v>116</v>
      </c>
      <c r="F1291" s="4" t="s">
        <v>2276</v>
      </c>
      <c r="G1291" s="3" t="s">
        <v>2276</v>
      </c>
      <c r="H1291" s="3" t="s">
        <v>523</v>
      </c>
      <c r="I1291" s="3">
        <v>2002</v>
      </c>
      <c r="J1291" s="3" t="s">
        <v>2276</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2276</v>
      </c>
      <c r="Y1291" s="3" t="s">
        <v>2276</v>
      </c>
      <c r="Z1291" s="3" t="s">
        <v>399</v>
      </c>
      <c r="AA1291" s="3" t="s">
        <v>86</v>
      </c>
      <c r="AB1291" s="3"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3" t="s">
        <v>2276</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2276</v>
      </c>
      <c r="Y1292" s="3" t="s">
        <v>2276</v>
      </c>
      <c r="Z1292" s="3" t="s">
        <v>399</v>
      </c>
      <c r="AA1292" s="3" t="s">
        <v>86</v>
      </c>
      <c r="AB1292" s="3" t="s">
        <v>2276</v>
      </c>
      <c r="AC1292" s="4" t="s">
        <v>3866</v>
      </c>
      <c r="AD1292" s="4" t="s">
        <v>3878</v>
      </c>
    </row>
    <row r="1293" spans="1:30" ht="41.5" customHeight="1">
      <c r="A1293" s="19" t="s">
        <v>3861</v>
      </c>
      <c r="B1293" s="11" t="s">
        <v>3879</v>
      </c>
      <c r="C1293" s="3" t="s">
        <v>24</v>
      </c>
      <c r="D1293" s="3" t="s">
        <v>1245</v>
      </c>
      <c r="E1293" s="3" t="s">
        <v>116</v>
      </c>
      <c r="F1293" s="4" t="s">
        <v>2662</v>
      </c>
      <c r="G1293" s="4" t="s">
        <v>2662</v>
      </c>
      <c r="H1293" s="3" t="s">
        <v>523</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3" t="s">
        <v>2276</v>
      </c>
      <c r="AB1293" s="3" t="s">
        <v>2276</v>
      </c>
      <c r="AC1293" s="4" t="s">
        <v>3886</v>
      </c>
      <c r="AD1293" s="3"/>
    </row>
    <row r="1294" spans="1:30" ht="39" customHeight="1">
      <c r="A1294" s="19" t="s">
        <v>3861</v>
      </c>
      <c r="B1294" s="11" t="s">
        <v>3880</v>
      </c>
      <c r="C1294" s="3" t="s">
        <v>24</v>
      </c>
      <c r="D1294" s="3" t="s">
        <v>2305</v>
      </c>
      <c r="E1294" s="3" t="s">
        <v>116</v>
      </c>
      <c r="F1294" s="4" t="s">
        <v>2662</v>
      </c>
      <c r="G1294" s="4" t="s">
        <v>2662</v>
      </c>
      <c r="H1294" s="3" t="s">
        <v>523</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t="s">
        <v>2276</v>
      </c>
      <c r="AB1294" s="3" t="s">
        <v>2276</v>
      </c>
      <c r="AC1294" s="3"/>
      <c r="AD1294" s="3"/>
    </row>
    <row r="1295" spans="1:30" ht="33.5" customHeight="1">
      <c r="A1295" s="19" t="s">
        <v>3861</v>
      </c>
      <c r="B1295" s="11" t="s">
        <v>3881</v>
      </c>
      <c r="C1295" s="3" t="s">
        <v>24</v>
      </c>
      <c r="D1295" s="3" t="s">
        <v>2341</v>
      </c>
      <c r="E1295" s="3" t="s">
        <v>116</v>
      </c>
      <c r="F1295" s="4" t="s">
        <v>2662</v>
      </c>
      <c r="G1295" s="4" t="s">
        <v>2662</v>
      </c>
      <c r="H1295" s="3" t="s">
        <v>523</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t="s">
        <v>2276</v>
      </c>
      <c r="AB1295" s="3"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t="s">
        <v>2276</v>
      </c>
      <c r="AB1296" s="3" t="s">
        <v>2276</v>
      </c>
      <c r="AC1296" s="3"/>
      <c r="AD1296" s="3"/>
    </row>
    <row r="1297" spans="1:30" ht="37" customHeight="1">
      <c r="A1297" s="19" t="s">
        <v>3861</v>
      </c>
      <c r="B1297" s="11" t="s">
        <v>3883</v>
      </c>
      <c r="C1297" s="3" t="s">
        <v>24</v>
      </c>
      <c r="D1297" s="3" t="s">
        <v>1242</v>
      </c>
      <c r="E1297" s="3" t="s">
        <v>116</v>
      </c>
      <c r="F1297" s="4" t="s">
        <v>2662</v>
      </c>
      <c r="G1297" s="4" t="s">
        <v>2662</v>
      </c>
      <c r="H1297" s="3" t="s">
        <v>523</v>
      </c>
      <c r="I1297" s="3"/>
      <c r="J1297" s="3" t="s">
        <v>2276</v>
      </c>
      <c r="K1297" s="3" t="s">
        <v>2276</v>
      </c>
      <c r="L1297" s="72">
        <v>0.04</v>
      </c>
      <c r="M1297" s="72">
        <v>0.25</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t="s">
        <v>2276</v>
      </c>
      <c r="AB1297" s="3"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t="s">
        <v>2276</v>
      </c>
      <c r="AB1298" s="3" t="s">
        <v>2276</v>
      </c>
      <c r="AC1298" s="3"/>
      <c r="AD1298" s="3"/>
    </row>
    <row r="1299" spans="1:30" ht="42" customHeight="1">
      <c r="A1299" s="19" t="s">
        <v>3861</v>
      </c>
      <c r="B1299" s="11" t="s">
        <v>3884</v>
      </c>
      <c r="C1299" s="3" t="s">
        <v>2458</v>
      </c>
      <c r="D1299" s="3" t="s">
        <v>2276</v>
      </c>
      <c r="E1299" s="3" t="s">
        <v>116</v>
      </c>
      <c r="F1299" s="4" t="s">
        <v>2662</v>
      </c>
      <c r="G1299" s="3" t="s">
        <v>74</v>
      </c>
      <c r="H1299" s="3" t="s">
        <v>523</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t="s">
        <v>2276</v>
      </c>
      <c r="AB1299" s="3"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2276</v>
      </c>
      <c r="Y1300" s="3" t="s">
        <v>2276</v>
      </c>
      <c r="Z1300" s="3" t="s">
        <v>188</v>
      </c>
      <c r="AA1300" s="3" t="s">
        <v>38</v>
      </c>
      <c r="AB1300" s="3"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2276</v>
      </c>
      <c r="Y1301" s="3" t="s">
        <v>2276</v>
      </c>
      <c r="Z1301" s="3" t="s">
        <v>188</v>
      </c>
      <c r="AA1301" s="3" t="s">
        <v>38</v>
      </c>
      <c r="AB1301" s="3"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2276</v>
      </c>
      <c r="Y1302" s="3" t="s">
        <v>2276</v>
      </c>
      <c r="Z1302" s="3" t="s">
        <v>35</v>
      </c>
      <c r="AA1302" s="3" t="s">
        <v>34</v>
      </c>
      <c r="AB1302" s="3"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2276</v>
      </c>
      <c r="Y1303" s="3" t="s">
        <v>2276</v>
      </c>
      <c r="Z1303" s="3" t="s">
        <v>35</v>
      </c>
      <c r="AA1303" s="3" t="s">
        <v>34</v>
      </c>
      <c r="AB1303" s="3" t="s">
        <v>2276</v>
      </c>
      <c r="AC1303" s="3"/>
      <c r="AD1303" s="4" t="s">
        <v>3915</v>
      </c>
    </row>
    <row r="1304" spans="1:30" ht="38" customHeight="1">
      <c r="A1304" s="19" t="s">
        <v>3909</v>
      </c>
      <c r="B1304" s="19" t="s">
        <v>3917</v>
      </c>
      <c r="C1304" s="3" t="s">
        <v>24</v>
      </c>
      <c r="D1304" s="3" t="s">
        <v>26</v>
      </c>
      <c r="E1304" s="3" t="s">
        <v>5005</v>
      </c>
      <c r="F1304" s="4" t="s">
        <v>2276</v>
      </c>
      <c r="G1304" s="3" t="s">
        <v>2276</v>
      </c>
      <c r="H1304" s="3" t="s">
        <v>523</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2276</v>
      </c>
      <c r="Y1304" s="3" t="s">
        <v>2276</v>
      </c>
      <c r="Z1304" s="3" t="s">
        <v>35</v>
      </c>
      <c r="AA1304" s="3" t="s">
        <v>34</v>
      </c>
      <c r="AB1304" s="3" t="s">
        <v>2276</v>
      </c>
      <c r="AC1304" s="3"/>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2276</v>
      </c>
      <c r="Y1305" s="3" t="s">
        <v>2276</v>
      </c>
      <c r="Z1305" s="3" t="s">
        <v>35</v>
      </c>
      <c r="AA1305" s="3" t="s">
        <v>34</v>
      </c>
      <c r="AB1305" s="3" t="s">
        <v>2276</v>
      </c>
      <c r="AC1305" s="3"/>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2276</v>
      </c>
      <c r="Y1306" s="3" t="s">
        <v>2276</v>
      </c>
      <c r="Z1306" s="3" t="s">
        <v>35</v>
      </c>
      <c r="AA1306" s="3" t="s">
        <v>34</v>
      </c>
      <c r="AB1306" s="3" t="s">
        <v>2276</v>
      </c>
      <c r="AC1306" s="3"/>
      <c r="AD1306" s="4" t="s">
        <v>3915</v>
      </c>
    </row>
    <row r="1307" spans="1:30" ht="41" customHeight="1">
      <c r="A1307" s="19" t="s">
        <v>3911</v>
      </c>
      <c r="B1307" s="19" t="s">
        <v>3920</v>
      </c>
      <c r="C1307" s="3" t="s">
        <v>24</v>
      </c>
      <c r="D1307" s="3" t="s">
        <v>26</v>
      </c>
      <c r="E1307" s="3" t="s">
        <v>5005</v>
      </c>
      <c r="F1307" s="4" t="s">
        <v>2276</v>
      </c>
      <c r="G1307" s="3" t="s">
        <v>2276</v>
      </c>
      <c r="H1307" s="3" t="s">
        <v>523</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2276</v>
      </c>
      <c r="Y1307" s="3" t="s">
        <v>2276</v>
      </c>
      <c r="Z1307" s="3" t="s">
        <v>35</v>
      </c>
      <c r="AA1307" s="3" t="s">
        <v>34</v>
      </c>
      <c r="AB1307" s="3" t="s">
        <v>2276</v>
      </c>
      <c r="AC1307" s="3"/>
      <c r="AD1307" s="4" t="s">
        <v>3915</v>
      </c>
    </row>
    <row r="1308" spans="1:30" ht="46" customHeight="1">
      <c r="A1308" s="19" t="s">
        <v>3922</v>
      </c>
      <c r="B1308" s="19" t="s">
        <v>3956</v>
      </c>
      <c r="C1308" s="3" t="s">
        <v>24</v>
      </c>
      <c r="D1308" s="3" t="s">
        <v>25</v>
      </c>
      <c r="E1308" s="3" t="s">
        <v>5005</v>
      </c>
      <c r="F1308" s="4" t="s">
        <v>2662</v>
      </c>
      <c r="G1308" s="3" t="s">
        <v>2276</v>
      </c>
      <c r="H1308" s="3" t="s">
        <v>523</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3" t="s">
        <v>2276</v>
      </c>
      <c r="AB1308" s="3" t="s">
        <v>2276</v>
      </c>
      <c r="AC1308" s="4" t="s">
        <v>4383</v>
      </c>
      <c r="AD1308" s="4" t="s">
        <v>3960</v>
      </c>
    </row>
    <row r="1309" spans="1:30" ht="46" customHeight="1">
      <c r="A1309" s="19" t="s">
        <v>3923</v>
      </c>
      <c r="B1309" s="19" t="s">
        <v>3957</v>
      </c>
      <c r="C1309" s="3" t="s">
        <v>24</v>
      </c>
      <c r="D1309" s="3" t="s">
        <v>25</v>
      </c>
      <c r="E1309" s="3" t="s">
        <v>5005</v>
      </c>
      <c r="F1309" s="4" t="s">
        <v>2662</v>
      </c>
      <c r="G1309" s="3" t="s">
        <v>2276</v>
      </c>
      <c r="H1309" s="3" t="s">
        <v>523</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3" t="s">
        <v>2276</v>
      </c>
      <c r="AB1309" s="3" t="s">
        <v>2276</v>
      </c>
      <c r="AC1309" s="4" t="s">
        <v>4383</v>
      </c>
      <c r="AD1309" s="4" t="s">
        <v>3960</v>
      </c>
    </row>
    <row r="1310" spans="1:30" ht="46" customHeight="1">
      <c r="A1310" s="19" t="s">
        <v>3925</v>
      </c>
      <c r="B1310" s="19" t="s">
        <v>3958</v>
      </c>
      <c r="C1310" s="3" t="s">
        <v>24</v>
      </c>
      <c r="D1310" s="3" t="s">
        <v>25</v>
      </c>
      <c r="E1310" s="3" t="s">
        <v>5005</v>
      </c>
      <c r="F1310" s="4" t="s">
        <v>2662</v>
      </c>
      <c r="G1310" s="3" t="s">
        <v>2276</v>
      </c>
      <c r="H1310" s="3" t="s">
        <v>523</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3" t="s">
        <v>2276</v>
      </c>
      <c r="AB1310" s="3" t="s">
        <v>2276</v>
      </c>
      <c r="AC1310" s="4" t="s">
        <v>4383</v>
      </c>
      <c r="AD1310" s="4" t="s">
        <v>3960</v>
      </c>
    </row>
    <row r="1311" spans="1:30" ht="46" customHeight="1">
      <c r="A1311" s="19" t="s">
        <v>3926</v>
      </c>
      <c r="B1311" s="19" t="s">
        <v>3959</v>
      </c>
      <c r="C1311" s="3" t="s">
        <v>24</v>
      </c>
      <c r="D1311" s="3" t="s">
        <v>25</v>
      </c>
      <c r="E1311" s="3" t="s">
        <v>5005</v>
      </c>
      <c r="F1311" s="4" t="s">
        <v>2662</v>
      </c>
      <c r="G1311" s="3" t="s">
        <v>2276</v>
      </c>
      <c r="H1311" s="3" t="s">
        <v>523</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3" t="s">
        <v>2276</v>
      </c>
      <c r="AB1311" s="3" t="s">
        <v>2276</v>
      </c>
      <c r="AC1311" s="4" t="s">
        <v>4383</v>
      </c>
      <c r="AD1311" s="4" t="s">
        <v>3960</v>
      </c>
    </row>
    <row r="1312" spans="1:30" ht="46" customHeight="1">
      <c r="A1312" s="11" t="s">
        <v>3930</v>
      </c>
      <c r="B1312" s="11" t="s">
        <v>3947</v>
      </c>
      <c r="C1312" s="3" t="s">
        <v>24</v>
      </c>
      <c r="D1312" s="3" t="s">
        <v>25</v>
      </c>
      <c r="E1312" s="3" t="s">
        <v>5005</v>
      </c>
      <c r="F1312" s="4" t="s">
        <v>2662</v>
      </c>
      <c r="G1312" s="3" t="s">
        <v>2276</v>
      </c>
      <c r="H1312" s="3" t="s">
        <v>523</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3" t="s">
        <v>2276</v>
      </c>
      <c r="AB1312" s="3" t="s">
        <v>2276</v>
      </c>
      <c r="AC1312" s="4" t="s">
        <v>4384</v>
      </c>
      <c r="AD1312" s="4" t="s">
        <v>3960</v>
      </c>
    </row>
    <row r="1313" spans="1:30" ht="46" customHeight="1">
      <c r="A1313" s="11" t="s">
        <v>3931</v>
      </c>
      <c r="B1313" s="11" t="s">
        <v>3948</v>
      </c>
      <c r="C1313" s="3" t="s">
        <v>24</v>
      </c>
      <c r="D1313" s="3" t="s">
        <v>25</v>
      </c>
      <c r="E1313" s="3" t="s">
        <v>5005</v>
      </c>
      <c r="F1313" s="4" t="s">
        <v>2662</v>
      </c>
      <c r="G1313" s="3" t="s">
        <v>2276</v>
      </c>
      <c r="H1313" s="3" t="s">
        <v>523</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3" t="s">
        <v>2276</v>
      </c>
      <c r="AB1313" s="3" t="s">
        <v>2276</v>
      </c>
      <c r="AC1313" s="4" t="s">
        <v>4384</v>
      </c>
      <c r="AD1313" s="4" t="s">
        <v>3960</v>
      </c>
    </row>
    <row r="1314" spans="1:30" ht="46" customHeight="1">
      <c r="A1314" s="11" t="s">
        <v>3932</v>
      </c>
      <c r="B1314" s="11" t="s">
        <v>3949</v>
      </c>
      <c r="C1314" s="3" t="s">
        <v>24</v>
      </c>
      <c r="D1314" s="3" t="s">
        <v>25</v>
      </c>
      <c r="E1314" s="3" t="s">
        <v>5005</v>
      </c>
      <c r="F1314" s="4" t="s">
        <v>2662</v>
      </c>
      <c r="G1314" s="3" t="s">
        <v>2276</v>
      </c>
      <c r="H1314" s="3" t="s">
        <v>523</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3" t="s">
        <v>2276</v>
      </c>
      <c r="AB1314" s="3"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3" t="s">
        <v>2276</v>
      </c>
      <c r="AB1315" s="3" t="s">
        <v>2276</v>
      </c>
      <c r="AC1315" s="4" t="s">
        <v>4383</v>
      </c>
      <c r="AD1315" s="4" t="s">
        <v>3960</v>
      </c>
    </row>
    <row r="1316" spans="1:30" ht="46" customHeight="1">
      <c r="A1316" s="19" t="s">
        <v>3923</v>
      </c>
      <c r="B1316" s="19" t="s">
        <v>3962</v>
      </c>
      <c r="C1316" s="3" t="s">
        <v>2458</v>
      </c>
      <c r="D1316" s="3" t="s">
        <v>25</v>
      </c>
      <c r="E1316" s="3" t="s">
        <v>5005</v>
      </c>
      <c r="F1316" s="4" t="s">
        <v>2662</v>
      </c>
      <c r="G1316" s="3" t="s">
        <v>2276</v>
      </c>
      <c r="H1316" s="3" t="s">
        <v>523</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3" t="s">
        <v>2276</v>
      </c>
      <c r="AB1316" s="3" t="s">
        <v>2276</v>
      </c>
      <c r="AC1316" s="4" t="s">
        <v>4383</v>
      </c>
      <c r="AD1316" s="4" t="s">
        <v>3960</v>
      </c>
    </row>
    <row r="1317" spans="1:30" ht="46" customHeight="1">
      <c r="A1317" s="19" t="s">
        <v>3925</v>
      </c>
      <c r="B1317" s="19" t="s">
        <v>3963</v>
      </c>
      <c r="C1317" s="3" t="s">
        <v>2458</v>
      </c>
      <c r="D1317" s="3" t="s">
        <v>25</v>
      </c>
      <c r="E1317" s="3" t="s">
        <v>5005</v>
      </c>
      <c r="F1317" s="4" t="s">
        <v>2662</v>
      </c>
      <c r="G1317" s="3" t="s">
        <v>2276</v>
      </c>
      <c r="H1317" s="3" t="s">
        <v>523</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3" t="s">
        <v>2276</v>
      </c>
      <c r="AB1317" s="3" t="s">
        <v>2276</v>
      </c>
      <c r="AC1317" s="4" t="s">
        <v>4383</v>
      </c>
      <c r="AD1317" s="4" t="s">
        <v>3960</v>
      </c>
    </row>
    <row r="1318" spans="1:30" ht="46" customHeight="1">
      <c r="A1318" s="19" t="s">
        <v>3926</v>
      </c>
      <c r="B1318" s="19" t="s">
        <v>3964</v>
      </c>
      <c r="C1318" s="3" t="s">
        <v>2458</v>
      </c>
      <c r="D1318" s="3" t="s">
        <v>25</v>
      </c>
      <c r="E1318" s="3" t="s">
        <v>5005</v>
      </c>
      <c r="F1318" s="4" t="s">
        <v>2662</v>
      </c>
      <c r="G1318" s="3" t="s">
        <v>2276</v>
      </c>
      <c r="H1318" s="3" t="s">
        <v>523</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3" t="s">
        <v>2276</v>
      </c>
      <c r="AB1318" s="3" t="s">
        <v>2276</v>
      </c>
      <c r="AC1318" s="4" t="s">
        <v>4386</v>
      </c>
      <c r="AD1318" s="4" t="s">
        <v>3960</v>
      </c>
    </row>
    <row r="1319" spans="1:30" ht="46" customHeight="1">
      <c r="A1319" s="11" t="s">
        <v>3930</v>
      </c>
      <c r="B1319" s="11" t="s">
        <v>3950</v>
      </c>
      <c r="C1319" s="3" t="s">
        <v>2458</v>
      </c>
      <c r="D1319" s="3" t="s">
        <v>25</v>
      </c>
      <c r="E1319" s="3" t="s">
        <v>5005</v>
      </c>
      <c r="F1319" s="4" t="s">
        <v>2662</v>
      </c>
      <c r="G1319" s="3" t="s">
        <v>2276</v>
      </c>
      <c r="H1319" s="3" t="s">
        <v>523</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3" t="s">
        <v>2276</v>
      </c>
      <c r="AB1319" s="3" t="s">
        <v>2276</v>
      </c>
      <c r="AC1319" s="4" t="s">
        <v>4384</v>
      </c>
      <c r="AD1319" s="4" t="s">
        <v>3960</v>
      </c>
    </row>
    <row r="1320" spans="1:30" ht="46" customHeight="1">
      <c r="A1320" s="11" t="s">
        <v>3931</v>
      </c>
      <c r="B1320" s="11" t="s">
        <v>3951</v>
      </c>
      <c r="C1320" s="3" t="s">
        <v>2458</v>
      </c>
      <c r="D1320" s="3" t="s">
        <v>25</v>
      </c>
      <c r="E1320" s="3" t="s">
        <v>5005</v>
      </c>
      <c r="F1320" s="4" t="s">
        <v>2662</v>
      </c>
      <c r="G1320" s="3" t="s">
        <v>2276</v>
      </c>
      <c r="H1320" s="3" t="s">
        <v>523</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3" t="s">
        <v>2276</v>
      </c>
      <c r="AB1320" s="3"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3" t="s">
        <v>2276</v>
      </c>
      <c r="AB1321" s="3"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2276</v>
      </c>
      <c r="AB1322" s="3" t="s">
        <v>2276</v>
      </c>
      <c r="AC1322" s="3" t="s">
        <v>3979</v>
      </c>
      <c r="AD1322" s="3"/>
    </row>
    <row r="1323" spans="1:30" ht="37" customHeight="1">
      <c r="A1323" s="11" t="s">
        <v>3967</v>
      </c>
      <c r="B1323" s="11" t="s">
        <v>3977</v>
      </c>
      <c r="C1323" s="3" t="s">
        <v>24</v>
      </c>
      <c r="D1323" s="3" t="s">
        <v>26</v>
      </c>
      <c r="E1323" s="3" t="s">
        <v>45</v>
      </c>
      <c r="F1323" s="4" t="s">
        <v>2662</v>
      </c>
      <c r="G1323" s="3" t="s">
        <v>2276</v>
      </c>
      <c r="H1323" s="3" t="s">
        <v>523</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2276</v>
      </c>
      <c r="AB1323" s="3" t="s">
        <v>2276</v>
      </c>
      <c r="AC1323" s="3" t="s">
        <v>3979</v>
      </c>
      <c r="AD1323" s="3"/>
    </row>
    <row r="1324" spans="1:30" ht="32" customHeight="1">
      <c r="A1324" s="11" t="s">
        <v>3967</v>
      </c>
      <c r="B1324" s="11" t="s">
        <v>3981</v>
      </c>
      <c r="C1324" s="3" t="s">
        <v>24</v>
      </c>
      <c r="D1324" s="3" t="s">
        <v>26</v>
      </c>
      <c r="E1324" s="3" t="s">
        <v>5005</v>
      </c>
      <c r="F1324" s="4" t="s">
        <v>74</v>
      </c>
      <c r="G1324" s="3" t="s">
        <v>2276</v>
      </c>
      <c r="H1324" s="3" t="s">
        <v>523</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2276</v>
      </c>
      <c r="AB1324" s="3" t="s">
        <v>2276</v>
      </c>
      <c r="AC1324" s="3" t="s">
        <v>3979</v>
      </c>
      <c r="AD1324" s="3"/>
    </row>
    <row r="1325" spans="1:30" ht="31" customHeight="1">
      <c r="A1325" s="11" t="s">
        <v>3967</v>
      </c>
      <c r="B1325" s="11" t="s">
        <v>3982</v>
      </c>
      <c r="C1325" s="3" t="s">
        <v>24</v>
      </c>
      <c r="D1325" s="3" t="s">
        <v>26</v>
      </c>
      <c r="E1325" s="3" t="s">
        <v>45</v>
      </c>
      <c r="F1325" s="4" t="s">
        <v>74</v>
      </c>
      <c r="G1325" s="3" t="s">
        <v>2276</v>
      </c>
      <c r="H1325" s="3" t="s">
        <v>523</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2276</v>
      </c>
      <c r="AB1325" s="3" t="s">
        <v>2276</v>
      </c>
      <c r="AC1325" s="3" t="s">
        <v>3979</v>
      </c>
      <c r="AD1325" s="3"/>
    </row>
    <row r="1326" spans="1:30" ht="37" customHeight="1">
      <c r="A1326" s="11" t="s">
        <v>3972</v>
      </c>
      <c r="B1326" s="11" t="s">
        <v>3976</v>
      </c>
      <c r="C1326" s="3" t="s">
        <v>24</v>
      </c>
      <c r="D1326" s="3" t="s">
        <v>26</v>
      </c>
      <c r="E1326" s="3" t="s">
        <v>5005</v>
      </c>
      <c r="F1326" s="4" t="s">
        <v>2662</v>
      </c>
      <c r="G1326" s="3"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3" t="s">
        <v>2276</v>
      </c>
      <c r="Z1326" s="3" t="s">
        <v>2276</v>
      </c>
      <c r="AA1326" s="3" t="s">
        <v>2276</v>
      </c>
      <c r="AB1326" s="3" t="s">
        <v>2276</v>
      </c>
      <c r="AC1326" s="4" t="s">
        <v>3980</v>
      </c>
      <c r="AD1326" s="3"/>
    </row>
    <row r="1327" spans="1:30" ht="37" customHeight="1">
      <c r="A1327" s="11" t="s">
        <v>3972</v>
      </c>
      <c r="B1327" s="11" t="s">
        <v>3978</v>
      </c>
      <c r="C1327" s="3" t="s">
        <v>24</v>
      </c>
      <c r="D1327" s="3" t="s">
        <v>26</v>
      </c>
      <c r="E1327" s="3" t="s">
        <v>45</v>
      </c>
      <c r="F1327" s="4" t="s">
        <v>2662</v>
      </c>
      <c r="G1327" s="3"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3" t="s">
        <v>2276</v>
      </c>
      <c r="Z1327" s="3" t="s">
        <v>2276</v>
      </c>
      <c r="AA1327" s="3" t="s">
        <v>2276</v>
      </c>
      <c r="AB1327" s="3" t="s">
        <v>2276</v>
      </c>
      <c r="AC1327" s="4" t="s">
        <v>3980</v>
      </c>
      <c r="AD1327" s="3"/>
    </row>
    <row r="1328" spans="1:30" ht="37" customHeight="1">
      <c r="A1328" s="11" t="s">
        <v>3972</v>
      </c>
      <c r="B1328" s="11" t="s">
        <v>3983</v>
      </c>
      <c r="C1328" s="3" t="s">
        <v>24</v>
      </c>
      <c r="D1328" s="3" t="s">
        <v>26</v>
      </c>
      <c r="E1328" s="3" t="s">
        <v>5005</v>
      </c>
      <c r="F1328" s="4" t="s">
        <v>74</v>
      </c>
      <c r="G1328" s="3"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3" t="s">
        <v>2276</v>
      </c>
      <c r="Z1328" s="3" t="s">
        <v>2276</v>
      </c>
      <c r="AA1328" s="3" t="s">
        <v>2276</v>
      </c>
      <c r="AB1328" s="3" t="s">
        <v>2276</v>
      </c>
      <c r="AC1328" s="4" t="s">
        <v>3980</v>
      </c>
      <c r="AD1328" s="3"/>
    </row>
    <row r="1329" spans="1:30" ht="37" customHeight="1">
      <c r="A1329" s="11" t="s">
        <v>3972</v>
      </c>
      <c r="B1329" s="11" t="s">
        <v>3984</v>
      </c>
      <c r="C1329" s="3" t="s">
        <v>24</v>
      </c>
      <c r="D1329" s="3" t="s">
        <v>26</v>
      </c>
      <c r="E1329" s="3" t="s">
        <v>45</v>
      </c>
      <c r="F1329" s="4" t="s">
        <v>74</v>
      </c>
      <c r="G1329" s="3"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3" t="s">
        <v>2276</v>
      </c>
      <c r="Z1329" s="3" t="s">
        <v>2276</v>
      </c>
      <c r="AA1329" s="3" t="s">
        <v>2276</v>
      </c>
      <c r="AB1329" s="3" t="s">
        <v>2276</v>
      </c>
      <c r="AC1329" s="4" t="s">
        <v>3980</v>
      </c>
      <c r="AD1329" s="3"/>
    </row>
    <row r="1330" spans="1:30" ht="35.5" customHeight="1">
      <c r="A1330" s="11" t="s">
        <v>3972</v>
      </c>
      <c r="B1330" s="11" t="s">
        <v>3985</v>
      </c>
      <c r="C1330" s="3" t="s">
        <v>24</v>
      </c>
      <c r="D1330" s="3" t="s">
        <v>3476</v>
      </c>
      <c r="E1330" s="3" t="s">
        <v>116</v>
      </c>
      <c r="F1330" s="4" t="s">
        <v>2662</v>
      </c>
      <c r="G1330" s="3" t="s">
        <v>2276</v>
      </c>
      <c r="H1330" s="3" t="s">
        <v>523</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t="s">
        <v>2276</v>
      </c>
      <c r="AB1330" s="3" t="s">
        <v>2276</v>
      </c>
      <c r="AC1330" s="3"/>
      <c r="AD1330" s="3"/>
    </row>
    <row r="1331" spans="1:30" ht="47.5" customHeight="1">
      <c r="A1331" s="11" t="s">
        <v>3989</v>
      </c>
      <c r="B1331" s="11" t="s">
        <v>3997</v>
      </c>
      <c r="C1331" s="3" t="s">
        <v>24</v>
      </c>
      <c r="D1331" s="3" t="s">
        <v>25</v>
      </c>
      <c r="E1331" s="3" t="s">
        <v>5005</v>
      </c>
      <c r="F1331" s="4" t="s">
        <v>29</v>
      </c>
      <c r="G1331" s="3" t="s">
        <v>2276</v>
      </c>
      <c r="H1331" s="3" t="s">
        <v>523</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3" t="s">
        <v>2276</v>
      </c>
      <c r="AB1331" s="3" t="s">
        <v>2276</v>
      </c>
      <c r="AC1331" s="3" t="s">
        <v>4010</v>
      </c>
      <c r="AD1331" s="3"/>
    </row>
    <row r="1332" spans="1:30" ht="46" customHeight="1">
      <c r="A1332" s="11" t="s">
        <v>3989</v>
      </c>
      <c r="B1332" s="11" t="s">
        <v>4001</v>
      </c>
      <c r="C1332" s="3" t="s">
        <v>24</v>
      </c>
      <c r="D1332" s="3" t="s">
        <v>2804</v>
      </c>
      <c r="E1332" s="3" t="s">
        <v>5005</v>
      </c>
      <c r="F1332" s="4" t="s">
        <v>2662</v>
      </c>
      <c r="G1332" s="3" t="s">
        <v>2276</v>
      </c>
      <c r="H1332" s="3" t="s">
        <v>523</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3" t="s">
        <v>2276</v>
      </c>
      <c r="AB1332" s="3" t="s">
        <v>2276</v>
      </c>
      <c r="AC1332" s="3" t="s">
        <v>4011</v>
      </c>
      <c r="AD1332" s="3"/>
    </row>
    <row r="1333" spans="1:30" ht="53.5" customHeight="1">
      <c r="A1333" s="11" t="s">
        <v>3990</v>
      </c>
      <c r="B1333" s="11" t="s">
        <v>4004</v>
      </c>
      <c r="C1333" s="3" t="s">
        <v>24</v>
      </c>
      <c r="D1333" s="3" t="s">
        <v>25</v>
      </c>
      <c r="E1333" s="4" t="s">
        <v>3854</v>
      </c>
      <c r="F1333" s="4" t="s">
        <v>29</v>
      </c>
      <c r="G1333" s="3" t="s">
        <v>2276</v>
      </c>
      <c r="H1333" s="3" t="s">
        <v>523</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3" t="s">
        <v>2276</v>
      </c>
      <c r="AB1333" s="3" t="s">
        <v>2276</v>
      </c>
      <c r="AC1333" s="3" t="s">
        <v>4010</v>
      </c>
      <c r="AD1333" s="3"/>
    </row>
    <row r="1334" spans="1:30" ht="55.5" customHeight="1">
      <c r="A1334" s="11" t="s">
        <v>3990</v>
      </c>
      <c r="B1334" s="11" t="s">
        <v>4005</v>
      </c>
      <c r="C1334" s="3" t="s">
        <v>24</v>
      </c>
      <c r="D1334" s="3" t="s">
        <v>2804</v>
      </c>
      <c r="E1334" s="4" t="s">
        <v>3854</v>
      </c>
      <c r="F1334" s="4" t="s">
        <v>2662</v>
      </c>
      <c r="G1334" s="3" t="s">
        <v>2276</v>
      </c>
      <c r="H1334" s="3" t="s">
        <v>523</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3" t="s">
        <v>2276</v>
      </c>
      <c r="AB1334" s="3" t="s">
        <v>2276</v>
      </c>
      <c r="AC1334" s="3" t="s">
        <v>4011</v>
      </c>
      <c r="AD1334" s="3"/>
    </row>
    <row r="1335" spans="1:30" ht="49.5" customHeight="1">
      <c r="A1335" s="11" t="s">
        <v>3990</v>
      </c>
      <c r="B1335" s="11" t="s">
        <v>3998</v>
      </c>
      <c r="C1335" s="3" t="s">
        <v>24</v>
      </c>
      <c r="D1335" s="3" t="s">
        <v>25</v>
      </c>
      <c r="E1335" s="3" t="s">
        <v>5005</v>
      </c>
      <c r="F1335" s="4" t="s">
        <v>29</v>
      </c>
      <c r="G1335" s="3" t="s">
        <v>2276</v>
      </c>
      <c r="H1335" s="3" t="s">
        <v>523</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3" t="s">
        <v>2276</v>
      </c>
      <c r="AB1335" s="3" t="s">
        <v>2276</v>
      </c>
      <c r="AC1335" s="3" t="s">
        <v>4012</v>
      </c>
      <c r="AD1335" s="3"/>
    </row>
    <row r="1336" spans="1:30" ht="53" customHeight="1">
      <c r="A1336" s="11" t="s">
        <v>3990</v>
      </c>
      <c r="B1336" s="11" t="s">
        <v>4002</v>
      </c>
      <c r="C1336" s="3" t="s">
        <v>24</v>
      </c>
      <c r="D1336" s="3" t="s">
        <v>2804</v>
      </c>
      <c r="E1336" s="3" t="s">
        <v>5005</v>
      </c>
      <c r="F1336" s="4" t="s">
        <v>2662</v>
      </c>
      <c r="G1336" s="3" t="s">
        <v>2276</v>
      </c>
      <c r="H1336" s="3" t="s">
        <v>523</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3" t="s">
        <v>2276</v>
      </c>
      <c r="AB1336" s="3" t="s">
        <v>2276</v>
      </c>
      <c r="AC1336" s="3" t="s">
        <v>4014</v>
      </c>
      <c r="AD1336" s="3"/>
    </row>
    <row r="1337" spans="1:30" ht="50.5" customHeight="1">
      <c r="A1337" s="11" t="s">
        <v>3990</v>
      </c>
      <c r="B1337" s="11" t="s">
        <v>4006</v>
      </c>
      <c r="C1337" s="3" t="s">
        <v>24</v>
      </c>
      <c r="D1337" s="3" t="s">
        <v>25</v>
      </c>
      <c r="E1337" s="4" t="s">
        <v>3854</v>
      </c>
      <c r="F1337" s="4" t="s">
        <v>29</v>
      </c>
      <c r="G1337" s="3" t="s">
        <v>2276</v>
      </c>
      <c r="H1337" s="3" t="s">
        <v>523</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3" t="s">
        <v>2276</v>
      </c>
      <c r="AB1337" s="3" t="s">
        <v>2276</v>
      </c>
      <c r="AC1337" s="3" t="s">
        <v>4012</v>
      </c>
      <c r="AD1337" s="3"/>
    </row>
    <row r="1338" spans="1:30" ht="47" customHeight="1">
      <c r="A1338" s="11" t="s">
        <v>3990</v>
      </c>
      <c r="B1338" s="11" t="s">
        <v>4007</v>
      </c>
      <c r="C1338" s="3" t="s">
        <v>24</v>
      </c>
      <c r="D1338" s="3" t="s">
        <v>2804</v>
      </c>
      <c r="E1338" s="4" t="s">
        <v>3854</v>
      </c>
      <c r="F1338" s="4" t="s">
        <v>2662</v>
      </c>
      <c r="G1338" s="3" t="s">
        <v>2276</v>
      </c>
      <c r="H1338" s="3" t="s">
        <v>523</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3" t="s">
        <v>2276</v>
      </c>
      <c r="AB1338" s="3" t="s">
        <v>2276</v>
      </c>
      <c r="AC1338" s="3" t="s">
        <v>4014</v>
      </c>
      <c r="AD1338" s="3"/>
    </row>
    <row r="1339" spans="1:30" ht="50" customHeight="1">
      <c r="A1339" s="11" t="s">
        <v>3995</v>
      </c>
      <c r="B1339" s="11" t="s">
        <v>3999</v>
      </c>
      <c r="C1339" s="3" t="s">
        <v>24</v>
      </c>
      <c r="D1339" s="3" t="s">
        <v>25</v>
      </c>
      <c r="E1339" s="3" t="s">
        <v>5005</v>
      </c>
      <c r="F1339" s="4" t="s">
        <v>29</v>
      </c>
      <c r="G1339" s="3" t="s">
        <v>2276</v>
      </c>
      <c r="H1339" s="3" t="s">
        <v>523</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3" t="s">
        <v>2276</v>
      </c>
      <c r="AB1339" s="3" t="s">
        <v>2276</v>
      </c>
      <c r="AC1339" s="3" t="s">
        <v>4013</v>
      </c>
      <c r="AD1339" s="3"/>
    </row>
    <row r="1340" spans="1:30" ht="51.5" customHeight="1">
      <c r="A1340" s="11" t="s">
        <v>3995</v>
      </c>
      <c r="B1340" s="11" t="s">
        <v>4003</v>
      </c>
      <c r="C1340" s="3" t="s">
        <v>24</v>
      </c>
      <c r="D1340" s="3" t="s">
        <v>2804</v>
      </c>
      <c r="E1340" s="3" t="s">
        <v>5005</v>
      </c>
      <c r="F1340" s="4" t="s">
        <v>2662</v>
      </c>
      <c r="G1340" s="3" t="s">
        <v>2276</v>
      </c>
      <c r="H1340" s="3" t="s">
        <v>523</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3" t="s">
        <v>2276</v>
      </c>
      <c r="AB1340" s="3" t="s">
        <v>2276</v>
      </c>
      <c r="AC1340" s="3" t="s">
        <v>4014</v>
      </c>
      <c r="AD1340" s="3"/>
    </row>
    <row r="1341" spans="1:30" ht="52.5" customHeight="1">
      <c r="A1341" s="11" t="s">
        <v>3995</v>
      </c>
      <c r="B1341" s="11" t="s">
        <v>4008</v>
      </c>
      <c r="C1341" s="3" t="s">
        <v>24</v>
      </c>
      <c r="D1341" s="3" t="s">
        <v>25</v>
      </c>
      <c r="E1341" s="4" t="s">
        <v>3854</v>
      </c>
      <c r="F1341" s="4" t="s">
        <v>29</v>
      </c>
      <c r="G1341" s="3" t="s">
        <v>2276</v>
      </c>
      <c r="H1341" s="3" t="s">
        <v>523</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3" t="s">
        <v>2276</v>
      </c>
      <c r="AB1341" s="3" t="s">
        <v>2276</v>
      </c>
      <c r="AC1341" s="3" t="s">
        <v>4013</v>
      </c>
      <c r="AD1341" s="3"/>
    </row>
    <row r="1342" spans="1:30" ht="47.5" customHeight="1">
      <c r="A1342" s="11" t="s">
        <v>3995</v>
      </c>
      <c r="B1342" s="11" t="s">
        <v>4009</v>
      </c>
      <c r="C1342" s="3" t="s">
        <v>24</v>
      </c>
      <c r="D1342" s="3" t="s">
        <v>2804</v>
      </c>
      <c r="E1342" s="4" t="s">
        <v>3854</v>
      </c>
      <c r="F1342" s="4" t="s">
        <v>2662</v>
      </c>
      <c r="G1342" s="3" t="s">
        <v>2276</v>
      </c>
      <c r="H1342" s="3" t="s">
        <v>523</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3" t="s">
        <v>2276</v>
      </c>
      <c r="AB1342" s="3" t="s">
        <v>2276</v>
      </c>
      <c r="AC1342" s="3" t="s">
        <v>4014</v>
      </c>
      <c r="AD1342" s="3"/>
    </row>
    <row r="1343" spans="1:30" ht="30" customHeight="1">
      <c r="A1343" s="11" t="s">
        <v>4015</v>
      </c>
      <c r="B1343" s="11" t="s">
        <v>4020</v>
      </c>
      <c r="C1343" s="3" t="s">
        <v>24</v>
      </c>
      <c r="D1343" s="3" t="s">
        <v>2804</v>
      </c>
      <c r="E1343" s="3" t="s">
        <v>5005</v>
      </c>
      <c r="F1343" s="4" t="s">
        <v>2662</v>
      </c>
      <c r="G1343" s="3" t="s">
        <v>2276</v>
      </c>
      <c r="H1343" s="3" t="s">
        <v>523</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2276</v>
      </c>
      <c r="Y1343" s="3" t="s">
        <v>2276</v>
      </c>
      <c r="Z1343" s="3" t="s">
        <v>35</v>
      </c>
      <c r="AA1343" s="3" t="s">
        <v>38</v>
      </c>
      <c r="AB1343" s="3" t="s">
        <v>2276</v>
      </c>
      <c r="AC1343" s="3"/>
      <c r="AD1343" s="3"/>
    </row>
    <row r="1344" spans="1:30" ht="33.5" customHeight="1">
      <c r="A1344" s="11" t="s">
        <v>4015</v>
      </c>
      <c r="B1344" s="11" t="s">
        <v>4021</v>
      </c>
      <c r="C1344" s="3" t="s">
        <v>24</v>
      </c>
      <c r="D1344" s="3" t="s">
        <v>25</v>
      </c>
      <c r="E1344" s="3" t="s">
        <v>5005</v>
      </c>
      <c r="F1344" s="4" t="s">
        <v>29</v>
      </c>
      <c r="G1344" s="3" t="s">
        <v>2276</v>
      </c>
      <c r="H1344" s="3" t="s">
        <v>523</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2276</v>
      </c>
      <c r="Y1344" s="3" t="s">
        <v>2276</v>
      </c>
      <c r="Z1344" s="3" t="s">
        <v>35</v>
      </c>
      <c r="AA1344" s="3" t="s">
        <v>38</v>
      </c>
      <c r="AB1344" s="3" t="s">
        <v>2276</v>
      </c>
      <c r="AC1344" s="3"/>
      <c r="AD1344" s="3"/>
    </row>
    <row r="1345" spans="1:30" ht="30" customHeight="1">
      <c r="A1345" s="11" t="s">
        <v>4015</v>
      </c>
      <c r="B1345" s="11" t="s">
        <v>4022</v>
      </c>
      <c r="C1345" s="3" t="s">
        <v>2458</v>
      </c>
      <c r="D1345" s="3" t="s">
        <v>2276</v>
      </c>
      <c r="E1345" s="3" t="s">
        <v>5005</v>
      </c>
      <c r="F1345" s="4" t="s">
        <v>2276</v>
      </c>
      <c r="G1345" s="3" t="s">
        <v>74</v>
      </c>
      <c r="H1345" s="3" t="s">
        <v>523</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2276</v>
      </c>
      <c r="Y1345" s="3" t="s">
        <v>2276</v>
      </c>
      <c r="Z1345" s="3" t="s">
        <v>35</v>
      </c>
      <c r="AA1345" s="3" t="s">
        <v>38</v>
      </c>
      <c r="AB1345" s="3" t="s">
        <v>2276</v>
      </c>
      <c r="AC1345" s="3"/>
      <c r="AD1345" s="3"/>
    </row>
    <row r="1346" spans="1:30" ht="44.5" customHeight="1">
      <c r="A1346" s="11" t="s">
        <v>4015</v>
      </c>
      <c r="B1346" s="11" t="s">
        <v>4023</v>
      </c>
      <c r="C1346" s="3" t="s">
        <v>24</v>
      </c>
      <c r="D1346" s="3" t="s">
        <v>2804</v>
      </c>
      <c r="E1346" s="3" t="s">
        <v>45</v>
      </c>
      <c r="F1346" s="4" t="s">
        <v>2662</v>
      </c>
      <c r="G1346" s="3" t="s">
        <v>2276</v>
      </c>
      <c r="H1346" s="3" t="s">
        <v>523</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t="s">
        <v>2276</v>
      </c>
      <c r="AB1346" s="3" t="s">
        <v>2276</v>
      </c>
      <c r="AC1346" s="3"/>
      <c r="AD1346" s="3"/>
    </row>
    <row r="1347" spans="1:30" ht="36.5" customHeight="1">
      <c r="A1347" s="11" t="s">
        <v>4015</v>
      </c>
      <c r="B1347" s="11" t="s">
        <v>4024</v>
      </c>
      <c r="C1347" s="3" t="s">
        <v>24</v>
      </c>
      <c r="D1347" s="3" t="s">
        <v>25</v>
      </c>
      <c r="E1347" s="3" t="s">
        <v>45</v>
      </c>
      <c r="F1347" s="4" t="s">
        <v>29</v>
      </c>
      <c r="G1347" s="3" t="s">
        <v>2276</v>
      </c>
      <c r="H1347" s="3" t="s">
        <v>523</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t="s">
        <v>2276</v>
      </c>
      <c r="AB1347" s="3" t="s">
        <v>2276</v>
      </c>
      <c r="AC1347" s="3"/>
      <c r="AD1347" s="3"/>
    </row>
    <row r="1348" spans="1:30" ht="33.5" customHeight="1">
      <c r="A1348" s="11" t="s">
        <v>4015</v>
      </c>
      <c r="B1348" s="11" t="s">
        <v>4025</v>
      </c>
      <c r="C1348" s="3" t="s">
        <v>24</v>
      </c>
      <c r="D1348" s="3" t="s">
        <v>2276</v>
      </c>
      <c r="E1348" s="3" t="s">
        <v>45</v>
      </c>
      <c r="F1348" s="4" t="s">
        <v>74</v>
      </c>
      <c r="G1348" s="3" t="s">
        <v>74</v>
      </c>
      <c r="H1348" s="3" t="s">
        <v>523</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t="s">
        <v>2276</v>
      </c>
      <c r="AB1348" s="3" t="s">
        <v>2276</v>
      </c>
      <c r="AC1348" s="3"/>
      <c r="AD1348" s="3"/>
    </row>
    <row r="1349" spans="1:30" ht="33" customHeight="1">
      <c r="A1349" s="11" t="s">
        <v>4015</v>
      </c>
      <c r="B1349" s="11" t="s">
        <v>4026</v>
      </c>
      <c r="C1349" s="3" t="s">
        <v>24</v>
      </c>
      <c r="D1349" s="3" t="s">
        <v>143</v>
      </c>
      <c r="E1349" s="4" t="s">
        <v>397</v>
      </c>
      <c r="F1349" s="4" t="s">
        <v>74</v>
      </c>
      <c r="G1349" s="3" t="s">
        <v>74</v>
      </c>
      <c r="H1349" s="3" t="s">
        <v>523</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t="s">
        <v>2276</v>
      </c>
      <c r="AB1349" s="3" t="s">
        <v>2276</v>
      </c>
      <c r="AC1349" s="3"/>
      <c r="AD1349" s="3"/>
    </row>
    <row r="1350" spans="1:30" ht="56.5" customHeight="1">
      <c r="A1350" s="11" t="s">
        <v>4028</v>
      </c>
      <c r="B1350" s="11" t="s">
        <v>4039</v>
      </c>
      <c r="C1350" s="3" t="s">
        <v>24</v>
      </c>
      <c r="D1350" s="3" t="s">
        <v>2804</v>
      </c>
      <c r="E1350" s="3" t="s">
        <v>5005</v>
      </c>
      <c r="F1350" s="4" t="s">
        <v>55</v>
      </c>
      <c r="G1350" s="3" t="s">
        <v>2276</v>
      </c>
      <c r="H1350" s="3"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3" t="s">
        <v>2276</v>
      </c>
      <c r="Z1350" s="3" t="s">
        <v>2276</v>
      </c>
      <c r="AA1350" s="3" t="s">
        <v>2276</v>
      </c>
      <c r="AB1350" s="3" t="s">
        <v>2276</v>
      </c>
      <c r="AC1350" s="4" t="s">
        <v>4047</v>
      </c>
      <c r="AD1350" s="3"/>
    </row>
    <row r="1351" spans="1:30" ht="56.5" customHeight="1">
      <c r="A1351" s="11" t="s">
        <v>4029</v>
      </c>
      <c r="B1351" s="11" t="s">
        <v>4040</v>
      </c>
      <c r="C1351" s="3" t="s">
        <v>24</v>
      </c>
      <c r="D1351" s="3" t="s">
        <v>2804</v>
      </c>
      <c r="E1351" s="3" t="s">
        <v>5005</v>
      </c>
      <c r="F1351" s="4" t="s">
        <v>55</v>
      </c>
      <c r="G1351" s="3" t="s">
        <v>2276</v>
      </c>
      <c r="H1351" s="3"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3" t="s">
        <v>2276</v>
      </c>
      <c r="Z1351" s="3" t="s">
        <v>2276</v>
      </c>
      <c r="AA1351" s="3" t="s">
        <v>2276</v>
      </c>
      <c r="AB1351" s="3" t="s">
        <v>2276</v>
      </c>
      <c r="AC1351" s="4" t="s">
        <v>4047</v>
      </c>
      <c r="AD1351" s="3"/>
    </row>
    <row r="1352" spans="1:30" ht="56.5" customHeight="1">
      <c r="A1352" s="11" t="s">
        <v>4030</v>
      </c>
      <c r="B1352" s="11" t="s">
        <v>4041</v>
      </c>
      <c r="C1352" s="3" t="s">
        <v>24</v>
      </c>
      <c r="D1352" s="3" t="s">
        <v>2804</v>
      </c>
      <c r="E1352" s="3" t="s">
        <v>5005</v>
      </c>
      <c r="F1352" s="4" t="s">
        <v>55</v>
      </c>
      <c r="G1352" s="3" t="s">
        <v>2276</v>
      </c>
      <c r="H1352" s="3"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3" t="s">
        <v>2276</v>
      </c>
      <c r="Z1352" s="3" t="s">
        <v>2276</v>
      </c>
      <c r="AA1352" s="3" t="s">
        <v>2276</v>
      </c>
      <c r="AB1352" s="3" t="s">
        <v>2276</v>
      </c>
      <c r="AC1352" s="4" t="s">
        <v>4047</v>
      </c>
      <c r="AD1352" s="3"/>
    </row>
    <row r="1353" spans="1:30" ht="56.5" customHeight="1">
      <c r="A1353" s="11" t="s">
        <v>4031</v>
      </c>
      <c r="B1353" s="11" t="s">
        <v>4042</v>
      </c>
      <c r="C1353" s="3" t="s">
        <v>24</v>
      </c>
      <c r="D1353" s="3" t="s">
        <v>2804</v>
      </c>
      <c r="E1353" s="3" t="s">
        <v>5005</v>
      </c>
      <c r="F1353" s="4" t="s">
        <v>55</v>
      </c>
      <c r="G1353" s="3" t="s">
        <v>2276</v>
      </c>
      <c r="H1353" s="3"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3" t="s">
        <v>2276</v>
      </c>
      <c r="Z1353" s="3" t="s">
        <v>2276</v>
      </c>
      <c r="AA1353" s="3" t="s">
        <v>2276</v>
      </c>
      <c r="AB1353" s="3" t="s">
        <v>2276</v>
      </c>
      <c r="AC1353" s="4" t="s">
        <v>4047</v>
      </c>
      <c r="AD1353" s="3"/>
    </row>
    <row r="1354" spans="1:30" ht="56.5" customHeight="1">
      <c r="A1354" s="11" t="s">
        <v>4028</v>
      </c>
      <c r="B1354" s="11" t="s">
        <v>4043</v>
      </c>
      <c r="C1354" s="3" t="s">
        <v>24</v>
      </c>
      <c r="D1354" s="3" t="s">
        <v>2804</v>
      </c>
      <c r="E1354" s="3" t="s">
        <v>5005</v>
      </c>
      <c r="F1354" s="4" t="s">
        <v>2662</v>
      </c>
      <c r="G1354" s="3" t="s">
        <v>2276</v>
      </c>
      <c r="H1354" s="3"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3" t="s">
        <v>2276</v>
      </c>
      <c r="Z1354" s="3" t="s">
        <v>2276</v>
      </c>
      <c r="AA1354" s="3" t="s">
        <v>2276</v>
      </c>
      <c r="AB1354" s="3" t="s">
        <v>2276</v>
      </c>
      <c r="AC1354" s="4" t="s">
        <v>4047</v>
      </c>
      <c r="AD1354" s="3"/>
    </row>
    <row r="1355" spans="1:30" ht="56.5" customHeight="1">
      <c r="A1355" s="11" t="s">
        <v>4029</v>
      </c>
      <c r="B1355" s="11" t="s">
        <v>4044</v>
      </c>
      <c r="C1355" s="3" t="s">
        <v>24</v>
      </c>
      <c r="D1355" s="3" t="s">
        <v>2804</v>
      </c>
      <c r="E1355" s="3" t="s">
        <v>5005</v>
      </c>
      <c r="F1355" s="4" t="s">
        <v>2662</v>
      </c>
      <c r="G1355" s="3" t="s">
        <v>2276</v>
      </c>
      <c r="H1355" s="3"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3" t="s">
        <v>2276</v>
      </c>
      <c r="Z1355" s="3" t="s">
        <v>2276</v>
      </c>
      <c r="AA1355" s="3" t="s">
        <v>2276</v>
      </c>
      <c r="AB1355" s="3" t="s">
        <v>2276</v>
      </c>
      <c r="AC1355" s="4" t="s">
        <v>4047</v>
      </c>
      <c r="AD1355" s="3"/>
    </row>
    <row r="1356" spans="1:30" ht="56.5" customHeight="1">
      <c r="A1356" s="11" t="s">
        <v>4030</v>
      </c>
      <c r="B1356" s="11" t="s">
        <v>4045</v>
      </c>
      <c r="C1356" s="3" t="s">
        <v>24</v>
      </c>
      <c r="D1356" s="3" t="s">
        <v>2804</v>
      </c>
      <c r="E1356" s="3" t="s">
        <v>5005</v>
      </c>
      <c r="F1356" s="4" t="s">
        <v>2662</v>
      </c>
      <c r="G1356" s="3" t="s">
        <v>2276</v>
      </c>
      <c r="H1356" s="3"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3" t="s">
        <v>2276</v>
      </c>
      <c r="Z1356" s="3" t="s">
        <v>2276</v>
      </c>
      <c r="AA1356" s="3" t="s">
        <v>2276</v>
      </c>
      <c r="AB1356" s="3" t="s">
        <v>2276</v>
      </c>
      <c r="AC1356" s="4" t="s">
        <v>4047</v>
      </c>
      <c r="AD1356" s="3"/>
    </row>
    <row r="1357" spans="1:30" ht="56.5" customHeight="1">
      <c r="A1357" s="11" t="s">
        <v>4031</v>
      </c>
      <c r="B1357" s="11" t="s">
        <v>4046</v>
      </c>
      <c r="C1357" s="3" t="s">
        <v>24</v>
      </c>
      <c r="D1357" s="3" t="s">
        <v>2804</v>
      </c>
      <c r="E1357" s="3" t="s">
        <v>5005</v>
      </c>
      <c r="F1357" s="4" t="s">
        <v>2662</v>
      </c>
      <c r="G1357" s="3"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3" t="s">
        <v>2276</v>
      </c>
      <c r="Z1357" s="3" t="s">
        <v>2276</v>
      </c>
      <c r="AA1357" s="3" t="s">
        <v>2276</v>
      </c>
      <c r="AB1357" s="3" t="s">
        <v>2276</v>
      </c>
      <c r="AC1357" s="4" t="s">
        <v>4047</v>
      </c>
      <c r="AD1357" s="3"/>
    </row>
    <row r="1358" spans="1:30" ht="29.5" customHeight="1">
      <c r="A1358" s="11" t="s">
        <v>4048</v>
      </c>
      <c r="B1358" s="3" t="s">
        <v>4049</v>
      </c>
      <c r="C1358" s="3" t="s">
        <v>2658</v>
      </c>
      <c r="D1358" s="3" t="s">
        <v>2276</v>
      </c>
      <c r="E1358" s="3" t="s">
        <v>2276</v>
      </c>
      <c r="F1358" s="4" t="s">
        <v>2276</v>
      </c>
      <c r="G1358" s="4" t="s">
        <v>74</v>
      </c>
      <c r="H1358" s="4" t="s">
        <v>523</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3" t="s">
        <v>2276</v>
      </c>
      <c r="AB1358" s="3" t="s">
        <v>2276</v>
      </c>
      <c r="AC1358" s="3" t="s">
        <v>4071</v>
      </c>
      <c r="AD1358" s="3"/>
    </row>
    <row r="1359" spans="1:30" ht="29.5" customHeight="1">
      <c r="A1359" s="11" t="s">
        <v>4063</v>
      </c>
      <c r="B1359" s="3" t="s">
        <v>4066</v>
      </c>
      <c r="C1359" s="3" t="s">
        <v>2658</v>
      </c>
      <c r="D1359" s="3" t="s">
        <v>2276</v>
      </c>
      <c r="E1359" s="3" t="s">
        <v>2276</v>
      </c>
      <c r="F1359" s="4" t="s">
        <v>2276</v>
      </c>
      <c r="G1359" s="4" t="s">
        <v>74</v>
      </c>
      <c r="H1359" s="4" t="s">
        <v>523</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3" t="s">
        <v>2276</v>
      </c>
      <c r="AB1359" s="3" t="s">
        <v>2276</v>
      </c>
      <c r="AC1359" s="3" t="s">
        <v>4071</v>
      </c>
      <c r="AD1359" s="3"/>
    </row>
    <row r="1360" spans="1:30" ht="29.5" customHeight="1">
      <c r="A1360" s="11" t="s">
        <v>4048</v>
      </c>
      <c r="B1360" s="3" t="s">
        <v>4067</v>
      </c>
      <c r="C1360" s="3" t="s">
        <v>2658</v>
      </c>
      <c r="D1360" s="3" t="s">
        <v>2276</v>
      </c>
      <c r="E1360" s="3" t="s">
        <v>2276</v>
      </c>
      <c r="F1360" s="4" t="s">
        <v>2276</v>
      </c>
      <c r="G1360" s="4" t="s">
        <v>28</v>
      </c>
      <c r="H1360" s="4" t="s">
        <v>523</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3" t="s">
        <v>2276</v>
      </c>
      <c r="AB1360" s="3" t="s">
        <v>2276</v>
      </c>
      <c r="AC1360" s="3" t="s">
        <v>4071</v>
      </c>
      <c r="AD1360" s="3"/>
    </row>
    <row r="1361" spans="1:30" ht="29.5" customHeight="1">
      <c r="A1361" s="11" t="s">
        <v>4063</v>
      </c>
      <c r="B1361" s="3" t="s">
        <v>4068</v>
      </c>
      <c r="C1361" s="3" t="s">
        <v>2658</v>
      </c>
      <c r="D1361" s="3" t="s">
        <v>2276</v>
      </c>
      <c r="E1361" s="3" t="s">
        <v>2276</v>
      </c>
      <c r="F1361" s="4" t="s">
        <v>2276</v>
      </c>
      <c r="G1361" s="4" t="s">
        <v>28</v>
      </c>
      <c r="H1361" s="4" t="s">
        <v>523</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3" t="s">
        <v>2276</v>
      </c>
      <c r="AB1361" s="3" t="s">
        <v>2276</v>
      </c>
      <c r="AC1361" s="3" t="s">
        <v>4071</v>
      </c>
      <c r="AD1361" s="3"/>
    </row>
    <row r="1362" spans="1:30" ht="29.5" customHeight="1">
      <c r="A1362" s="11" t="s">
        <v>4048</v>
      </c>
      <c r="B1362" s="3" t="s">
        <v>4069</v>
      </c>
      <c r="C1362" s="3" t="s">
        <v>2658</v>
      </c>
      <c r="D1362" s="3" t="s">
        <v>2276</v>
      </c>
      <c r="E1362" s="3" t="s">
        <v>2276</v>
      </c>
      <c r="F1362" s="4" t="s">
        <v>2276</v>
      </c>
      <c r="G1362" s="4" t="s">
        <v>2662</v>
      </c>
      <c r="H1362" s="4" t="s">
        <v>523</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3" t="s">
        <v>2276</v>
      </c>
      <c r="AB1362" s="3" t="s">
        <v>2276</v>
      </c>
      <c r="AC1362" s="3" t="s">
        <v>4071</v>
      </c>
      <c r="AD1362" s="3"/>
    </row>
    <row r="1363" spans="1:30" ht="29.5" customHeight="1">
      <c r="A1363" s="11" t="s">
        <v>4063</v>
      </c>
      <c r="B1363" s="3" t="s">
        <v>4070</v>
      </c>
      <c r="C1363" s="3" t="s">
        <v>2658</v>
      </c>
      <c r="D1363" s="3" t="s">
        <v>2276</v>
      </c>
      <c r="E1363" s="3" t="s">
        <v>2276</v>
      </c>
      <c r="F1363" s="4" t="s">
        <v>2276</v>
      </c>
      <c r="G1363" s="4" t="s">
        <v>2662</v>
      </c>
      <c r="H1363" s="4" t="s">
        <v>523</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3" t="s">
        <v>2276</v>
      </c>
      <c r="AB1363" s="3"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3" t="s">
        <v>2276</v>
      </c>
      <c r="Z1364" s="3" t="s">
        <v>2276</v>
      </c>
      <c r="AA1364" s="3" t="s">
        <v>2276</v>
      </c>
      <c r="AB1364" s="3"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3" t="s">
        <v>2276</v>
      </c>
      <c r="Z1365" s="3" t="s">
        <v>2276</v>
      </c>
      <c r="AA1365" s="3" t="s">
        <v>2276</v>
      </c>
      <c r="AB1365" s="3"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3" t="s">
        <v>2276</v>
      </c>
      <c r="Z1366" s="3" t="s">
        <v>2276</v>
      </c>
      <c r="AA1366" s="3" t="s">
        <v>2276</v>
      </c>
      <c r="AB1366" s="3"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3" t="s">
        <v>2276</v>
      </c>
      <c r="K1367" s="3" t="s">
        <v>2276</v>
      </c>
      <c r="L1367" s="3" t="s">
        <v>2276</v>
      </c>
      <c r="M1367" s="3" t="s">
        <v>2276</v>
      </c>
      <c r="N1367" s="3" t="s">
        <v>2276</v>
      </c>
      <c r="O1367" s="3" t="s">
        <v>2276</v>
      </c>
      <c r="P1367" s="3" t="s">
        <v>2276</v>
      </c>
      <c r="Q1367" s="3" t="s">
        <v>2276</v>
      </c>
      <c r="R1367" s="3" t="s">
        <v>2276</v>
      </c>
      <c r="S1367" s="3" t="s">
        <v>2276</v>
      </c>
      <c r="T1367" s="3" t="s">
        <v>2276</v>
      </c>
      <c r="U1367" s="3" t="s">
        <v>2276</v>
      </c>
      <c r="V1367" s="3" t="s">
        <v>2276</v>
      </c>
      <c r="W1367" s="3" t="s">
        <v>2276</v>
      </c>
      <c r="X1367" s="3" t="s">
        <v>2276</v>
      </c>
      <c r="Y1367" s="21">
        <v>18</v>
      </c>
      <c r="Z1367" s="3" t="s">
        <v>189</v>
      </c>
      <c r="AA1367" s="3" t="s">
        <v>34</v>
      </c>
      <c r="AB1367" s="3"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2276</v>
      </c>
      <c r="U1368" s="3" t="s">
        <v>2276</v>
      </c>
      <c r="V1368" s="3" t="s">
        <v>2276</v>
      </c>
      <c r="W1368" s="3" t="s">
        <v>2276</v>
      </c>
      <c r="X1368" s="3" t="s">
        <v>2276</v>
      </c>
      <c r="Y1368" s="3" t="s">
        <v>2276</v>
      </c>
      <c r="Z1368" s="3" t="s">
        <v>189</v>
      </c>
      <c r="AA1368" s="3" t="s">
        <v>34</v>
      </c>
      <c r="AB1368" s="3"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2276</v>
      </c>
      <c r="U1369" s="3" t="s">
        <v>2276</v>
      </c>
      <c r="V1369" s="3" t="s">
        <v>2276</v>
      </c>
      <c r="W1369" s="3" t="s">
        <v>2276</v>
      </c>
      <c r="X1369" s="3" t="s">
        <v>2276</v>
      </c>
      <c r="Y1369" s="3" t="s">
        <v>2276</v>
      </c>
      <c r="Z1369" s="3" t="s">
        <v>189</v>
      </c>
      <c r="AA1369" s="3" t="s">
        <v>34</v>
      </c>
      <c r="AB1369" s="3"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2276</v>
      </c>
      <c r="U1370" s="3" t="s">
        <v>2276</v>
      </c>
      <c r="V1370" s="3" t="s">
        <v>2276</v>
      </c>
      <c r="W1370" s="3" t="s">
        <v>2276</v>
      </c>
      <c r="X1370" s="3" t="s">
        <v>2276</v>
      </c>
      <c r="Y1370" s="3" t="s">
        <v>2276</v>
      </c>
      <c r="Z1370" s="3" t="s">
        <v>189</v>
      </c>
      <c r="AA1370" s="3" t="s">
        <v>34</v>
      </c>
      <c r="AB1370" s="3"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2276</v>
      </c>
      <c r="U1371" s="3" t="s">
        <v>2276</v>
      </c>
      <c r="V1371" s="3" t="s">
        <v>2276</v>
      </c>
      <c r="W1371" s="3" t="s">
        <v>2276</v>
      </c>
      <c r="X1371" s="3" t="s">
        <v>2276</v>
      </c>
      <c r="Y1371" s="3" t="s">
        <v>2276</v>
      </c>
      <c r="Z1371" s="3" t="s">
        <v>189</v>
      </c>
      <c r="AA1371" s="3" t="s">
        <v>34</v>
      </c>
      <c r="AB1371" s="3"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3" t="s">
        <v>2276</v>
      </c>
      <c r="Z1372" s="3" t="s">
        <v>189</v>
      </c>
      <c r="AA1372" s="3" t="s">
        <v>34</v>
      </c>
      <c r="AB1372" s="3" t="s">
        <v>2276</v>
      </c>
      <c r="AC1372" s="4" t="s">
        <v>4099</v>
      </c>
      <c r="AD1372" s="3"/>
    </row>
    <row r="1373" spans="1:30" ht="39" customHeight="1">
      <c r="A1373" s="11" t="s">
        <v>4108</v>
      </c>
      <c r="B1373" s="3" t="s">
        <v>4118</v>
      </c>
      <c r="C1373" s="3" t="s">
        <v>24</v>
      </c>
      <c r="D1373" s="3" t="s">
        <v>25</v>
      </c>
      <c r="E1373" s="3" t="s">
        <v>5005</v>
      </c>
      <c r="F1373" s="4" t="s">
        <v>55</v>
      </c>
      <c r="G1373" s="3" t="s">
        <v>2276</v>
      </c>
      <c r="H1373" s="3" t="s">
        <v>523</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t="s">
        <v>2276</v>
      </c>
      <c r="AB1373" s="3" t="s">
        <v>2276</v>
      </c>
      <c r="AC1373" s="3"/>
      <c r="AD1373" s="3"/>
    </row>
    <row r="1374" spans="1:30" ht="39" customHeight="1">
      <c r="A1374" s="11" t="s">
        <v>4108</v>
      </c>
      <c r="B1374" s="3" t="s">
        <v>4119</v>
      </c>
      <c r="C1374" s="3" t="s">
        <v>24</v>
      </c>
      <c r="D1374" s="3" t="s">
        <v>25</v>
      </c>
      <c r="E1374" s="3" t="s">
        <v>45</v>
      </c>
      <c r="F1374" s="4" t="s">
        <v>55</v>
      </c>
      <c r="G1374" s="3" t="s">
        <v>2276</v>
      </c>
      <c r="H1374" s="3" t="s">
        <v>523</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t="s">
        <v>2276</v>
      </c>
      <c r="AB1374" s="3" t="s">
        <v>2276</v>
      </c>
      <c r="AC1374" s="3"/>
      <c r="AD1374" s="3"/>
    </row>
    <row r="1375" spans="1:30" ht="36" customHeight="1">
      <c r="A1375" s="11" t="s">
        <v>4109</v>
      </c>
      <c r="B1375" s="3" t="s">
        <v>4120</v>
      </c>
      <c r="C1375" s="3" t="s">
        <v>24</v>
      </c>
      <c r="D1375" s="3" t="s">
        <v>25</v>
      </c>
      <c r="E1375" s="3" t="s">
        <v>5005</v>
      </c>
      <c r="F1375" s="4" t="s">
        <v>55</v>
      </c>
      <c r="G1375" s="3" t="s">
        <v>2276</v>
      </c>
      <c r="H1375" s="3" t="s">
        <v>523</v>
      </c>
      <c r="I1375" s="3"/>
      <c r="J1375" s="3" t="s">
        <v>2276</v>
      </c>
      <c r="K1375" s="3" t="s">
        <v>2276</v>
      </c>
      <c r="L1375" s="3" t="s">
        <v>2276</v>
      </c>
      <c r="M1375" s="3" t="s">
        <v>2276</v>
      </c>
      <c r="N1375" s="3" t="s">
        <v>2276</v>
      </c>
      <c r="O1375" s="3" t="s">
        <v>2276</v>
      </c>
      <c r="P1375" s="3" t="s">
        <v>2276</v>
      </c>
      <c r="Q1375" s="3" t="s">
        <v>2276</v>
      </c>
      <c r="R1375" s="3" t="s">
        <v>2276</v>
      </c>
      <c r="S1375" s="3" t="s">
        <v>2276</v>
      </c>
      <c r="T1375" s="3" t="s">
        <v>2276</v>
      </c>
      <c r="U1375" s="3" t="s">
        <v>2276</v>
      </c>
      <c r="V1375" s="3" t="s">
        <v>2276</v>
      </c>
      <c r="W1375" s="3" t="s">
        <v>2276</v>
      </c>
      <c r="X1375" s="3" t="s">
        <v>2276</v>
      </c>
      <c r="Y1375" s="3" t="s">
        <v>2276</v>
      </c>
      <c r="Z1375" s="3" t="s">
        <v>425</v>
      </c>
      <c r="AA1375" s="3" t="s">
        <v>35</v>
      </c>
      <c r="AB1375" s="3" t="s">
        <v>64</v>
      </c>
      <c r="AC1375" s="3" t="s">
        <v>4117</v>
      </c>
      <c r="AD1375" s="3"/>
    </row>
    <row r="1376" spans="1:30" ht="36.5" customHeight="1">
      <c r="A1376" s="11" t="s">
        <v>4109</v>
      </c>
      <c r="B1376" s="3" t="s">
        <v>4121</v>
      </c>
      <c r="C1376" s="3" t="s">
        <v>24</v>
      </c>
      <c r="D1376" s="3" t="s">
        <v>25</v>
      </c>
      <c r="E1376" s="3" t="s">
        <v>45</v>
      </c>
      <c r="F1376" s="4" t="s">
        <v>55</v>
      </c>
      <c r="G1376" s="3" t="s">
        <v>2276</v>
      </c>
      <c r="H1376" s="3" t="s">
        <v>523</v>
      </c>
      <c r="I1376" s="3"/>
      <c r="J1376" s="3" t="s">
        <v>2276</v>
      </c>
      <c r="K1376" s="3" t="s">
        <v>2276</v>
      </c>
      <c r="L1376" s="3" t="s">
        <v>2276</v>
      </c>
      <c r="M1376" s="3" t="s">
        <v>2276</v>
      </c>
      <c r="N1376" s="3" t="s">
        <v>2276</v>
      </c>
      <c r="O1376" s="3" t="s">
        <v>2276</v>
      </c>
      <c r="P1376" s="3" t="s">
        <v>2276</v>
      </c>
      <c r="Q1376" s="3" t="s">
        <v>2276</v>
      </c>
      <c r="R1376" s="3" t="s">
        <v>2276</v>
      </c>
      <c r="S1376" s="3" t="s">
        <v>2276</v>
      </c>
      <c r="T1376" s="3" t="s">
        <v>2276</v>
      </c>
      <c r="U1376" s="3" t="s">
        <v>2276</v>
      </c>
      <c r="V1376" s="3" t="s">
        <v>2276</v>
      </c>
      <c r="W1376" s="3" t="s">
        <v>2276</v>
      </c>
      <c r="X1376" s="3" t="s">
        <v>2276</v>
      </c>
      <c r="Y1376" s="3" t="s">
        <v>2276</v>
      </c>
      <c r="Z1376" s="3" t="s">
        <v>425</v>
      </c>
      <c r="AA1376" s="3" t="s">
        <v>35</v>
      </c>
      <c r="AB1376" s="3"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3" t="s">
        <v>2276</v>
      </c>
      <c r="AB1377" s="3"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3" t="s">
        <v>2276</v>
      </c>
      <c r="AB1378" s="3" t="s">
        <v>2276</v>
      </c>
      <c r="AC1378" s="4" t="s">
        <v>4135</v>
      </c>
      <c r="AD1378" s="3"/>
    </row>
    <row r="1379" spans="1:30" ht="40" customHeight="1">
      <c r="A1379" s="3" t="s">
        <v>4138</v>
      </c>
      <c r="B1379" s="3" t="s">
        <v>4143</v>
      </c>
      <c r="C1379" s="3" t="s">
        <v>24</v>
      </c>
      <c r="D1379" s="3" t="s">
        <v>143</v>
      </c>
      <c r="E1379" s="3" t="s">
        <v>5005</v>
      </c>
      <c r="F1379" s="4" t="s">
        <v>74</v>
      </c>
      <c r="G1379" s="3" t="s">
        <v>2276</v>
      </c>
      <c r="H1379" s="3" t="s">
        <v>523</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3" t="s">
        <v>2276</v>
      </c>
      <c r="AB1379" s="3" t="s">
        <v>2276</v>
      </c>
      <c r="AC1379" s="4" t="s">
        <v>4145</v>
      </c>
      <c r="AD1379" s="3"/>
    </row>
    <row r="1380" spans="1:30" ht="40" customHeight="1">
      <c r="A1380" s="3" t="s">
        <v>4138</v>
      </c>
      <c r="B1380" s="3" t="s">
        <v>4144</v>
      </c>
      <c r="C1380" s="3" t="s">
        <v>24</v>
      </c>
      <c r="D1380" s="3" t="s">
        <v>143</v>
      </c>
      <c r="E1380" s="3" t="s">
        <v>45</v>
      </c>
      <c r="F1380" s="4" t="s">
        <v>74</v>
      </c>
      <c r="G1380" s="3" t="s">
        <v>2276</v>
      </c>
      <c r="H1380" s="3" t="s">
        <v>523</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3" t="s">
        <v>2276</v>
      </c>
      <c r="AB1380" s="3"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2276</v>
      </c>
      <c r="Y1381" s="3" t="s">
        <v>2276</v>
      </c>
      <c r="Z1381" s="3" t="s">
        <v>405</v>
      </c>
      <c r="AA1381" s="3" t="s">
        <v>68</v>
      </c>
      <c r="AB1381" s="3"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2276</v>
      </c>
      <c r="Y1382" s="3" t="s">
        <v>2276</v>
      </c>
      <c r="Z1382" s="3" t="s">
        <v>86</v>
      </c>
      <c r="AA1382" s="3" t="s">
        <v>425</v>
      </c>
      <c r="AB1382" s="3"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2276</v>
      </c>
      <c r="Y1383" s="3" t="s">
        <v>2276</v>
      </c>
      <c r="Z1383" s="3" t="s">
        <v>86</v>
      </c>
      <c r="AA1383" s="3" t="s">
        <v>68</v>
      </c>
      <c r="AB1383" s="3"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2276</v>
      </c>
      <c r="Y1384" s="3" t="s">
        <v>2276</v>
      </c>
      <c r="Z1384" s="3" t="s">
        <v>425</v>
      </c>
      <c r="AA1384" s="3" t="s">
        <v>68</v>
      </c>
      <c r="AB1384" s="3"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2276</v>
      </c>
      <c r="Y1385" s="3" t="s">
        <v>2276</v>
      </c>
      <c r="Z1385" s="3" t="s">
        <v>404</v>
      </c>
      <c r="AA1385" s="3" t="s">
        <v>68</v>
      </c>
      <c r="AB1385" s="3"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2276</v>
      </c>
      <c r="Y1386" s="3" t="s">
        <v>2276</v>
      </c>
      <c r="Z1386" s="3" t="s">
        <v>404</v>
      </c>
      <c r="AA1386" s="3" t="s">
        <v>68</v>
      </c>
      <c r="AB1386" s="3"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2276</v>
      </c>
      <c r="Y1387" s="3" t="s">
        <v>2276</v>
      </c>
      <c r="Z1387" s="3" t="s">
        <v>34</v>
      </c>
      <c r="AA1387" s="3" t="s">
        <v>425</v>
      </c>
      <c r="AB1387" s="3"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2276</v>
      </c>
      <c r="Y1388" s="3" t="s">
        <v>2276</v>
      </c>
      <c r="Z1388" s="3" t="s">
        <v>34</v>
      </c>
      <c r="AA1388" s="3" t="s">
        <v>425</v>
      </c>
      <c r="AB1388" s="3"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2276</v>
      </c>
      <c r="Y1389" s="3"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2276</v>
      </c>
      <c r="Y1390" s="3"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3" t="s">
        <v>2276</v>
      </c>
      <c r="H1391" s="3" t="s">
        <v>523</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2276</v>
      </c>
      <c r="Y1391" s="3"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3" t="s">
        <v>2276</v>
      </c>
      <c r="H1392" s="3" t="s">
        <v>523</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3" t="s">
        <v>2276</v>
      </c>
      <c r="H1393" s="3" t="s">
        <v>523</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2276</v>
      </c>
      <c r="Y1393" s="3"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3"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3"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3" t="s">
        <v>2276</v>
      </c>
      <c r="H1396" s="3" t="s">
        <v>523</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2276</v>
      </c>
      <c r="Y1396" s="3" t="s">
        <v>2276</v>
      </c>
      <c r="Z1396" s="3" t="s">
        <v>404</v>
      </c>
      <c r="AA1396" s="3" t="s">
        <v>425</v>
      </c>
      <c r="AB1396" s="3" t="s">
        <v>64</v>
      </c>
      <c r="AC1396" s="4" t="s">
        <v>4185</v>
      </c>
      <c r="AD1396" s="3"/>
    </row>
    <row r="1397" spans="1:30" ht="40" customHeight="1">
      <c r="A1397" s="11" t="s">
        <v>4147</v>
      </c>
      <c r="B1397" s="11" t="s">
        <v>4167</v>
      </c>
      <c r="C1397" s="3" t="s">
        <v>24</v>
      </c>
      <c r="D1397" s="3" t="s">
        <v>26</v>
      </c>
      <c r="E1397" s="19" t="s">
        <v>5005</v>
      </c>
      <c r="F1397" s="4" t="s">
        <v>2662</v>
      </c>
      <c r="G1397" s="3" t="s">
        <v>2276</v>
      </c>
      <c r="H1397" s="3" t="s">
        <v>523</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2276</v>
      </c>
      <c r="Y1397" s="3" t="s">
        <v>2276</v>
      </c>
      <c r="Z1397" s="3" t="s">
        <v>86</v>
      </c>
      <c r="AA1397" s="3" t="s">
        <v>68</v>
      </c>
      <c r="AB1397" s="3" t="s">
        <v>64</v>
      </c>
      <c r="AC1397" s="4" t="s">
        <v>4185</v>
      </c>
      <c r="AD1397" s="3"/>
    </row>
    <row r="1398" spans="1:30" ht="40" customHeight="1">
      <c r="A1398" s="11" t="s">
        <v>4147</v>
      </c>
      <c r="B1398" s="11" t="s">
        <v>4168</v>
      </c>
      <c r="C1398" s="3" t="s">
        <v>24</v>
      </c>
      <c r="D1398" s="3" t="s">
        <v>26</v>
      </c>
      <c r="E1398" s="3" t="s">
        <v>45</v>
      </c>
      <c r="F1398" s="4" t="s">
        <v>2662</v>
      </c>
      <c r="G1398" s="3" t="s">
        <v>2276</v>
      </c>
      <c r="H1398" s="3" t="s">
        <v>523</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2276</v>
      </c>
      <c r="Y1398" s="3" t="s">
        <v>2276</v>
      </c>
      <c r="Z1398" s="3" t="s">
        <v>86</v>
      </c>
      <c r="AA1398" s="3" t="s">
        <v>68</v>
      </c>
      <c r="AB1398" s="3" t="s">
        <v>64</v>
      </c>
      <c r="AC1398" s="4" t="s">
        <v>4185</v>
      </c>
      <c r="AD1398" s="3"/>
    </row>
    <row r="1399" spans="1:30" ht="51" customHeight="1">
      <c r="A1399" s="11" t="s">
        <v>4147</v>
      </c>
      <c r="B1399" s="11" t="s">
        <v>4169</v>
      </c>
      <c r="C1399" s="3" t="s">
        <v>24</v>
      </c>
      <c r="D1399" s="3" t="s">
        <v>3480</v>
      </c>
      <c r="E1399" s="19" t="s">
        <v>5005</v>
      </c>
      <c r="F1399" s="4" t="s">
        <v>74</v>
      </c>
      <c r="G1399" s="3" t="s">
        <v>2276</v>
      </c>
      <c r="H1399" s="3" t="s">
        <v>523</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2276</v>
      </c>
      <c r="Y1399" s="3" t="s">
        <v>2276</v>
      </c>
      <c r="Z1399" s="3" t="s">
        <v>86</v>
      </c>
      <c r="AA1399" s="3" t="s">
        <v>404</v>
      </c>
      <c r="AB1399" s="3" t="s">
        <v>64</v>
      </c>
      <c r="AC1399" s="4" t="s">
        <v>4194</v>
      </c>
      <c r="AD1399" s="3"/>
    </row>
    <row r="1400" spans="1:30" ht="52" customHeight="1">
      <c r="A1400" s="11" t="s">
        <v>4147</v>
      </c>
      <c r="B1400" s="11" t="s">
        <v>4170</v>
      </c>
      <c r="C1400" s="3" t="s">
        <v>24</v>
      </c>
      <c r="D1400" s="3" t="s">
        <v>3480</v>
      </c>
      <c r="E1400" s="3" t="s">
        <v>45</v>
      </c>
      <c r="F1400" s="4" t="s">
        <v>74</v>
      </c>
      <c r="G1400" s="3" t="s">
        <v>2276</v>
      </c>
      <c r="H1400" s="3" t="s">
        <v>523</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2276</v>
      </c>
      <c r="Y1400" s="3"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21">
        <f>100*(6626+6432)/(191976*'Land use'!$O$698/100)</f>
        <v>11.081067890384245</v>
      </c>
      <c r="W1409" s="3" t="s">
        <v>2276</v>
      </c>
      <c r="X1409" s="21">
        <f>100*(6626+6432)/191976</f>
        <v>6.8018919031545613</v>
      </c>
      <c r="Y1409" s="3" t="s">
        <v>2276</v>
      </c>
      <c r="Z1409" s="3" t="s">
        <v>2276</v>
      </c>
      <c r="AA1409" s="3" t="s">
        <v>2276</v>
      </c>
      <c r="AB1409" s="3" t="s">
        <v>2276</v>
      </c>
      <c r="AC1409" s="3"/>
      <c r="AD1409" s="3"/>
    </row>
    <row r="1410" spans="1:30" ht="35.5" customHeight="1">
      <c r="A1410" s="11" t="s">
        <v>4197</v>
      </c>
      <c r="B1410" s="11" t="s">
        <v>4205</v>
      </c>
      <c r="C1410" s="3" t="s">
        <v>1105</v>
      </c>
      <c r="D1410" s="3" t="s">
        <v>2276</v>
      </c>
      <c r="E1410" s="3" t="s">
        <v>45</v>
      </c>
      <c r="F1410" s="4" t="s">
        <v>2276</v>
      </c>
      <c r="G1410" s="3" t="s">
        <v>55</v>
      </c>
      <c r="H1410" s="3" t="s">
        <v>523</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21">
        <f>100 * (4283+1392+6432) / (191976*'Land use'!$O$698/100)</f>
        <v>10.27404571518472</v>
      </c>
      <c r="W1410" s="3" t="s">
        <v>2276</v>
      </c>
      <c r="X1410" s="21">
        <f>100 * (4283+1392+6432) / 191976</f>
        <v>6.3065174813518352</v>
      </c>
      <c r="Y1410" s="3" t="s">
        <v>2276</v>
      </c>
      <c r="Z1410" s="3" t="s">
        <v>2276</v>
      </c>
      <c r="AA1410" s="3" t="s">
        <v>2276</v>
      </c>
      <c r="AB1410" s="3" t="s">
        <v>2276</v>
      </c>
      <c r="AC1410" s="3"/>
      <c r="AD1410" s="3"/>
    </row>
    <row r="1411" spans="1:30" ht="92.5" customHeight="1">
      <c r="A1411" s="11" t="s">
        <v>4210</v>
      </c>
      <c r="B1411" s="11" t="s">
        <v>4214</v>
      </c>
      <c r="C1411" s="3" t="s">
        <v>24</v>
      </c>
      <c r="D1411" s="3" t="s">
        <v>2804</v>
      </c>
      <c r="E1411" s="3" t="s">
        <v>45</v>
      </c>
      <c r="F1411" s="4" t="s">
        <v>2662</v>
      </c>
      <c r="G1411" s="3" t="s">
        <v>2276</v>
      </c>
      <c r="H1411" s="3" t="s">
        <v>523</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2276</v>
      </c>
      <c r="Y1415" s="3"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3" t="s">
        <v>2276</v>
      </c>
      <c r="P1416" s="3" t="s">
        <v>2276</v>
      </c>
      <c r="Q1416" s="3" t="s">
        <v>2276</v>
      </c>
      <c r="R1416" s="3" t="s">
        <v>2276</v>
      </c>
      <c r="S1416" s="3" t="s">
        <v>2276</v>
      </c>
      <c r="T1416" s="3" t="s">
        <v>2276</v>
      </c>
      <c r="U1416" s="3" t="s">
        <v>2276</v>
      </c>
      <c r="V1416" s="3" t="s">
        <v>2276</v>
      </c>
      <c r="W1416" s="3" t="s">
        <v>2276</v>
      </c>
      <c r="X1416" s="3" t="s">
        <v>2276</v>
      </c>
      <c r="Y1416" s="3"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3" t="s">
        <v>2276</v>
      </c>
      <c r="K1417" s="21">
        <v>1E-3</v>
      </c>
      <c r="L1417" s="3" t="s">
        <v>2276</v>
      </c>
      <c r="M1417" s="21">
        <v>4.0000000000000001E-3</v>
      </c>
      <c r="N1417" s="3" t="s">
        <v>2276</v>
      </c>
      <c r="O1417" s="3" t="s">
        <v>2276</v>
      </c>
      <c r="P1417" s="3" t="s">
        <v>2276</v>
      </c>
      <c r="Q1417" s="3" t="s">
        <v>2276</v>
      </c>
      <c r="R1417" s="3" t="s">
        <v>2276</v>
      </c>
      <c r="S1417" s="3" t="s">
        <v>2276</v>
      </c>
      <c r="T1417" s="3" t="s">
        <v>2276</v>
      </c>
      <c r="U1417" s="3" t="s">
        <v>2276</v>
      </c>
      <c r="V1417" s="3" t="s">
        <v>2276</v>
      </c>
      <c r="W1417" s="3" t="s">
        <v>2276</v>
      </c>
      <c r="X1417" s="3"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3"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3"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3"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3"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3"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69"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3" t="s">
        <v>2458</v>
      </c>
      <c r="D1434" s="3" t="s">
        <v>25</v>
      </c>
      <c r="E1434" s="4" t="s">
        <v>3854</v>
      </c>
      <c r="F1434" s="4" t="s">
        <v>74</v>
      </c>
      <c r="G1434" s="3" t="s">
        <v>2276</v>
      </c>
      <c r="H1434" s="3" t="s">
        <v>523</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3" t="s">
        <v>2276</v>
      </c>
      <c r="AC1434" s="3" t="s">
        <v>2276</v>
      </c>
      <c r="AD1434" s="4" t="s">
        <v>4279</v>
      </c>
    </row>
    <row r="1435" spans="1:30" ht="29">
      <c r="A1435" s="11" t="s">
        <v>4257</v>
      </c>
      <c r="B1435" s="11" t="s">
        <v>4283</v>
      </c>
      <c r="C1435" s="3" t="s">
        <v>24</v>
      </c>
      <c r="D1435" s="3" t="s">
        <v>2994</v>
      </c>
      <c r="E1435" s="4" t="s">
        <v>1105</v>
      </c>
      <c r="F1435" s="4" t="s">
        <v>2276</v>
      </c>
      <c r="G1435" s="3" t="s">
        <v>2276</v>
      </c>
      <c r="H1435" s="3" t="s">
        <v>523</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2276</v>
      </c>
      <c r="AB1435" s="3" t="s">
        <v>2276</v>
      </c>
      <c r="AC1435" s="3" t="s">
        <v>4278</v>
      </c>
      <c r="AD1435" s="4" t="s">
        <v>4279</v>
      </c>
    </row>
    <row r="1436" spans="1:30" ht="29">
      <c r="A1436" s="11" t="s">
        <v>4257</v>
      </c>
      <c r="B1436" s="11" t="s">
        <v>4284</v>
      </c>
      <c r="C1436" s="3" t="s">
        <v>2458</v>
      </c>
      <c r="D1436" s="3" t="s">
        <v>2994</v>
      </c>
      <c r="E1436" s="4" t="s">
        <v>1105</v>
      </c>
      <c r="F1436" s="4" t="s">
        <v>2276</v>
      </c>
      <c r="G1436" s="3" t="s">
        <v>2276</v>
      </c>
      <c r="H1436" s="3" t="s">
        <v>523</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3" t="s">
        <v>2276</v>
      </c>
      <c r="AC1436" s="3" t="s">
        <v>2276</v>
      </c>
      <c r="AD1436" s="4" t="s">
        <v>4279</v>
      </c>
    </row>
    <row r="1437" spans="1:30" ht="29">
      <c r="A1437" s="11" t="s">
        <v>4257</v>
      </c>
      <c r="B1437" s="11" t="s">
        <v>4285</v>
      </c>
      <c r="C1437" s="3" t="s">
        <v>31</v>
      </c>
      <c r="D1437" s="3" t="s">
        <v>30</v>
      </c>
      <c r="E1437" s="3" t="s">
        <v>1105</v>
      </c>
      <c r="F1437" s="4" t="s">
        <v>2276</v>
      </c>
      <c r="G1437" s="3" t="s">
        <v>2276</v>
      </c>
      <c r="H1437" s="3" t="s">
        <v>523</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3" t="s">
        <v>2276</v>
      </c>
      <c r="AB1437" s="3" t="s">
        <v>2276</v>
      </c>
      <c r="AC1437" s="4" t="s">
        <v>4275</v>
      </c>
      <c r="AD1437" s="4" t="s">
        <v>4279</v>
      </c>
    </row>
    <row r="1438" spans="1:30" ht="29">
      <c r="A1438" s="11" t="s">
        <v>4257</v>
      </c>
      <c r="B1438" s="11" t="s">
        <v>4286</v>
      </c>
      <c r="C1438" s="3" t="s">
        <v>31</v>
      </c>
      <c r="D1438" s="3" t="s">
        <v>30</v>
      </c>
      <c r="E1438" s="3" t="s">
        <v>2652</v>
      </c>
      <c r="F1438" s="4" t="s">
        <v>2276</v>
      </c>
      <c r="G1438" s="3" t="s">
        <v>2276</v>
      </c>
      <c r="H1438" s="3" t="s">
        <v>523</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3" t="s">
        <v>2276</v>
      </c>
      <c r="AB1438" s="3" t="s">
        <v>2276</v>
      </c>
      <c r="AC1438" s="4" t="s">
        <v>4274</v>
      </c>
      <c r="AD1438" s="4" t="s">
        <v>4279</v>
      </c>
    </row>
    <row r="1439" spans="1:30" ht="29">
      <c r="A1439" s="11" t="s">
        <v>4257</v>
      </c>
      <c r="B1439" s="11" t="s">
        <v>4287</v>
      </c>
      <c r="C1439" s="3" t="s">
        <v>24</v>
      </c>
      <c r="D1439" s="3" t="s">
        <v>2231</v>
      </c>
      <c r="E1439" s="4" t="s">
        <v>3854</v>
      </c>
      <c r="F1439" s="4" t="s">
        <v>2276</v>
      </c>
      <c r="G1439" s="3" t="s">
        <v>2276</v>
      </c>
      <c r="H1439" s="3" t="s">
        <v>523</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2276</v>
      </c>
      <c r="AB1439" s="3" t="s">
        <v>2276</v>
      </c>
      <c r="AC1439" s="3" t="s">
        <v>4276</v>
      </c>
      <c r="AD1439" s="4" t="s">
        <v>4279</v>
      </c>
    </row>
    <row r="1440" spans="1:30" ht="45.5" customHeight="1">
      <c r="A1440" s="11" t="s">
        <v>4257</v>
      </c>
      <c r="B1440" s="11" t="s">
        <v>4288</v>
      </c>
      <c r="C1440" s="3" t="s">
        <v>24</v>
      </c>
      <c r="D1440" s="3" t="s">
        <v>2659</v>
      </c>
      <c r="E1440" s="4" t="s">
        <v>3854</v>
      </c>
      <c r="F1440" s="4" t="s">
        <v>2276</v>
      </c>
      <c r="G1440" s="3" t="s">
        <v>2276</v>
      </c>
      <c r="H1440" s="3" t="s">
        <v>523</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2276</v>
      </c>
      <c r="AB1440" s="3" t="s">
        <v>2276</v>
      </c>
      <c r="AC1440" s="3" t="s">
        <v>4277</v>
      </c>
      <c r="AD1440" s="4" t="s">
        <v>4279</v>
      </c>
    </row>
    <row r="1441" spans="1:30" ht="43.5">
      <c r="A1441" s="11" t="s">
        <v>4257</v>
      </c>
      <c r="B1441" s="11" t="s">
        <v>4289</v>
      </c>
      <c r="C1441" s="3" t="s">
        <v>24</v>
      </c>
      <c r="D1441" s="3" t="s">
        <v>2346</v>
      </c>
      <c r="E1441" s="4" t="s">
        <v>2276</v>
      </c>
      <c r="F1441" s="4" t="s">
        <v>2276</v>
      </c>
      <c r="G1441" s="3" t="s">
        <v>2276</v>
      </c>
      <c r="H1441" s="3" t="s">
        <v>523</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3" t="s">
        <v>2276</v>
      </c>
      <c r="AB1441" s="3" t="s">
        <v>2276</v>
      </c>
      <c r="AC1441" s="169" t="s">
        <v>4280</v>
      </c>
      <c r="AD1441" s="4" t="s">
        <v>4279</v>
      </c>
    </row>
    <row r="1442" spans="1:30" ht="54.5" customHeight="1">
      <c r="A1442" s="11" t="s">
        <v>4065</v>
      </c>
      <c r="B1442" s="11" t="s">
        <v>4290</v>
      </c>
      <c r="C1442" s="3" t="s">
        <v>24</v>
      </c>
      <c r="D1442" s="3" t="s">
        <v>25</v>
      </c>
      <c r="E1442" s="4" t="s">
        <v>3854</v>
      </c>
      <c r="F1442" s="4" t="s">
        <v>2662</v>
      </c>
      <c r="G1442" s="3" t="s">
        <v>2276</v>
      </c>
      <c r="H1442" s="3" t="s">
        <v>523</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2276</v>
      </c>
      <c r="AB1442" s="3" t="s">
        <v>2276</v>
      </c>
      <c r="AC1442" s="3" t="s">
        <v>4273</v>
      </c>
      <c r="AD1442" s="4" t="s">
        <v>4279</v>
      </c>
    </row>
    <row r="1443" spans="1:30" ht="52.5" customHeight="1">
      <c r="A1443" s="11" t="s">
        <v>4065</v>
      </c>
      <c r="B1443" s="11" t="s">
        <v>4291</v>
      </c>
      <c r="C1443" s="3" t="s">
        <v>2458</v>
      </c>
      <c r="D1443" s="3" t="s">
        <v>25</v>
      </c>
      <c r="E1443" s="4" t="s">
        <v>3854</v>
      </c>
      <c r="F1443" s="4" t="s">
        <v>74</v>
      </c>
      <c r="G1443" s="3" t="s">
        <v>2276</v>
      </c>
      <c r="H1443" s="3" t="s">
        <v>523</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3" t="s">
        <v>2276</v>
      </c>
      <c r="AC1443" s="3" t="s">
        <v>2276</v>
      </c>
      <c r="AD1443" s="4" t="s">
        <v>4279</v>
      </c>
    </row>
    <row r="1444" spans="1:30" ht="29">
      <c r="A1444" s="11" t="s">
        <v>4065</v>
      </c>
      <c r="B1444" s="11" t="s">
        <v>4292</v>
      </c>
      <c r="C1444" s="3" t="s">
        <v>24</v>
      </c>
      <c r="D1444" s="3" t="s">
        <v>2994</v>
      </c>
      <c r="E1444" s="4" t="s">
        <v>1105</v>
      </c>
      <c r="F1444" s="4" t="s">
        <v>2276</v>
      </c>
      <c r="G1444" s="3" t="s">
        <v>2276</v>
      </c>
      <c r="H1444" s="3" t="s">
        <v>523</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2276</v>
      </c>
      <c r="AB1444" s="3" t="s">
        <v>2276</v>
      </c>
      <c r="AC1444" s="3" t="s">
        <v>4278</v>
      </c>
      <c r="AD1444" s="4" t="s">
        <v>4279</v>
      </c>
    </row>
    <row r="1445" spans="1:30" ht="29">
      <c r="A1445" s="11" t="s">
        <v>4065</v>
      </c>
      <c r="B1445" s="11" t="s">
        <v>4293</v>
      </c>
      <c r="C1445" s="3" t="s">
        <v>2458</v>
      </c>
      <c r="D1445" s="3" t="s">
        <v>2994</v>
      </c>
      <c r="E1445" s="4" t="s">
        <v>1105</v>
      </c>
      <c r="F1445" s="4" t="s">
        <v>2276</v>
      </c>
      <c r="G1445" s="3" t="s">
        <v>2276</v>
      </c>
      <c r="H1445" s="3" t="s">
        <v>523</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3" t="s">
        <v>2276</v>
      </c>
      <c r="AC1445" s="3" t="s">
        <v>2276</v>
      </c>
      <c r="AD1445" s="4" t="s">
        <v>4279</v>
      </c>
    </row>
    <row r="1446" spans="1:30" ht="29">
      <c r="A1446" s="11" t="s">
        <v>4065</v>
      </c>
      <c r="B1446" s="11" t="s">
        <v>4294</v>
      </c>
      <c r="C1446" s="3" t="s">
        <v>31</v>
      </c>
      <c r="D1446" s="3" t="s">
        <v>30</v>
      </c>
      <c r="E1446" s="3" t="s">
        <v>1105</v>
      </c>
      <c r="F1446" s="4" t="s">
        <v>2276</v>
      </c>
      <c r="G1446" s="3" t="s">
        <v>2276</v>
      </c>
      <c r="H1446" s="3" t="s">
        <v>523</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3" t="s">
        <v>2276</v>
      </c>
      <c r="AB1446" s="3" t="s">
        <v>2276</v>
      </c>
      <c r="AC1446" s="4" t="s">
        <v>4275</v>
      </c>
      <c r="AD1446" s="4" t="s">
        <v>4279</v>
      </c>
    </row>
    <row r="1447" spans="1:30" ht="29">
      <c r="A1447" s="11" t="s">
        <v>4065</v>
      </c>
      <c r="B1447" s="11" t="s">
        <v>4295</v>
      </c>
      <c r="C1447" s="3" t="s">
        <v>31</v>
      </c>
      <c r="D1447" s="3" t="s">
        <v>30</v>
      </c>
      <c r="E1447" s="3" t="s">
        <v>2652</v>
      </c>
      <c r="F1447" s="4" t="s">
        <v>2276</v>
      </c>
      <c r="G1447" s="3" t="s">
        <v>2276</v>
      </c>
      <c r="H1447" s="3" t="s">
        <v>523</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3" t="s">
        <v>2276</v>
      </c>
      <c r="AB1447" s="3" t="s">
        <v>2276</v>
      </c>
      <c r="AC1447" s="4" t="s">
        <v>4274</v>
      </c>
      <c r="AD1447" s="4" t="s">
        <v>4279</v>
      </c>
    </row>
    <row r="1448" spans="1:30" ht="60" customHeight="1">
      <c r="A1448" s="11" t="s">
        <v>4065</v>
      </c>
      <c r="B1448" s="11" t="s">
        <v>4296</v>
      </c>
      <c r="C1448" s="3" t="s">
        <v>24</v>
      </c>
      <c r="D1448" s="3" t="s">
        <v>2231</v>
      </c>
      <c r="E1448" s="4" t="s">
        <v>3854</v>
      </c>
      <c r="F1448" s="4" t="s">
        <v>2276</v>
      </c>
      <c r="G1448" s="3" t="s">
        <v>2276</v>
      </c>
      <c r="H1448" s="3" t="s">
        <v>523</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2276</v>
      </c>
      <c r="AB1448" s="3" t="s">
        <v>2276</v>
      </c>
      <c r="AC1448" s="3" t="s">
        <v>4276</v>
      </c>
      <c r="AD1448" s="4" t="s">
        <v>4279</v>
      </c>
    </row>
    <row r="1449" spans="1:30" ht="60.5" customHeight="1">
      <c r="A1449" s="11" t="s">
        <v>4065</v>
      </c>
      <c r="B1449" s="11" t="s">
        <v>4297</v>
      </c>
      <c r="C1449" s="3" t="s">
        <v>24</v>
      </c>
      <c r="D1449" s="3" t="s">
        <v>2659</v>
      </c>
      <c r="E1449" s="4" t="s">
        <v>3854</v>
      </c>
      <c r="F1449" s="4" t="s">
        <v>2276</v>
      </c>
      <c r="G1449" s="3" t="s">
        <v>2276</v>
      </c>
      <c r="H1449" s="3" t="s">
        <v>523</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2276</v>
      </c>
      <c r="AB1449" s="3" t="s">
        <v>2276</v>
      </c>
      <c r="AC1449" s="3" t="s">
        <v>4277</v>
      </c>
      <c r="AD1449" s="4" t="s">
        <v>4279</v>
      </c>
    </row>
    <row r="1450" spans="1:30" ht="43.5">
      <c r="A1450" s="11" t="s">
        <v>4065</v>
      </c>
      <c r="B1450" s="11" t="s">
        <v>4298</v>
      </c>
      <c r="C1450" s="3" t="s">
        <v>24</v>
      </c>
      <c r="D1450" s="3" t="s">
        <v>2346</v>
      </c>
      <c r="E1450" s="4" t="s">
        <v>2276</v>
      </c>
      <c r="F1450" s="4" t="s">
        <v>2276</v>
      </c>
      <c r="G1450" s="3" t="s">
        <v>2276</v>
      </c>
      <c r="H1450" s="3" t="s">
        <v>523</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3" t="s">
        <v>2276</v>
      </c>
      <c r="AB1450" s="3" t="s">
        <v>2276</v>
      </c>
      <c r="AC1450" s="169" t="s">
        <v>4280</v>
      </c>
      <c r="AD1450" s="4" t="s">
        <v>4279</v>
      </c>
    </row>
    <row r="1451" spans="1:30" ht="48.5" customHeight="1">
      <c r="A1451" s="11" t="s">
        <v>4256</v>
      </c>
      <c r="B1451" s="11" t="s">
        <v>4272</v>
      </c>
      <c r="C1451" s="3" t="s">
        <v>24</v>
      </c>
      <c r="D1451" s="3" t="s">
        <v>2276</v>
      </c>
      <c r="E1451" s="3" t="s">
        <v>2276</v>
      </c>
      <c r="F1451" s="4" t="s">
        <v>2276</v>
      </c>
      <c r="G1451" s="3" t="s">
        <v>74</v>
      </c>
      <c r="H1451" s="3" t="s">
        <v>523</v>
      </c>
      <c r="I1451" s="3"/>
      <c r="J1451" s="3"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3" t="s">
        <v>2276</v>
      </c>
      <c r="X1451" s="3" t="s">
        <v>2276</v>
      </c>
      <c r="Y1451" s="3" t="s">
        <v>2276</v>
      </c>
      <c r="Z1451" s="3" t="s">
        <v>2276</v>
      </c>
      <c r="AA1451" s="3" t="s">
        <v>2276</v>
      </c>
      <c r="AB1451" s="3" t="s">
        <v>2276</v>
      </c>
      <c r="AC1451" s="4" t="s">
        <v>4302</v>
      </c>
      <c r="AD1451" s="4" t="s">
        <v>4303</v>
      </c>
    </row>
    <row r="1452" spans="1:30" ht="48.5" customHeight="1">
      <c r="A1452" s="11" t="s">
        <v>4256</v>
      </c>
      <c r="B1452" s="11" t="s">
        <v>4299</v>
      </c>
      <c r="C1452" s="3" t="s">
        <v>2656</v>
      </c>
      <c r="D1452" s="3" t="s">
        <v>2276</v>
      </c>
      <c r="E1452" s="3" t="s">
        <v>2276</v>
      </c>
      <c r="F1452" s="4" t="s">
        <v>2276</v>
      </c>
      <c r="G1452" s="3" t="s">
        <v>74</v>
      </c>
      <c r="H1452" s="3" t="s">
        <v>523</v>
      </c>
      <c r="I1452" s="3"/>
      <c r="J1452" s="3"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3" t="s">
        <v>2276</v>
      </c>
      <c r="X1452" s="3" t="s">
        <v>2276</v>
      </c>
      <c r="Y1452" s="3" t="s">
        <v>2276</v>
      </c>
      <c r="Z1452" s="3" t="s">
        <v>2276</v>
      </c>
      <c r="AA1452" s="3" t="s">
        <v>2276</v>
      </c>
      <c r="AB1452" s="3" t="s">
        <v>2276</v>
      </c>
      <c r="AC1452" s="4" t="s">
        <v>4302</v>
      </c>
      <c r="AD1452" s="4" t="s">
        <v>4303</v>
      </c>
    </row>
    <row r="1453" spans="1:30" ht="48.5" customHeight="1">
      <c r="A1453" s="11" t="s">
        <v>4256</v>
      </c>
      <c r="B1453" s="11" t="s">
        <v>4300</v>
      </c>
      <c r="C1453" s="3" t="s">
        <v>2458</v>
      </c>
      <c r="D1453" s="3" t="s">
        <v>2276</v>
      </c>
      <c r="E1453" s="3" t="s">
        <v>2276</v>
      </c>
      <c r="F1453" s="4" t="s">
        <v>2276</v>
      </c>
      <c r="G1453" s="3" t="s">
        <v>74</v>
      </c>
      <c r="H1453" s="3" t="s">
        <v>523</v>
      </c>
      <c r="I1453" s="3"/>
      <c r="J1453" s="3"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3" t="s">
        <v>2276</v>
      </c>
      <c r="X1453" s="3" t="s">
        <v>2276</v>
      </c>
      <c r="Y1453" s="3" t="s">
        <v>2276</v>
      </c>
      <c r="Z1453" s="3" t="s">
        <v>2276</v>
      </c>
      <c r="AA1453" s="3" t="s">
        <v>2276</v>
      </c>
      <c r="AB1453" s="3" t="s">
        <v>2276</v>
      </c>
      <c r="AC1453" s="4" t="s">
        <v>4302</v>
      </c>
      <c r="AD1453" s="4" t="s">
        <v>4303</v>
      </c>
    </row>
    <row r="1454" spans="1:30" ht="48.5" customHeight="1">
      <c r="A1454" s="11" t="s">
        <v>4256</v>
      </c>
      <c r="B1454" s="11" t="s">
        <v>4301</v>
      </c>
      <c r="C1454" s="3" t="s">
        <v>31</v>
      </c>
      <c r="D1454" s="3" t="s">
        <v>30</v>
      </c>
      <c r="E1454" s="3" t="s">
        <v>2276</v>
      </c>
      <c r="F1454" s="4" t="s">
        <v>2276</v>
      </c>
      <c r="G1454" s="3" t="s">
        <v>74</v>
      </c>
      <c r="H1454" s="3" t="s">
        <v>523</v>
      </c>
      <c r="I1454" s="3"/>
      <c r="J1454" s="3"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3" t="s">
        <v>2276</v>
      </c>
      <c r="X1454" s="3" t="s">
        <v>2276</v>
      </c>
      <c r="Y1454" s="3" t="s">
        <v>2276</v>
      </c>
      <c r="Z1454" s="3" t="s">
        <v>2276</v>
      </c>
      <c r="AA1454" s="3" t="s">
        <v>2276</v>
      </c>
      <c r="AB1454" s="3" t="s">
        <v>2276</v>
      </c>
      <c r="AC1454" s="4" t="s">
        <v>4302</v>
      </c>
      <c r="AD1454" s="4" t="s">
        <v>4303</v>
      </c>
    </row>
    <row r="1455" spans="1:30" ht="48.5" customHeight="1">
      <c r="A1455" s="11" t="s">
        <v>4256</v>
      </c>
      <c r="B1455" s="11" t="s">
        <v>5044</v>
      </c>
      <c r="C1455" s="3" t="s">
        <v>1105</v>
      </c>
      <c r="D1455" s="3" t="s">
        <v>1105</v>
      </c>
      <c r="E1455" s="3" t="s">
        <v>2276</v>
      </c>
      <c r="F1455" s="4" t="s">
        <v>2276</v>
      </c>
      <c r="G1455" s="3" t="s">
        <v>74</v>
      </c>
      <c r="H1455" s="3" t="s">
        <v>523</v>
      </c>
      <c r="I1455" s="3"/>
      <c r="J1455" s="3" t="s">
        <v>2276</v>
      </c>
      <c r="K1455" s="3" t="s">
        <v>2276</v>
      </c>
      <c r="L1455" s="3" t="s">
        <v>2276</v>
      </c>
      <c r="M1455" s="3" t="s">
        <v>2276</v>
      </c>
      <c r="N1455" s="3" t="s">
        <v>2276</v>
      </c>
      <c r="O1455" s="3" t="s">
        <v>2276</v>
      </c>
      <c r="P1455" s="21">
        <f>286/(182)</f>
        <v>1.5714285714285714</v>
      </c>
      <c r="Q1455" s="3" t="s">
        <v>2276</v>
      </c>
      <c r="R1455" s="3" t="s">
        <v>2276</v>
      </c>
      <c r="S1455" s="3" t="s">
        <v>2276</v>
      </c>
      <c r="T1455" s="3" t="s">
        <v>2276</v>
      </c>
      <c r="U1455" s="3" t="s">
        <v>2276</v>
      </c>
      <c r="V1455" s="3">
        <v>3.06</v>
      </c>
      <c r="W1455" s="3" t="s">
        <v>2276</v>
      </c>
      <c r="X1455" s="21">
        <f>286/57.84</f>
        <v>4.9446749654218527</v>
      </c>
      <c r="Y1455" s="3" t="s">
        <v>2276</v>
      </c>
      <c r="Z1455" s="3" t="s">
        <v>2276</v>
      </c>
      <c r="AA1455" s="3" t="s">
        <v>2276</v>
      </c>
      <c r="AB1455" s="3" t="s">
        <v>2276</v>
      </c>
      <c r="AC1455" s="4" t="s">
        <v>4302</v>
      </c>
      <c r="AD1455" s="4"/>
    </row>
    <row r="1456" spans="1:30" ht="29">
      <c r="A1456" s="11" t="s">
        <v>4257</v>
      </c>
      <c r="B1456" s="11" t="s">
        <v>4304</v>
      </c>
      <c r="C1456" s="3" t="s">
        <v>24</v>
      </c>
      <c r="D1456" s="3" t="s">
        <v>2276</v>
      </c>
      <c r="E1456" s="3" t="s">
        <v>2276</v>
      </c>
      <c r="F1456" s="4" t="s">
        <v>2276</v>
      </c>
      <c r="G1456" s="3" t="s">
        <v>74</v>
      </c>
      <c r="H1456" s="3" t="s">
        <v>523</v>
      </c>
      <c r="I1456" s="3"/>
      <c r="J1456" s="3"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3" t="s">
        <v>2276</v>
      </c>
      <c r="X1456" s="21" t="s">
        <v>2276</v>
      </c>
      <c r="Y1456" s="3" t="s">
        <v>2276</v>
      </c>
      <c r="Z1456" s="3" t="s">
        <v>2276</v>
      </c>
      <c r="AA1456" s="3" t="s">
        <v>2276</v>
      </c>
      <c r="AB1456" s="3" t="s">
        <v>2276</v>
      </c>
      <c r="AC1456" s="4" t="s">
        <v>4302</v>
      </c>
      <c r="AD1456" s="4" t="s">
        <v>4303</v>
      </c>
    </row>
    <row r="1457" spans="1:30" ht="29">
      <c r="A1457" s="11" t="s">
        <v>4257</v>
      </c>
      <c r="B1457" s="11" t="s">
        <v>4305</v>
      </c>
      <c r="C1457" s="3" t="s">
        <v>2656</v>
      </c>
      <c r="D1457" s="3" t="s">
        <v>2276</v>
      </c>
      <c r="E1457" s="3" t="s">
        <v>2276</v>
      </c>
      <c r="F1457" s="4" t="s">
        <v>2276</v>
      </c>
      <c r="G1457" s="3" t="s">
        <v>74</v>
      </c>
      <c r="H1457" s="3" t="s">
        <v>523</v>
      </c>
      <c r="I1457" s="3"/>
      <c r="J1457" s="3"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3" t="s">
        <v>2276</v>
      </c>
      <c r="X1457" s="21" t="s">
        <v>2276</v>
      </c>
      <c r="Y1457" s="3"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3" t="s">
        <v>74</v>
      </c>
      <c r="H1458" s="3" t="s">
        <v>523</v>
      </c>
      <c r="I1458" s="3"/>
      <c r="J1458" s="3"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3" t="s">
        <v>2276</v>
      </c>
      <c r="X1458" s="21" t="s">
        <v>2276</v>
      </c>
      <c r="Y1458" s="3" t="s">
        <v>2276</v>
      </c>
      <c r="Z1458" s="3" t="s">
        <v>2276</v>
      </c>
      <c r="AA1458" s="3"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3" t="s">
        <v>74</v>
      </c>
      <c r="H1459" s="3" t="s">
        <v>523</v>
      </c>
      <c r="I1459" s="3"/>
      <c r="J1459" s="3"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3" t="s">
        <v>2276</v>
      </c>
      <c r="X1459" s="21" t="s">
        <v>2276</v>
      </c>
      <c r="Y1459" s="3" t="s">
        <v>2276</v>
      </c>
      <c r="Z1459" s="3" t="s">
        <v>2276</v>
      </c>
      <c r="AA1459" s="3" t="s">
        <v>2276</v>
      </c>
      <c r="AB1459" s="3" t="s">
        <v>2276</v>
      </c>
      <c r="AC1459" s="4" t="s">
        <v>4302</v>
      </c>
      <c r="AD1459" s="4" t="s">
        <v>4303</v>
      </c>
    </row>
    <row r="1460" spans="1:30" ht="42" customHeight="1">
      <c r="A1460" s="11" t="s">
        <v>4257</v>
      </c>
      <c r="B1460" s="11" t="s">
        <v>5046</v>
      </c>
      <c r="C1460" s="3" t="s">
        <v>1105</v>
      </c>
      <c r="D1460" s="3" t="s">
        <v>1105</v>
      </c>
      <c r="E1460" s="3" t="s">
        <v>2276</v>
      </c>
      <c r="F1460" s="4" t="s">
        <v>2276</v>
      </c>
      <c r="G1460" s="3" t="s">
        <v>74</v>
      </c>
      <c r="H1460" s="3" t="s">
        <v>523</v>
      </c>
      <c r="I1460" s="3"/>
      <c r="J1460" s="3" t="s">
        <v>2276</v>
      </c>
      <c r="K1460" s="3" t="s">
        <v>2276</v>
      </c>
      <c r="L1460" s="3" t="s">
        <v>2276</v>
      </c>
      <c r="M1460" s="3" t="s">
        <v>2276</v>
      </c>
      <c r="N1460" s="3" t="s">
        <v>2276</v>
      </c>
      <c r="O1460" s="3" t="s">
        <v>2276</v>
      </c>
      <c r="P1460" s="21">
        <f>143/(78)</f>
        <v>1.8333333333333333</v>
      </c>
      <c r="Q1460" s="3" t="s">
        <v>2276</v>
      </c>
      <c r="R1460" s="3" t="s">
        <v>2276</v>
      </c>
      <c r="S1460" s="3" t="s">
        <v>2276</v>
      </c>
      <c r="T1460" s="3" t="s">
        <v>2276</v>
      </c>
      <c r="U1460" s="3" t="s">
        <v>2276</v>
      </c>
      <c r="V1460" s="3">
        <v>2.13</v>
      </c>
      <c r="W1460" s="3" t="s">
        <v>2276</v>
      </c>
      <c r="X1460" s="21">
        <f>143/56.77</f>
        <v>2.5189360577769948</v>
      </c>
      <c r="Y1460" s="3" t="s">
        <v>2276</v>
      </c>
      <c r="Z1460" s="3" t="s">
        <v>2276</v>
      </c>
      <c r="AA1460" s="3" t="s">
        <v>2276</v>
      </c>
      <c r="AB1460" s="3" t="s">
        <v>2276</v>
      </c>
      <c r="AC1460" s="4" t="s">
        <v>4302</v>
      </c>
      <c r="AD1460" s="4"/>
    </row>
    <row r="1461" spans="1:30" ht="29">
      <c r="A1461" s="11" t="s">
        <v>4065</v>
      </c>
      <c r="B1461" s="11" t="s">
        <v>4308</v>
      </c>
      <c r="C1461" s="3" t="s">
        <v>24</v>
      </c>
      <c r="D1461" s="3" t="s">
        <v>2276</v>
      </c>
      <c r="E1461" s="3" t="s">
        <v>2276</v>
      </c>
      <c r="F1461" s="4" t="s">
        <v>2276</v>
      </c>
      <c r="G1461" s="3" t="s">
        <v>74</v>
      </c>
      <c r="H1461" s="3" t="s">
        <v>523</v>
      </c>
      <c r="I1461" s="3"/>
      <c r="J1461" s="3"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3" t="s">
        <v>2276</v>
      </c>
      <c r="X1461" s="21" t="s">
        <v>2276</v>
      </c>
      <c r="Y1461" s="3" t="s">
        <v>2276</v>
      </c>
      <c r="Z1461" s="3" t="s">
        <v>2276</v>
      </c>
      <c r="AA1461" s="3" t="s">
        <v>2276</v>
      </c>
      <c r="AB1461" s="3" t="s">
        <v>2276</v>
      </c>
      <c r="AC1461" s="4" t="s">
        <v>4302</v>
      </c>
      <c r="AD1461" s="4" t="s">
        <v>4303</v>
      </c>
    </row>
    <row r="1462" spans="1:30" ht="29">
      <c r="A1462" s="11" t="s">
        <v>4065</v>
      </c>
      <c r="B1462" s="11" t="s">
        <v>4309</v>
      </c>
      <c r="C1462" s="3" t="s">
        <v>2656</v>
      </c>
      <c r="D1462" s="3" t="s">
        <v>2276</v>
      </c>
      <c r="E1462" s="3" t="s">
        <v>2276</v>
      </c>
      <c r="F1462" s="4" t="s">
        <v>2276</v>
      </c>
      <c r="G1462" s="3" t="s">
        <v>74</v>
      </c>
      <c r="H1462" s="3" t="s">
        <v>523</v>
      </c>
      <c r="I1462" s="3"/>
      <c r="J1462" s="3"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3" t="s">
        <v>2276</v>
      </c>
      <c r="X1462" s="21" t="s">
        <v>2276</v>
      </c>
      <c r="Y1462" s="3" t="s">
        <v>2276</v>
      </c>
      <c r="Z1462" s="3" t="s">
        <v>2276</v>
      </c>
      <c r="AA1462" s="3" t="s">
        <v>2276</v>
      </c>
      <c r="AB1462" s="3" t="s">
        <v>2276</v>
      </c>
      <c r="AC1462" s="4" t="s">
        <v>4302</v>
      </c>
      <c r="AD1462" s="4" t="s">
        <v>4303</v>
      </c>
    </row>
    <row r="1463" spans="1:30" ht="29">
      <c r="A1463" s="11" t="s">
        <v>4065</v>
      </c>
      <c r="B1463" s="11" t="s">
        <v>4310</v>
      </c>
      <c r="C1463" s="3" t="s">
        <v>2458</v>
      </c>
      <c r="D1463" s="3" t="s">
        <v>2276</v>
      </c>
      <c r="E1463" s="3" t="s">
        <v>2276</v>
      </c>
      <c r="F1463" s="4" t="s">
        <v>2276</v>
      </c>
      <c r="G1463" s="3" t="s">
        <v>74</v>
      </c>
      <c r="H1463" s="3" t="s">
        <v>523</v>
      </c>
      <c r="I1463" s="3"/>
      <c r="J1463" s="3"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3" t="s">
        <v>2276</v>
      </c>
      <c r="X1463" s="21" t="s">
        <v>2276</v>
      </c>
      <c r="Y1463" s="3" t="s">
        <v>2276</v>
      </c>
      <c r="Z1463" s="3" t="s">
        <v>2276</v>
      </c>
      <c r="AA1463" s="3" t="s">
        <v>2276</v>
      </c>
      <c r="AB1463" s="3" t="s">
        <v>2276</v>
      </c>
      <c r="AC1463" s="4" t="s">
        <v>4302</v>
      </c>
      <c r="AD1463" s="4" t="s">
        <v>4303</v>
      </c>
    </row>
    <row r="1464" spans="1:30" ht="37" customHeight="1">
      <c r="A1464" s="11" t="s">
        <v>4065</v>
      </c>
      <c r="B1464" s="11" t="s">
        <v>4311</v>
      </c>
      <c r="C1464" s="3" t="s">
        <v>31</v>
      </c>
      <c r="D1464" s="3" t="s">
        <v>30</v>
      </c>
      <c r="E1464" s="3" t="s">
        <v>2276</v>
      </c>
      <c r="F1464" s="4" t="s">
        <v>2276</v>
      </c>
      <c r="G1464" s="3" t="s">
        <v>74</v>
      </c>
      <c r="H1464" s="3" t="s">
        <v>523</v>
      </c>
      <c r="I1464" s="3"/>
      <c r="J1464" s="3"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3" t="s">
        <v>2276</v>
      </c>
      <c r="X1464" s="21" t="s">
        <v>2276</v>
      </c>
      <c r="Y1464" s="3" t="s">
        <v>2276</v>
      </c>
      <c r="Z1464" s="3" t="s">
        <v>2276</v>
      </c>
      <c r="AA1464" s="3" t="s">
        <v>2276</v>
      </c>
      <c r="AB1464" s="3" t="s">
        <v>2276</v>
      </c>
      <c r="AC1464" s="4" t="s">
        <v>4302</v>
      </c>
      <c r="AD1464" s="4" t="s">
        <v>4303</v>
      </c>
    </row>
    <row r="1465" spans="1:30" ht="37" customHeight="1">
      <c r="A1465" s="11" t="s">
        <v>4065</v>
      </c>
      <c r="B1465" s="11" t="s">
        <v>5045</v>
      </c>
      <c r="C1465" s="3" t="s">
        <v>1105</v>
      </c>
      <c r="D1465" s="3" t="s">
        <v>1105</v>
      </c>
      <c r="E1465" s="3" t="s">
        <v>2276</v>
      </c>
      <c r="F1465" s="4" t="s">
        <v>2276</v>
      </c>
      <c r="G1465" s="3" t="s">
        <v>74</v>
      </c>
      <c r="H1465" s="3" t="s">
        <v>523</v>
      </c>
      <c r="I1465" s="3"/>
      <c r="J1465" s="3" t="s">
        <v>2276</v>
      </c>
      <c r="K1465" s="3" t="s">
        <v>2276</v>
      </c>
      <c r="L1465" s="3" t="s">
        <v>2276</v>
      </c>
      <c r="M1465" s="3" t="s">
        <v>2276</v>
      </c>
      <c r="N1465" s="3" t="s">
        <v>2276</v>
      </c>
      <c r="O1465" s="3" t="s">
        <v>2276</v>
      </c>
      <c r="P1465" s="21">
        <f>104/(208)</f>
        <v>0.5</v>
      </c>
      <c r="Q1465" s="3" t="s">
        <v>2276</v>
      </c>
      <c r="R1465" s="3" t="s">
        <v>2276</v>
      </c>
      <c r="S1465" s="3" t="s">
        <v>2276</v>
      </c>
      <c r="T1465" s="3" t="s">
        <v>2276</v>
      </c>
      <c r="U1465" s="3" t="s">
        <v>2276</v>
      </c>
      <c r="V1465" s="3">
        <v>0.83</v>
      </c>
      <c r="W1465" s="3" t="s">
        <v>2276</v>
      </c>
      <c r="X1465" s="21">
        <f>104/89</f>
        <v>1.1685393258426966</v>
      </c>
      <c r="Y1465" s="3" t="s">
        <v>2276</v>
      </c>
      <c r="Z1465" s="3" t="s">
        <v>2276</v>
      </c>
      <c r="AA1465" s="3" t="s">
        <v>2276</v>
      </c>
      <c r="AB1465" s="3" t="s">
        <v>2276</v>
      </c>
      <c r="AC1465" s="4" t="s">
        <v>4302</v>
      </c>
      <c r="AD1465" s="4"/>
    </row>
    <row r="1466" spans="1:30" ht="33" customHeight="1">
      <c r="A1466" s="11" t="s">
        <v>4360</v>
      </c>
      <c r="B1466" s="11" t="s">
        <v>4363</v>
      </c>
      <c r="C1466" s="3" t="s">
        <v>24</v>
      </c>
      <c r="D1466" s="3" t="s">
        <v>27</v>
      </c>
      <c r="E1466" s="3" t="s">
        <v>130</v>
      </c>
      <c r="F1466" s="4" t="s">
        <v>2276</v>
      </c>
      <c r="G1466" s="3" t="s">
        <v>2276</v>
      </c>
      <c r="H1466" s="3" t="s">
        <v>523</v>
      </c>
      <c r="I1466" s="3"/>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3"/>
    </row>
    <row r="1467" spans="1:30" ht="29" customHeight="1">
      <c r="A1467" s="11" t="s">
        <v>4360</v>
      </c>
      <c r="B1467" s="11" t="s">
        <v>4364</v>
      </c>
      <c r="C1467" s="3" t="s">
        <v>24</v>
      </c>
      <c r="D1467" s="3" t="s">
        <v>25</v>
      </c>
      <c r="E1467" s="3" t="s">
        <v>5005</v>
      </c>
      <c r="F1467" s="4" t="s">
        <v>2276</v>
      </c>
      <c r="G1467" s="3" t="s">
        <v>2276</v>
      </c>
      <c r="H1467" s="3" t="s">
        <v>523</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3"/>
      <c r="AD1467" s="3"/>
    </row>
    <row r="1468" spans="1:30" ht="36.5" customHeight="1">
      <c r="A1468" s="11" t="s">
        <v>4360</v>
      </c>
      <c r="B1468" s="11" t="s">
        <v>4365</v>
      </c>
      <c r="C1468" s="3" t="s">
        <v>24</v>
      </c>
      <c r="D1468" s="3" t="s">
        <v>25</v>
      </c>
      <c r="E1468" s="3" t="s">
        <v>45</v>
      </c>
      <c r="F1468" s="4" t="s">
        <v>2276</v>
      </c>
      <c r="G1468" s="3" t="s">
        <v>2276</v>
      </c>
      <c r="H1468" s="3" t="s">
        <v>523</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3"/>
      <c r="AD1468" s="3"/>
    </row>
    <row r="1469" spans="1:30" ht="34.5" customHeight="1">
      <c r="A1469" s="11" t="s">
        <v>4362</v>
      </c>
      <c r="B1469" s="11" t="s">
        <v>4366</v>
      </c>
      <c r="C1469" s="3" t="s">
        <v>24</v>
      </c>
      <c r="D1469" s="3" t="s">
        <v>1242</v>
      </c>
      <c r="E1469" s="3" t="s">
        <v>137</v>
      </c>
      <c r="F1469" s="4" t="s">
        <v>74</v>
      </c>
      <c r="G1469" s="3" t="s">
        <v>2276</v>
      </c>
      <c r="H1469" s="3" t="s">
        <v>524</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3" t="s">
        <v>4375</v>
      </c>
      <c r="AD1469" s="3"/>
    </row>
    <row r="1470" spans="1:30" ht="34.5" customHeight="1">
      <c r="A1470" s="11" t="s">
        <v>4362</v>
      </c>
      <c r="B1470" s="11" t="s">
        <v>4367</v>
      </c>
      <c r="C1470" s="3" t="s">
        <v>24</v>
      </c>
      <c r="D1470" s="3" t="s">
        <v>25</v>
      </c>
      <c r="E1470" s="3" t="s">
        <v>45</v>
      </c>
      <c r="F1470" s="4" t="s">
        <v>74</v>
      </c>
      <c r="G1470" s="3" t="s">
        <v>2276</v>
      </c>
      <c r="H1470" s="3" t="s">
        <v>523</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3" t="s">
        <v>4370</v>
      </c>
      <c r="AD1470" s="3"/>
    </row>
    <row r="1471" spans="1:30" ht="34.5" customHeight="1">
      <c r="A1471" s="11" t="s">
        <v>4362</v>
      </c>
      <c r="B1471" s="11" t="s">
        <v>4368</v>
      </c>
      <c r="C1471" s="3" t="s">
        <v>24</v>
      </c>
      <c r="D1471" s="3" t="s">
        <v>25</v>
      </c>
      <c r="E1471" s="3" t="s">
        <v>45</v>
      </c>
      <c r="F1471" s="4" t="s">
        <v>55</v>
      </c>
      <c r="G1471" s="3" t="s">
        <v>2276</v>
      </c>
      <c r="H1471" s="3" t="s">
        <v>523</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3"/>
      <c r="AD1471" s="3"/>
    </row>
    <row r="1472" spans="1:30" ht="40" customHeight="1">
      <c r="A1472" s="11" t="s">
        <v>4362</v>
      </c>
      <c r="B1472" s="11" t="s">
        <v>4369</v>
      </c>
      <c r="C1472" s="3" t="s">
        <v>24</v>
      </c>
      <c r="D1472" s="3" t="s">
        <v>2346</v>
      </c>
      <c r="E1472" s="3" t="s">
        <v>45</v>
      </c>
      <c r="F1472" s="4" t="s">
        <v>2276</v>
      </c>
      <c r="G1472" s="3" t="s">
        <v>2276</v>
      </c>
      <c r="H1472" s="3" t="s">
        <v>523</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3"/>
      <c r="AD1472" s="3"/>
    </row>
    <row r="1473" spans="1:30" ht="39" customHeight="1">
      <c r="A1473" s="11" t="s">
        <v>4362</v>
      </c>
      <c r="B1473" s="11" t="s">
        <v>4371</v>
      </c>
      <c r="C1473" s="3" t="s">
        <v>2656</v>
      </c>
      <c r="D1473" s="3" t="s">
        <v>2276</v>
      </c>
      <c r="E1473" s="3" t="s">
        <v>2276</v>
      </c>
      <c r="F1473" s="4" t="s">
        <v>2276</v>
      </c>
      <c r="G1473" s="3" t="s">
        <v>2276</v>
      </c>
      <c r="H1473" s="3" t="s">
        <v>523</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3"/>
      <c r="AD1473" s="3"/>
    </row>
    <row r="1474" spans="1:30" ht="64.5" customHeight="1">
      <c r="A1474" s="11" t="s">
        <v>4362</v>
      </c>
      <c r="B1474" s="11" t="s">
        <v>4372</v>
      </c>
      <c r="C1474" s="3" t="s">
        <v>2658</v>
      </c>
      <c r="D1474" s="3" t="s">
        <v>2276</v>
      </c>
      <c r="E1474" s="3" t="s">
        <v>2276</v>
      </c>
      <c r="F1474" s="4" t="s">
        <v>2276</v>
      </c>
      <c r="G1474" s="3" t="s">
        <v>74</v>
      </c>
      <c r="H1474" s="3" t="s">
        <v>523</v>
      </c>
      <c r="I1474" s="3"/>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3"/>
      <c r="AD1474" s="3"/>
    </row>
    <row r="1475" spans="1:30" ht="67" customHeight="1">
      <c r="A1475" s="11" t="s">
        <v>4362</v>
      </c>
      <c r="B1475" s="11" t="s">
        <v>4376</v>
      </c>
      <c r="C1475" s="3" t="s">
        <v>2458</v>
      </c>
      <c r="D1475" s="3" t="s">
        <v>25</v>
      </c>
      <c r="E1475" s="3" t="s">
        <v>84</v>
      </c>
      <c r="F1475" s="4" t="s">
        <v>2276</v>
      </c>
      <c r="G1475" s="3" t="s">
        <v>74</v>
      </c>
      <c r="H1475" s="3" t="s">
        <v>523</v>
      </c>
      <c r="I1475" s="3"/>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3"/>
    </row>
    <row r="1476" spans="1:30" ht="49" customHeight="1">
      <c r="A1476" s="11" t="s">
        <v>4387</v>
      </c>
      <c r="B1476" s="3" t="s">
        <v>4405</v>
      </c>
      <c r="C1476" s="3" t="s">
        <v>24</v>
      </c>
      <c r="D1476" s="3" t="s">
        <v>27</v>
      </c>
      <c r="E1476" s="3" t="s">
        <v>130</v>
      </c>
      <c r="F1476" s="4" t="s">
        <v>2276</v>
      </c>
      <c r="G1476" s="3" t="s">
        <v>74</v>
      </c>
      <c r="H1476" s="3" t="s">
        <v>523</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3" t="s">
        <v>399</v>
      </c>
      <c r="AA1476" s="3" t="s">
        <v>38</v>
      </c>
      <c r="AB1476" s="3" t="s">
        <v>2655</v>
      </c>
      <c r="AC1476" s="3"/>
      <c r="AD1476" s="4" t="s">
        <v>4407</v>
      </c>
    </row>
    <row r="1477" spans="1:30" ht="45.5" customHeight="1">
      <c r="A1477" s="11" t="s">
        <v>4387</v>
      </c>
      <c r="B1477" s="3" t="s">
        <v>4413</v>
      </c>
      <c r="C1477" s="3" t="s">
        <v>24</v>
      </c>
      <c r="D1477" s="3" t="s">
        <v>27</v>
      </c>
      <c r="E1477" s="3" t="s">
        <v>130</v>
      </c>
      <c r="F1477" s="4" t="s">
        <v>2276</v>
      </c>
      <c r="G1477" s="4" t="s">
        <v>161</v>
      </c>
      <c r="H1477" s="3" t="s">
        <v>523</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3" t="s">
        <v>399</v>
      </c>
      <c r="AA1477" s="3" t="s">
        <v>38</v>
      </c>
      <c r="AB1477" s="3" t="s">
        <v>2655</v>
      </c>
      <c r="AC1477" s="3"/>
      <c r="AD1477" s="4" t="s">
        <v>4407</v>
      </c>
    </row>
    <row r="1478" spans="1:30" ht="49.5" customHeight="1">
      <c r="A1478" s="11" t="s">
        <v>4389</v>
      </c>
      <c r="B1478" s="3" t="s">
        <v>4406</v>
      </c>
      <c r="C1478" s="3" t="s">
        <v>24</v>
      </c>
      <c r="D1478" s="3" t="s">
        <v>2231</v>
      </c>
      <c r="E1478" s="4" t="s">
        <v>397</v>
      </c>
      <c r="F1478" s="4" t="s">
        <v>2276</v>
      </c>
      <c r="G1478" s="3" t="s">
        <v>74</v>
      </c>
      <c r="H1478" s="3" t="s">
        <v>523</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3" t="s">
        <v>4414</v>
      </c>
      <c r="C1479" s="3" t="s">
        <v>24</v>
      </c>
      <c r="D1479" s="3" t="s">
        <v>2231</v>
      </c>
      <c r="E1479" s="4" t="s">
        <v>397</v>
      </c>
      <c r="F1479" s="4" t="s">
        <v>2276</v>
      </c>
      <c r="G1479" s="4" t="s">
        <v>2662</v>
      </c>
      <c r="H1479" s="3" t="s">
        <v>523</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3" t="s">
        <v>4416</v>
      </c>
      <c r="C1480" s="3" t="s">
        <v>24</v>
      </c>
      <c r="D1480" s="3" t="s">
        <v>2231</v>
      </c>
      <c r="E1480" s="4" t="s">
        <v>397</v>
      </c>
      <c r="F1480" s="4" t="s">
        <v>2276</v>
      </c>
      <c r="G1480" s="3" t="s">
        <v>74</v>
      </c>
      <c r="H1480" s="3" t="s">
        <v>523</v>
      </c>
      <c r="I1480" s="3"/>
      <c r="J1480" s="3" t="s">
        <v>2276</v>
      </c>
      <c r="K1480" s="3" t="s">
        <v>2276</v>
      </c>
      <c r="L1480" s="3" t="s">
        <v>2276</v>
      </c>
      <c r="M1480" s="3" t="s">
        <v>2276</v>
      </c>
      <c r="N1480" s="3" t="s">
        <v>2276</v>
      </c>
      <c r="O1480" s="3" t="s">
        <v>2276</v>
      </c>
      <c r="P1480" s="3" t="s">
        <v>2276</v>
      </c>
      <c r="Q1480" s="3" t="s">
        <v>2276</v>
      </c>
      <c r="R1480" s="3" t="s">
        <v>2276</v>
      </c>
      <c r="S1480" s="3" t="s">
        <v>2276</v>
      </c>
      <c r="T1480" s="3" t="s">
        <v>2276</v>
      </c>
      <c r="U1480" s="3" t="s">
        <v>2276</v>
      </c>
      <c r="V1480" s="3" t="s">
        <v>2276</v>
      </c>
      <c r="W1480" s="3" t="s">
        <v>2276</v>
      </c>
      <c r="X1480" s="3" t="s">
        <v>2276</v>
      </c>
      <c r="Y1480" s="3" t="s">
        <v>2276</v>
      </c>
      <c r="Z1480" s="22" t="s">
        <v>2276</v>
      </c>
      <c r="AA1480" s="22" t="s">
        <v>2276</v>
      </c>
      <c r="AB1480" s="22" t="s">
        <v>2276</v>
      </c>
      <c r="AC1480" s="4" t="s">
        <v>4415</v>
      </c>
      <c r="AD1480" s="4" t="s">
        <v>4407</v>
      </c>
    </row>
    <row r="1481" spans="1:30" ht="50.5" customHeight="1">
      <c r="A1481" s="11" t="s">
        <v>4390</v>
      </c>
      <c r="B1481" s="3" t="s">
        <v>4417</v>
      </c>
      <c r="C1481" s="3" t="s">
        <v>24</v>
      </c>
      <c r="D1481" s="3" t="s">
        <v>2231</v>
      </c>
      <c r="E1481" s="4" t="s">
        <v>397</v>
      </c>
      <c r="F1481" s="4" t="s">
        <v>2276</v>
      </c>
      <c r="G1481" s="4" t="s">
        <v>2662</v>
      </c>
      <c r="H1481" s="3" t="s">
        <v>523</v>
      </c>
      <c r="I1481" s="3"/>
      <c r="J1481" s="3" t="s">
        <v>2276</v>
      </c>
      <c r="K1481" s="3" t="s">
        <v>2276</v>
      </c>
      <c r="L1481" s="3" t="s">
        <v>2276</v>
      </c>
      <c r="M1481" s="3" t="s">
        <v>2276</v>
      </c>
      <c r="N1481" s="3" t="s">
        <v>2276</v>
      </c>
      <c r="O1481" s="3" t="s">
        <v>2276</v>
      </c>
      <c r="P1481" s="3" t="s">
        <v>2276</v>
      </c>
      <c r="Q1481" s="3" t="s">
        <v>2276</v>
      </c>
      <c r="R1481" s="3" t="s">
        <v>2276</v>
      </c>
      <c r="S1481" s="3" t="s">
        <v>2276</v>
      </c>
      <c r="T1481" s="3" t="s">
        <v>2276</v>
      </c>
      <c r="U1481" s="3" t="s">
        <v>2276</v>
      </c>
      <c r="V1481" s="3" t="s">
        <v>2276</v>
      </c>
      <c r="W1481" s="3" t="s">
        <v>2276</v>
      </c>
      <c r="X1481" s="3" t="s">
        <v>2276</v>
      </c>
      <c r="Y1481" s="3" t="s">
        <v>2276</v>
      </c>
      <c r="Z1481" s="22" t="s">
        <v>2276</v>
      </c>
      <c r="AA1481" s="22" t="s">
        <v>2276</v>
      </c>
      <c r="AB1481" s="22" t="s">
        <v>2276</v>
      </c>
      <c r="AC1481" s="4" t="s">
        <v>4415</v>
      </c>
      <c r="AD1481" s="4" t="s">
        <v>4407</v>
      </c>
    </row>
    <row r="1482" spans="1:30" ht="43.5" customHeight="1">
      <c r="A1482" s="11" t="s">
        <v>4391</v>
      </c>
      <c r="B1482" s="3" t="s">
        <v>4395</v>
      </c>
      <c r="C1482" s="3" t="s">
        <v>24</v>
      </c>
      <c r="D1482" s="3" t="s">
        <v>25</v>
      </c>
      <c r="E1482" s="3" t="s">
        <v>45</v>
      </c>
      <c r="F1482" s="4" t="s">
        <v>2662</v>
      </c>
      <c r="G1482" s="3" t="s">
        <v>2276</v>
      </c>
      <c r="H1482" s="3" t="s">
        <v>523</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2276</v>
      </c>
      <c r="Y1482" s="3" t="s">
        <v>2276</v>
      </c>
      <c r="Z1482" s="3" t="s">
        <v>35</v>
      </c>
      <c r="AA1482" s="3" t="s">
        <v>189</v>
      </c>
      <c r="AB1482" s="3" t="s">
        <v>64</v>
      </c>
      <c r="AC1482" s="4" t="s">
        <v>4404</v>
      </c>
      <c r="AD1482" s="4" t="s">
        <v>4407</v>
      </c>
    </row>
    <row r="1483" spans="1:30" ht="48" customHeight="1">
      <c r="A1483" s="11" t="s">
        <v>4391</v>
      </c>
      <c r="B1483" s="3" t="s">
        <v>4396</v>
      </c>
      <c r="C1483" s="3" t="s">
        <v>24</v>
      </c>
      <c r="D1483" s="3" t="s">
        <v>27</v>
      </c>
      <c r="E1483" s="3" t="s">
        <v>130</v>
      </c>
      <c r="F1483" s="4" t="s">
        <v>161</v>
      </c>
      <c r="G1483" s="3" t="s">
        <v>2276</v>
      </c>
      <c r="H1483" s="3" t="s">
        <v>523</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2276</v>
      </c>
      <c r="X1483" s="3" t="s">
        <v>2276</v>
      </c>
      <c r="Y1483" s="3" t="s">
        <v>2276</v>
      </c>
      <c r="Z1483" s="3" t="s">
        <v>189</v>
      </c>
      <c r="AA1483" s="3" t="s">
        <v>86</v>
      </c>
      <c r="AB1483" s="3" t="s">
        <v>76</v>
      </c>
      <c r="AC1483" s="3"/>
      <c r="AD1483" s="4" t="s">
        <v>4407</v>
      </c>
    </row>
    <row r="1484" spans="1:30" ht="52.5" customHeight="1">
      <c r="A1484" s="11" t="s">
        <v>4391</v>
      </c>
      <c r="B1484" s="3" t="s">
        <v>4400</v>
      </c>
      <c r="C1484" s="3" t="s">
        <v>24</v>
      </c>
      <c r="D1484" s="3" t="s">
        <v>2231</v>
      </c>
      <c r="E1484" s="4" t="s">
        <v>396</v>
      </c>
      <c r="F1484" s="4" t="s">
        <v>74</v>
      </c>
      <c r="G1484" s="3" t="s">
        <v>2276</v>
      </c>
      <c r="H1484" s="3" t="s">
        <v>523</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2276</v>
      </c>
      <c r="Y1484" s="3" t="s">
        <v>2276</v>
      </c>
      <c r="Z1484" s="3" t="s">
        <v>189</v>
      </c>
      <c r="AA1484" s="3" t="s">
        <v>86</v>
      </c>
      <c r="AB1484" s="3" t="s">
        <v>76</v>
      </c>
      <c r="AC1484" s="4" t="s">
        <v>4404</v>
      </c>
      <c r="AD1484" s="4" t="s">
        <v>4407</v>
      </c>
    </row>
    <row r="1485" spans="1:30" ht="57" customHeight="1">
      <c r="A1485" s="11" t="s">
        <v>4392</v>
      </c>
      <c r="B1485" s="3" t="s">
        <v>4401</v>
      </c>
      <c r="C1485" s="3" t="s">
        <v>24</v>
      </c>
      <c r="D1485" s="3" t="s">
        <v>25</v>
      </c>
      <c r="E1485" s="3" t="s">
        <v>45</v>
      </c>
      <c r="F1485" s="4" t="s">
        <v>2662</v>
      </c>
      <c r="G1485" s="3" t="s">
        <v>2276</v>
      </c>
      <c r="H1485" s="3" t="s">
        <v>523</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2276</v>
      </c>
      <c r="Y1485" s="3" t="s">
        <v>2276</v>
      </c>
      <c r="Z1485" s="3" t="s">
        <v>35</v>
      </c>
      <c r="AA1485" s="3" t="s">
        <v>188</v>
      </c>
      <c r="AB1485" s="3" t="s">
        <v>64</v>
      </c>
      <c r="AC1485" s="4" t="s">
        <v>4404</v>
      </c>
      <c r="AD1485" s="4" t="s">
        <v>4407</v>
      </c>
    </row>
    <row r="1486" spans="1:30" ht="53.5" customHeight="1">
      <c r="A1486" s="11" t="s">
        <v>4392</v>
      </c>
      <c r="B1486" s="3" t="s">
        <v>4402</v>
      </c>
      <c r="C1486" s="3" t="s">
        <v>24</v>
      </c>
      <c r="D1486" s="3" t="s">
        <v>27</v>
      </c>
      <c r="E1486" s="3" t="s">
        <v>130</v>
      </c>
      <c r="F1486" s="4" t="s">
        <v>161</v>
      </c>
      <c r="G1486" s="3" t="s">
        <v>2276</v>
      </c>
      <c r="H1486" s="3" t="s">
        <v>523</v>
      </c>
      <c r="I1486" s="3"/>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2276</v>
      </c>
      <c r="X1486" s="3" t="s">
        <v>2276</v>
      </c>
      <c r="Y1486" s="3" t="s">
        <v>2276</v>
      </c>
      <c r="Z1486" s="3" t="s">
        <v>189</v>
      </c>
      <c r="AA1486" s="3" t="s">
        <v>38</v>
      </c>
      <c r="AB1486" s="3" t="s">
        <v>64</v>
      </c>
      <c r="AC1486" s="3"/>
      <c r="AD1486" s="4" t="s">
        <v>4407</v>
      </c>
    </row>
    <row r="1487" spans="1:30" ht="47" customHeight="1">
      <c r="A1487" s="11" t="s">
        <v>4393</v>
      </c>
      <c r="B1487" s="3" t="s">
        <v>4403</v>
      </c>
      <c r="C1487" s="3" t="s">
        <v>24</v>
      </c>
      <c r="D1487" s="3" t="s">
        <v>25</v>
      </c>
      <c r="E1487" s="3" t="s">
        <v>5005</v>
      </c>
      <c r="F1487" s="4" t="s">
        <v>2662</v>
      </c>
      <c r="G1487" s="3" t="s">
        <v>2276</v>
      </c>
      <c r="H1487" s="3" t="s">
        <v>523</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2276</v>
      </c>
      <c r="Y1487" s="3" t="s">
        <v>2276</v>
      </c>
      <c r="Z1487" s="3" t="s">
        <v>35</v>
      </c>
      <c r="AA1487" s="3" t="s">
        <v>188</v>
      </c>
      <c r="AB1487" s="3" t="s">
        <v>64</v>
      </c>
      <c r="AC1487" s="4" t="s">
        <v>4404</v>
      </c>
      <c r="AD1487" s="4" t="s">
        <v>4407</v>
      </c>
    </row>
    <row r="1488" spans="1:30" ht="44.5" customHeight="1">
      <c r="A1488" s="11" t="s">
        <v>4393</v>
      </c>
      <c r="B1488" s="3" t="s">
        <v>4409</v>
      </c>
      <c r="C1488" s="3" t="s">
        <v>24</v>
      </c>
      <c r="D1488" s="3" t="s">
        <v>27</v>
      </c>
      <c r="E1488" s="3" t="s">
        <v>130</v>
      </c>
      <c r="F1488" s="4" t="s">
        <v>161</v>
      </c>
      <c r="G1488" s="3" t="s">
        <v>2276</v>
      </c>
      <c r="H1488" s="3" t="s">
        <v>523</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2276</v>
      </c>
      <c r="X1488" s="3" t="s">
        <v>2276</v>
      </c>
      <c r="Y1488" s="3" t="s">
        <v>2276</v>
      </c>
      <c r="Z1488" s="3" t="s">
        <v>189</v>
      </c>
      <c r="AA1488" s="3" t="s">
        <v>38</v>
      </c>
      <c r="AB1488" s="3" t="s">
        <v>64</v>
      </c>
      <c r="AC1488" s="3"/>
      <c r="AD1488" s="4" t="s">
        <v>4407</v>
      </c>
    </row>
    <row r="1489" spans="1:30" ht="56.5" customHeight="1">
      <c r="A1489" s="11" t="s">
        <v>4418</v>
      </c>
      <c r="B1489" s="11" t="s">
        <v>4428</v>
      </c>
      <c r="C1489" s="3" t="s">
        <v>24</v>
      </c>
      <c r="D1489" s="3" t="s">
        <v>1105</v>
      </c>
      <c r="E1489" s="3" t="s">
        <v>5005</v>
      </c>
      <c r="F1489" s="4" t="s">
        <v>2662</v>
      </c>
      <c r="G1489" s="3" t="s">
        <v>2276</v>
      </c>
      <c r="H1489" s="3" t="s">
        <v>524</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3" t="s">
        <v>2276</v>
      </c>
      <c r="Z1489" s="3" t="s">
        <v>2276</v>
      </c>
      <c r="AA1489" s="3" t="s">
        <v>2276</v>
      </c>
      <c r="AB1489" s="3" t="s">
        <v>2276</v>
      </c>
      <c r="AC1489" s="4" t="s">
        <v>4430</v>
      </c>
      <c r="AD1489" s="3"/>
    </row>
    <row r="1490" spans="1:30" ht="57" customHeight="1">
      <c r="A1490" s="11" t="s">
        <v>4421</v>
      </c>
      <c r="B1490" s="11" t="s">
        <v>4429</v>
      </c>
      <c r="C1490" s="3" t="s">
        <v>24</v>
      </c>
      <c r="D1490" s="3" t="s">
        <v>1105</v>
      </c>
      <c r="E1490" s="3" t="s">
        <v>1105</v>
      </c>
      <c r="F1490" s="4" t="s">
        <v>74</v>
      </c>
      <c r="G1490" s="3" t="s">
        <v>2276</v>
      </c>
      <c r="H1490" s="3" t="s">
        <v>524</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3" t="s">
        <v>2276</v>
      </c>
      <c r="Z1490" s="3" t="s">
        <v>2276</v>
      </c>
      <c r="AA1490" s="3" t="s">
        <v>2276</v>
      </c>
      <c r="AB1490" s="3" t="s">
        <v>2276</v>
      </c>
      <c r="AC1490" s="4" t="s">
        <v>4431</v>
      </c>
      <c r="AD1490" s="3"/>
    </row>
    <row r="1491" spans="1:30" ht="50.5" customHeight="1">
      <c r="A1491" s="11" t="s">
        <v>4421</v>
      </c>
      <c r="B1491" s="11" t="s">
        <v>4433</v>
      </c>
      <c r="C1491" s="3" t="s">
        <v>24</v>
      </c>
      <c r="D1491" s="3" t="s">
        <v>1242</v>
      </c>
      <c r="E1491" s="3" t="s">
        <v>137</v>
      </c>
      <c r="F1491" s="4" t="s">
        <v>74</v>
      </c>
      <c r="G1491" s="3" t="s">
        <v>2276</v>
      </c>
      <c r="H1491" s="3" t="s">
        <v>524</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3" t="s">
        <v>2276</v>
      </c>
      <c r="Z1491" s="3" t="s">
        <v>2276</v>
      </c>
      <c r="AA1491" s="3" t="s">
        <v>2276</v>
      </c>
      <c r="AB1491" s="3" t="s">
        <v>2276</v>
      </c>
      <c r="AC1491" s="19" t="s">
        <v>4434</v>
      </c>
      <c r="AD1491" s="3"/>
    </row>
    <row r="1492" spans="1:30" ht="40" customHeight="1">
      <c r="A1492" s="11" t="s">
        <v>4436</v>
      </c>
      <c r="B1492" s="11" t="s">
        <v>4438</v>
      </c>
      <c r="C1492" s="3" t="s">
        <v>24</v>
      </c>
      <c r="D1492" s="3" t="s">
        <v>25</v>
      </c>
      <c r="E1492" s="3" t="s">
        <v>45</v>
      </c>
      <c r="F1492" s="4" t="s">
        <v>74</v>
      </c>
      <c r="G1492" s="3" t="s">
        <v>2276</v>
      </c>
      <c r="H1492" s="3" t="s">
        <v>524</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3" t="s">
        <v>2276</v>
      </c>
      <c r="Z1492" s="3" t="s">
        <v>2276</v>
      </c>
      <c r="AA1492" s="3" t="s">
        <v>2276</v>
      </c>
      <c r="AB1492" s="3" t="s">
        <v>2276</v>
      </c>
      <c r="AC1492" s="4" t="s">
        <v>4445</v>
      </c>
      <c r="AD1492" s="3"/>
    </row>
    <row r="1493" spans="1:30" ht="40" customHeight="1">
      <c r="A1493" s="11" t="s">
        <v>4440</v>
      </c>
      <c r="B1493" s="11" t="s">
        <v>4441</v>
      </c>
      <c r="C1493" s="3" t="s">
        <v>24</v>
      </c>
      <c r="D1493" s="3" t="s">
        <v>25</v>
      </c>
      <c r="E1493" s="3" t="s">
        <v>5005</v>
      </c>
      <c r="F1493" s="4" t="s">
        <v>74</v>
      </c>
      <c r="G1493" s="3" t="s">
        <v>2276</v>
      </c>
      <c r="H1493" s="3" t="s">
        <v>524</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3" t="s">
        <v>2276</v>
      </c>
      <c r="Z1493" s="3" t="s">
        <v>2276</v>
      </c>
      <c r="AA1493" s="3" t="s">
        <v>2276</v>
      </c>
      <c r="AB1493" s="3" t="s">
        <v>2276</v>
      </c>
      <c r="AC1493" s="4" t="s">
        <v>4445</v>
      </c>
      <c r="AD1493" s="3"/>
    </row>
    <row r="1494" spans="1:30" ht="40" customHeight="1">
      <c r="A1494" s="11" t="s">
        <v>4436</v>
      </c>
      <c r="B1494" s="11" t="s">
        <v>4439</v>
      </c>
      <c r="C1494" s="3" t="s">
        <v>24</v>
      </c>
      <c r="D1494" s="3" t="s">
        <v>25</v>
      </c>
      <c r="E1494" s="3" t="s">
        <v>45</v>
      </c>
      <c r="F1494" s="4" t="s">
        <v>2662</v>
      </c>
      <c r="G1494" s="3" t="s">
        <v>2276</v>
      </c>
      <c r="H1494" s="3" t="s">
        <v>524</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3" t="s">
        <v>2276</v>
      </c>
      <c r="Z1494" s="3" t="s">
        <v>2276</v>
      </c>
      <c r="AA1494" s="3" t="s">
        <v>2276</v>
      </c>
      <c r="AB1494" s="3" t="s">
        <v>2276</v>
      </c>
      <c r="AC1494" s="4" t="s">
        <v>4445</v>
      </c>
      <c r="AD1494" s="3"/>
    </row>
    <row r="1495" spans="1:30" ht="40" customHeight="1">
      <c r="A1495" s="11" t="s">
        <v>4440</v>
      </c>
      <c r="B1495" s="11" t="s">
        <v>4442</v>
      </c>
      <c r="C1495" s="3" t="s">
        <v>24</v>
      </c>
      <c r="D1495" s="3" t="s">
        <v>25</v>
      </c>
      <c r="E1495" s="3" t="s">
        <v>5005</v>
      </c>
      <c r="F1495" s="4" t="s">
        <v>2662</v>
      </c>
      <c r="G1495" s="3" t="s">
        <v>2276</v>
      </c>
      <c r="H1495" s="3" t="s">
        <v>524</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3" t="s">
        <v>2276</v>
      </c>
      <c r="Z1495" s="3" t="s">
        <v>2276</v>
      </c>
      <c r="AA1495" s="3" t="s">
        <v>2276</v>
      </c>
      <c r="AB1495" s="3" t="s">
        <v>2276</v>
      </c>
      <c r="AC1495" s="4" t="s">
        <v>4445</v>
      </c>
      <c r="AD1495" s="3"/>
    </row>
    <row r="1496" spans="1:30" ht="54.5" customHeight="1">
      <c r="A1496" s="11" t="s">
        <v>4436</v>
      </c>
      <c r="B1496" s="11" t="s">
        <v>4443</v>
      </c>
      <c r="C1496" s="3" t="s">
        <v>1105</v>
      </c>
      <c r="D1496" s="3" t="s">
        <v>1105</v>
      </c>
      <c r="E1496" s="3" t="s">
        <v>1105</v>
      </c>
      <c r="F1496" s="4" t="s">
        <v>2276</v>
      </c>
      <c r="G1496" s="4" t="s">
        <v>2662</v>
      </c>
      <c r="H1496" s="3" t="s">
        <v>524</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3" t="s">
        <v>2276</v>
      </c>
      <c r="Z1496" s="3" t="s">
        <v>2276</v>
      </c>
      <c r="AA1496" s="3" t="s">
        <v>2276</v>
      </c>
      <c r="AB1496" s="3" t="s">
        <v>2276</v>
      </c>
      <c r="AC1496" s="4" t="s">
        <v>4446</v>
      </c>
      <c r="AD1496" s="3"/>
    </row>
    <row r="1497" spans="1:30" ht="54.5" customHeight="1">
      <c r="A1497" s="11" t="s">
        <v>4440</v>
      </c>
      <c r="B1497" s="11" t="s">
        <v>4444</v>
      </c>
      <c r="C1497" s="3" t="s">
        <v>1105</v>
      </c>
      <c r="D1497" s="3" t="s">
        <v>1105</v>
      </c>
      <c r="E1497" s="3" t="s">
        <v>1105</v>
      </c>
      <c r="F1497" s="4" t="s">
        <v>2276</v>
      </c>
      <c r="G1497" s="4" t="s">
        <v>2662</v>
      </c>
      <c r="H1497" s="3" t="s">
        <v>524</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3" t="s">
        <v>2276</v>
      </c>
      <c r="Z1497" s="3" t="s">
        <v>2276</v>
      </c>
      <c r="AA1497" s="3" t="s">
        <v>2276</v>
      </c>
      <c r="AB1497" s="3" t="s">
        <v>2276</v>
      </c>
      <c r="AC1497" s="4" t="s">
        <v>4446</v>
      </c>
      <c r="AD1497" s="3"/>
    </row>
    <row r="1498" spans="1:30" ht="40.5" customHeight="1">
      <c r="A1498" s="11" t="s">
        <v>4448</v>
      </c>
      <c r="B1498" s="11" t="s">
        <v>4457</v>
      </c>
      <c r="C1498" s="3" t="s">
        <v>24</v>
      </c>
      <c r="D1498" s="3" t="s">
        <v>27</v>
      </c>
      <c r="E1498" s="3" t="s">
        <v>130</v>
      </c>
      <c r="F1498" s="4" t="s">
        <v>161</v>
      </c>
      <c r="G1498" s="3" t="s">
        <v>2276</v>
      </c>
      <c r="H1498" s="3" t="s">
        <v>523</v>
      </c>
      <c r="I1498" s="3"/>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3" t="s">
        <v>2276</v>
      </c>
      <c r="AC1498" s="3"/>
      <c r="AD1498" s="4" t="s">
        <v>4459</v>
      </c>
    </row>
    <row r="1499" spans="1:30" ht="43.5" customHeight="1">
      <c r="A1499" s="11" t="s">
        <v>4448</v>
      </c>
      <c r="B1499" s="11" t="s">
        <v>4458</v>
      </c>
      <c r="C1499" s="3" t="s">
        <v>24</v>
      </c>
      <c r="D1499" s="3" t="s">
        <v>1131</v>
      </c>
      <c r="E1499" s="3" t="s">
        <v>130</v>
      </c>
      <c r="F1499" s="4" t="s">
        <v>28</v>
      </c>
      <c r="G1499" s="3" t="s">
        <v>2276</v>
      </c>
      <c r="H1499" s="3" t="s">
        <v>523</v>
      </c>
      <c r="I1499" s="3"/>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t="s">
        <v>64</v>
      </c>
      <c r="AC1499" s="4" t="s">
        <v>4463</v>
      </c>
      <c r="AD1499" s="3"/>
    </row>
    <row r="1500" spans="1:30" ht="42" customHeight="1">
      <c r="A1500" s="11" t="s">
        <v>4451</v>
      </c>
      <c r="B1500" s="11" t="s">
        <v>4460</v>
      </c>
      <c r="C1500" s="3" t="s">
        <v>24</v>
      </c>
      <c r="D1500" s="3" t="s">
        <v>27</v>
      </c>
      <c r="E1500" s="3" t="s">
        <v>130</v>
      </c>
      <c r="F1500" s="4" t="s">
        <v>161</v>
      </c>
      <c r="G1500" s="3" t="s">
        <v>2276</v>
      </c>
      <c r="H1500" s="3" t="s">
        <v>523</v>
      </c>
      <c r="I1500" s="3"/>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3" t="s">
        <v>2276</v>
      </c>
      <c r="AC1500" s="3"/>
      <c r="AD1500" s="4" t="s">
        <v>4462</v>
      </c>
    </row>
    <row r="1501" spans="1:30" ht="44.5" customHeight="1">
      <c r="A1501" s="11" t="s">
        <v>4451</v>
      </c>
      <c r="B1501" s="11" t="s">
        <v>4461</v>
      </c>
      <c r="C1501" s="3" t="s">
        <v>24</v>
      </c>
      <c r="D1501" s="3" t="s">
        <v>2659</v>
      </c>
      <c r="E1501" s="3" t="s">
        <v>130</v>
      </c>
      <c r="F1501" s="4" t="s">
        <v>28</v>
      </c>
      <c r="G1501" s="3" t="s">
        <v>2276</v>
      </c>
      <c r="H1501" s="3" t="s">
        <v>523</v>
      </c>
      <c r="I1501" s="3"/>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t="s">
        <v>64</v>
      </c>
      <c r="AC1501" s="3" t="s">
        <v>4466</v>
      </c>
      <c r="AD1501" s="3"/>
    </row>
    <row r="1502" spans="1:30" ht="41" customHeight="1">
      <c r="A1502" s="11" t="s">
        <v>4451</v>
      </c>
      <c r="B1502" s="11" t="s">
        <v>4464</v>
      </c>
      <c r="C1502" s="3" t="s">
        <v>24</v>
      </c>
      <c r="D1502" s="3" t="s">
        <v>1131</v>
      </c>
      <c r="E1502" s="3" t="s">
        <v>130</v>
      </c>
      <c r="F1502" s="4" t="s">
        <v>28</v>
      </c>
      <c r="G1502" s="3" t="s">
        <v>2276</v>
      </c>
      <c r="H1502" s="3" t="s">
        <v>524</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3" t="s">
        <v>2276</v>
      </c>
      <c r="Z1502" s="3" t="s">
        <v>2276</v>
      </c>
      <c r="AA1502" s="3" t="s">
        <v>2276</v>
      </c>
      <c r="AB1502" s="3" t="s">
        <v>2276</v>
      </c>
      <c r="AC1502" s="19" t="s">
        <v>4465</v>
      </c>
      <c r="AD1502" s="3"/>
    </row>
    <row r="1503" spans="1:30" ht="43.5" customHeight="1">
      <c r="A1503" s="11" t="s">
        <v>4453</v>
      </c>
      <c r="B1503" s="11" t="s">
        <v>4467</v>
      </c>
      <c r="C1503" s="3" t="s">
        <v>24</v>
      </c>
      <c r="D1503" s="3" t="s">
        <v>27</v>
      </c>
      <c r="E1503" s="3" t="s">
        <v>130</v>
      </c>
      <c r="F1503" s="4" t="s">
        <v>161</v>
      </c>
      <c r="G1503" s="3" t="s">
        <v>2276</v>
      </c>
      <c r="H1503" s="3" t="s">
        <v>523</v>
      </c>
      <c r="I1503" s="3"/>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3"/>
      <c r="AD1503" s="3" t="s">
        <v>4469</v>
      </c>
    </row>
    <row r="1504" spans="1:30" ht="45.5" customHeight="1">
      <c r="A1504" s="3" t="s">
        <v>4473</v>
      </c>
      <c r="B1504" s="11" t="s">
        <v>4475</v>
      </c>
      <c r="C1504" s="3" t="s">
        <v>24</v>
      </c>
      <c r="D1504" s="3" t="s">
        <v>2804</v>
      </c>
      <c r="E1504" s="3" t="s">
        <v>5005</v>
      </c>
      <c r="F1504" s="4" t="s">
        <v>2662</v>
      </c>
      <c r="G1504" s="3" t="s">
        <v>2276</v>
      </c>
      <c r="H1504" s="3" t="s">
        <v>523</v>
      </c>
      <c r="I1504" s="3"/>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3"/>
      <c r="AD1504" s="3"/>
    </row>
    <row r="1505" spans="1:30" ht="60" customHeight="1">
      <c r="A1505" s="38" t="s">
        <v>4473</v>
      </c>
      <c r="B1505" s="35" t="s">
        <v>4476</v>
      </c>
      <c r="C1505" s="38" t="s">
        <v>24</v>
      </c>
      <c r="D1505" s="38" t="s">
        <v>2231</v>
      </c>
      <c r="E1505" s="38" t="s">
        <v>5005</v>
      </c>
      <c r="F1505" s="168" t="s">
        <v>2662</v>
      </c>
      <c r="G1505" s="3" t="s">
        <v>2276</v>
      </c>
      <c r="H1505" s="3"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173" t="s">
        <v>4480</v>
      </c>
      <c r="AD1505" s="38"/>
    </row>
    <row r="1506" spans="1:30" ht="57.5" customHeight="1">
      <c r="A1506" s="3" t="s">
        <v>4473</v>
      </c>
      <c r="B1506" s="11" t="s">
        <v>4477</v>
      </c>
      <c r="C1506" s="3" t="s">
        <v>24</v>
      </c>
      <c r="D1506" s="3" t="s">
        <v>2341</v>
      </c>
      <c r="E1506" s="3" t="s">
        <v>5005</v>
      </c>
      <c r="F1506" s="4" t="s">
        <v>2662</v>
      </c>
      <c r="G1506" s="3" t="s">
        <v>2276</v>
      </c>
      <c r="H1506" s="3" t="s">
        <v>523</v>
      </c>
      <c r="I1506" s="3"/>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3" t="s">
        <v>4480</v>
      </c>
      <c r="AD1506" s="3"/>
    </row>
    <row r="1507" spans="1:30" ht="52.5" customHeight="1">
      <c r="A1507" s="3" t="s">
        <v>4473</v>
      </c>
      <c r="B1507" s="11" t="s">
        <v>4478</v>
      </c>
      <c r="C1507" s="3" t="s">
        <v>24</v>
      </c>
      <c r="D1507" s="3" t="s">
        <v>2231</v>
      </c>
      <c r="E1507" s="3" t="s">
        <v>5005</v>
      </c>
      <c r="F1507" s="4" t="s">
        <v>74</v>
      </c>
      <c r="G1507" s="3" t="s">
        <v>2276</v>
      </c>
      <c r="H1507" s="3" t="s">
        <v>523</v>
      </c>
      <c r="I1507" s="3"/>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3" t="s">
        <v>4480</v>
      </c>
      <c r="AD1507" s="3"/>
    </row>
    <row r="1508" spans="1:30" ht="60" customHeight="1">
      <c r="A1508" s="3" t="s">
        <v>4473</v>
      </c>
      <c r="B1508" s="11" t="s">
        <v>4479</v>
      </c>
      <c r="C1508" s="3" t="s">
        <v>24</v>
      </c>
      <c r="D1508" s="3" t="s">
        <v>2341</v>
      </c>
      <c r="E1508" s="3" t="s">
        <v>5005</v>
      </c>
      <c r="F1508" s="4" t="s">
        <v>74</v>
      </c>
      <c r="G1508" s="3" t="s">
        <v>2276</v>
      </c>
      <c r="H1508" s="3" t="s">
        <v>523</v>
      </c>
      <c r="I1508" s="3"/>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3" t="s">
        <v>4480</v>
      </c>
      <c r="AD1508" s="3"/>
    </row>
    <row r="1509" spans="1:30" ht="46.5" customHeight="1">
      <c r="A1509" s="3" t="s">
        <v>4473</v>
      </c>
      <c r="B1509" s="11" t="s">
        <v>4481</v>
      </c>
      <c r="C1509" s="3" t="s">
        <v>2458</v>
      </c>
      <c r="D1509" s="3" t="s">
        <v>1105</v>
      </c>
      <c r="E1509" s="3" t="s">
        <v>5005</v>
      </c>
      <c r="F1509" s="4" t="s">
        <v>2276</v>
      </c>
      <c r="G1509" s="3" t="s">
        <v>74</v>
      </c>
      <c r="H1509" s="3" t="s">
        <v>523</v>
      </c>
      <c r="I1509" s="3"/>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3"/>
      <c r="AD1509" s="4" t="s">
        <v>4483</v>
      </c>
    </row>
    <row r="1510" spans="1:30" ht="45.5" customHeight="1">
      <c r="A1510" s="3" t="s">
        <v>4473</v>
      </c>
      <c r="B1510" s="11" t="s">
        <v>4482</v>
      </c>
      <c r="C1510" s="3" t="s">
        <v>2658</v>
      </c>
      <c r="D1510" s="3" t="s">
        <v>2276</v>
      </c>
      <c r="E1510" s="3" t="s">
        <v>2276</v>
      </c>
      <c r="F1510" s="4" t="s">
        <v>2276</v>
      </c>
      <c r="G1510" s="3" t="s">
        <v>74</v>
      </c>
      <c r="H1510" s="3" t="s">
        <v>523</v>
      </c>
      <c r="I1510" s="3"/>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3" t="s">
        <v>38</v>
      </c>
      <c r="AA1510" s="3" t="s">
        <v>38</v>
      </c>
      <c r="AB1510" s="3" t="s">
        <v>2276</v>
      </c>
      <c r="AC1510" s="3"/>
      <c r="AD1510" s="3"/>
    </row>
    <row r="1511" spans="1:30" ht="57" customHeight="1">
      <c r="A1511" s="11" t="s">
        <v>4485</v>
      </c>
      <c r="B1511" s="11" t="s">
        <v>4490</v>
      </c>
      <c r="C1511" s="3" t="s">
        <v>24</v>
      </c>
      <c r="D1511" s="3" t="s">
        <v>26</v>
      </c>
      <c r="E1511" s="3" t="s">
        <v>5005</v>
      </c>
      <c r="F1511" s="4" t="s">
        <v>74</v>
      </c>
      <c r="G1511" s="3" t="s">
        <v>74</v>
      </c>
      <c r="H1511" s="3" t="s">
        <v>523</v>
      </c>
      <c r="I1511" s="3"/>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3"/>
    </row>
    <row r="1512" spans="1:30" ht="51.5" customHeight="1">
      <c r="A1512" s="11" t="s">
        <v>4485</v>
      </c>
      <c r="B1512" s="11" t="s">
        <v>4491</v>
      </c>
      <c r="C1512" s="3" t="s">
        <v>24</v>
      </c>
      <c r="D1512" s="3" t="s">
        <v>143</v>
      </c>
      <c r="E1512" s="3" t="s">
        <v>5005</v>
      </c>
      <c r="F1512" s="4" t="s">
        <v>74</v>
      </c>
      <c r="G1512" s="3" t="s">
        <v>74</v>
      </c>
      <c r="H1512" s="3" t="s">
        <v>523</v>
      </c>
      <c r="I1512" s="3"/>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3"/>
    </row>
    <row r="1513" spans="1:30" ht="47" customHeight="1">
      <c r="A1513" s="11" t="s">
        <v>4487</v>
      </c>
      <c r="B1513" s="11" t="s">
        <v>4492</v>
      </c>
      <c r="C1513" s="3" t="s">
        <v>24</v>
      </c>
      <c r="D1513" s="3" t="s">
        <v>26</v>
      </c>
      <c r="E1513" s="3" t="s">
        <v>5005</v>
      </c>
      <c r="F1513" s="4" t="s">
        <v>2662</v>
      </c>
      <c r="G1513" s="3" t="s">
        <v>2276</v>
      </c>
      <c r="H1513" s="3" t="s">
        <v>523</v>
      </c>
      <c r="I1513" s="3"/>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3"/>
    </row>
    <row r="1514" spans="1:30" ht="57.5" customHeight="1">
      <c r="A1514" s="11" t="s">
        <v>4487</v>
      </c>
      <c r="B1514" s="11" t="s">
        <v>4493</v>
      </c>
      <c r="C1514" s="3" t="s">
        <v>24</v>
      </c>
      <c r="D1514" s="3" t="s">
        <v>25</v>
      </c>
      <c r="E1514" s="3" t="s">
        <v>5005</v>
      </c>
      <c r="F1514" s="4" t="s">
        <v>55</v>
      </c>
      <c r="G1514" s="3" t="s">
        <v>2276</v>
      </c>
      <c r="H1514" s="3" t="s">
        <v>523</v>
      </c>
      <c r="I1514" s="3"/>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3"/>
    </row>
    <row r="1515" spans="1:30" ht="47" customHeight="1">
      <c r="A1515" s="19" t="s">
        <v>4488</v>
      </c>
      <c r="B1515" s="19" t="s">
        <v>4496</v>
      </c>
      <c r="C1515" s="4" t="s">
        <v>24</v>
      </c>
      <c r="D1515" s="4" t="s">
        <v>2994</v>
      </c>
      <c r="E1515" s="4" t="s">
        <v>5005</v>
      </c>
      <c r="F1515" s="4" t="s">
        <v>2276</v>
      </c>
      <c r="G1515" s="3" t="s">
        <v>2276</v>
      </c>
      <c r="H1515" s="3"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3" t="s">
        <v>2276</v>
      </c>
      <c r="H1516" s="3"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3" t="s">
        <v>1105</v>
      </c>
      <c r="F1517" s="4" t="s">
        <v>1105</v>
      </c>
      <c r="G1517" s="3" t="s">
        <v>1105</v>
      </c>
      <c r="H1517" s="3" t="s">
        <v>524</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5" t="s">
        <v>4509</v>
      </c>
      <c r="AD1517" s="3"/>
    </row>
    <row r="1518" spans="1:30" ht="34.5" customHeight="1">
      <c r="A1518" s="11" t="s">
        <v>4506</v>
      </c>
      <c r="B1518" s="11" t="s">
        <v>4512</v>
      </c>
      <c r="C1518" s="3" t="s">
        <v>24</v>
      </c>
      <c r="D1518" s="3" t="s">
        <v>1105</v>
      </c>
      <c r="E1518" s="3" t="s">
        <v>2647</v>
      </c>
      <c r="F1518" s="4" t="s">
        <v>1105</v>
      </c>
      <c r="G1518" s="3" t="s">
        <v>1105</v>
      </c>
      <c r="H1518" s="3" t="s">
        <v>524</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6" t="s">
        <v>4511</v>
      </c>
      <c r="AD1518" s="3"/>
    </row>
    <row r="1519" spans="1:30" ht="41" customHeight="1">
      <c r="A1519" s="11" t="s">
        <v>4506</v>
      </c>
      <c r="B1519" s="11" t="s">
        <v>4513</v>
      </c>
      <c r="C1519" s="3" t="s">
        <v>24</v>
      </c>
      <c r="D1519" s="3" t="s">
        <v>1105</v>
      </c>
      <c r="E1519" s="3" t="s">
        <v>45</v>
      </c>
      <c r="F1519" s="4" t="s">
        <v>1105</v>
      </c>
      <c r="G1519" s="3" t="s">
        <v>1105</v>
      </c>
      <c r="H1519" s="3" t="s">
        <v>524</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6" t="s">
        <v>4511</v>
      </c>
      <c r="AD1519" s="3"/>
    </row>
    <row r="1520" spans="1:30" ht="45.5" customHeight="1">
      <c r="A1520" s="11" t="s">
        <v>4518</v>
      </c>
      <c r="B1520" s="11" t="s">
        <v>4528</v>
      </c>
      <c r="C1520" s="3" t="s">
        <v>1105</v>
      </c>
      <c r="D1520" s="3" t="s">
        <v>1105</v>
      </c>
      <c r="E1520" s="3" t="s">
        <v>1105</v>
      </c>
      <c r="F1520" s="4" t="s">
        <v>1105</v>
      </c>
      <c r="G1520" s="3" t="s">
        <v>1105</v>
      </c>
      <c r="H1520" s="3" t="s">
        <v>523</v>
      </c>
      <c r="I1520" s="3"/>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3" t="s">
        <v>4537</v>
      </c>
    </row>
    <row r="1521" spans="1:30" ht="41" customHeight="1">
      <c r="A1521" s="11" t="s">
        <v>4519</v>
      </c>
      <c r="B1521" s="11" t="s">
        <v>4529</v>
      </c>
      <c r="C1521" s="3" t="s">
        <v>1105</v>
      </c>
      <c r="D1521" s="3" t="s">
        <v>1105</v>
      </c>
      <c r="E1521" s="3" t="s">
        <v>1105</v>
      </c>
      <c r="F1521" s="4" t="s">
        <v>1105</v>
      </c>
      <c r="G1521" s="3" t="s">
        <v>1105</v>
      </c>
      <c r="H1521" s="3" t="s">
        <v>523</v>
      </c>
      <c r="I1521" s="3">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3"/>
      <c r="AD1521" s="3"/>
    </row>
    <row r="1522" spans="1:30" ht="41" customHeight="1">
      <c r="A1522" s="11" t="s">
        <v>4520</v>
      </c>
      <c r="B1522" s="11" t="s">
        <v>4530</v>
      </c>
      <c r="C1522" s="3" t="s">
        <v>1105</v>
      </c>
      <c r="D1522" s="3" t="s">
        <v>1105</v>
      </c>
      <c r="E1522" s="3" t="s">
        <v>1105</v>
      </c>
      <c r="F1522" s="4" t="s">
        <v>1105</v>
      </c>
      <c r="G1522" s="3" t="s">
        <v>1105</v>
      </c>
      <c r="H1522" s="3" t="s">
        <v>523</v>
      </c>
      <c r="I1522" s="3">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3"/>
      <c r="AD1522" s="3"/>
    </row>
    <row r="1523" spans="1:30" ht="41" customHeight="1">
      <c r="A1523" s="11" t="s">
        <v>4521</v>
      </c>
      <c r="B1523" s="11" t="s">
        <v>4531</v>
      </c>
      <c r="C1523" s="3" t="s">
        <v>1105</v>
      </c>
      <c r="D1523" s="3" t="s">
        <v>1105</v>
      </c>
      <c r="E1523" s="3" t="s">
        <v>1105</v>
      </c>
      <c r="F1523" s="4" t="s">
        <v>1105</v>
      </c>
      <c r="G1523" s="3" t="s">
        <v>1105</v>
      </c>
      <c r="H1523" s="3" t="s">
        <v>523</v>
      </c>
      <c r="I1523" s="3">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3"/>
      <c r="AD1523" s="3"/>
    </row>
    <row r="1524" spans="1:30" ht="41" customHeight="1">
      <c r="A1524" s="11" t="s">
        <v>4522</v>
      </c>
      <c r="B1524" s="11" t="s">
        <v>4532</v>
      </c>
      <c r="C1524" s="3" t="s">
        <v>1105</v>
      </c>
      <c r="D1524" s="3" t="s">
        <v>1105</v>
      </c>
      <c r="E1524" s="3" t="s">
        <v>1105</v>
      </c>
      <c r="F1524" s="4" t="s">
        <v>1105</v>
      </c>
      <c r="G1524" s="3" t="s">
        <v>1105</v>
      </c>
      <c r="H1524" s="3" t="s">
        <v>523</v>
      </c>
      <c r="I1524" s="3">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3"/>
      <c r="AD1524" s="3"/>
    </row>
    <row r="1525" spans="1:30" ht="50" customHeight="1">
      <c r="A1525" s="11" t="s">
        <v>4519</v>
      </c>
      <c r="B1525" s="11" t="s">
        <v>4533</v>
      </c>
      <c r="C1525" s="3" t="s">
        <v>1105</v>
      </c>
      <c r="D1525" s="3" t="s">
        <v>1105</v>
      </c>
      <c r="E1525" s="3" t="s">
        <v>1105</v>
      </c>
      <c r="F1525" s="4" t="s">
        <v>1105</v>
      </c>
      <c r="G1525" s="3" t="s">
        <v>1105</v>
      </c>
      <c r="H1525" s="3"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3"/>
    </row>
    <row r="1526" spans="1:30" ht="50" customHeight="1">
      <c r="A1526" s="11" t="s">
        <v>4520</v>
      </c>
      <c r="B1526" s="11" t="s">
        <v>4534</v>
      </c>
      <c r="C1526" s="3" t="s">
        <v>1105</v>
      </c>
      <c r="D1526" s="3" t="s">
        <v>1105</v>
      </c>
      <c r="E1526" s="3" t="s">
        <v>1105</v>
      </c>
      <c r="F1526" s="4" t="s">
        <v>1105</v>
      </c>
      <c r="G1526" s="3" t="s">
        <v>1105</v>
      </c>
      <c r="H1526" s="3"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3"/>
    </row>
    <row r="1527" spans="1:30" ht="50" customHeight="1">
      <c r="A1527" s="11" t="s">
        <v>4521</v>
      </c>
      <c r="B1527" s="11" t="s">
        <v>4535</v>
      </c>
      <c r="C1527" s="3" t="s">
        <v>1105</v>
      </c>
      <c r="D1527" s="3" t="s">
        <v>1105</v>
      </c>
      <c r="E1527" s="3" t="s">
        <v>1105</v>
      </c>
      <c r="F1527" s="4" t="s">
        <v>1105</v>
      </c>
      <c r="G1527" s="3" t="s">
        <v>1105</v>
      </c>
      <c r="H1527" s="3"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3"/>
    </row>
    <row r="1528" spans="1:30" ht="50" customHeight="1">
      <c r="A1528" s="11" t="s">
        <v>4522</v>
      </c>
      <c r="B1528" s="11" t="s">
        <v>4536</v>
      </c>
      <c r="C1528" s="3" t="s">
        <v>1105</v>
      </c>
      <c r="D1528" s="3" t="s">
        <v>1105</v>
      </c>
      <c r="E1528" s="3" t="s">
        <v>1105</v>
      </c>
      <c r="F1528" s="4" t="s">
        <v>1105</v>
      </c>
      <c r="G1528" s="3" t="s">
        <v>1105</v>
      </c>
      <c r="H1528" s="3"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3"/>
    </row>
    <row r="1529" spans="1:30" ht="42" customHeight="1">
      <c r="A1529" s="11" t="s">
        <v>4543</v>
      </c>
      <c r="B1529" s="11" t="s">
        <v>4549</v>
      </c>
      <c r="C1529" s="3" t="s">
        <v>24</v>
      </c>
      <c r="D1529" s="3" t="s">
        <v>25</v>
      </c>
      <c r="E1529" s="3" t="s">
        <v>5005</v>
      </c>
      <c r="F1529" s="4" t="s">
        <v>2662</v>
      </c>
      <c r="G1529" s="3" t="s">
        <v>1105</v>
      </c>
      <c r="H1529" s="3" t="s">
        <v>523</v>
      </c>
      <c r="I1529" s="3"/>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3"/>
      <c r="AD1529" s="3"/>
    </row>
    <row r="1530" spans="1:30" ht="42" customHeight="1">
      <c r="A1530" s="11" t="s">
        <v>4543</v>
      </c>
      <c r="B1530" s="11" t="s">
        <v>4550</v>
      </c>
      <c r="C1530" s="3" t="s">
        <v>24</v>
      </c>
      <c r="D1530" s="3" t="s">
        <v>1131</v>
      </c>
      <c r="E1530" s="3" t="s">
        <v>130</v>
      </c>
      <c r="F1530" s="4" t="s">
        <v>2662</v>
      </c>
      <c r="G1530" s="3" t="s">
        <v>1105</v>
      </c>
      <c r="H1530" s="3" t="s">
        <v>523</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3"/>
      <c r="AD1530" s="3"/>
    </row>
    <row r="1531" spans="1:30" ht="42" customHeight="1">
      <c r="A1531" s="11" t="s">
        <v>4543</v>
      </c>
      <c r="B1531" s="11" t="s">
        <v>4551</v>
      </c>
      <c r="C1531" s="3" t="s">
        <v>24</v>
      </c>
      <c r="D1531" s="3" t="s">
        <v>1131</v>
      </c>
      <c r="E1531" s="3" t="s">
        <v>5005</v>
      </c>
      <c r="F1531" s="4" t="s">
        <v>2662</v>
      </c>
      <c r="G1531" s="3" t="s">
        <v>1105</v>
      </c>
      <c r="H1531" s="3" t="s">
        <v>523</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3"/>
      <c r="AD1531" s="3"/>
    </row>
    <row r="1532" spans="1:30" ht="42" customHeight="1">
      <c r="A1532" s="11" t="s">
        <v>4543</v>
      </c>
      <c r="B1532" s="11" t="s">
        <v>4552</v>
      </c>
      <c r="C1532" s="3" t="s">
        <v>24</v>
      </c>
      <c r="D1532" s="3" t="s">
        <v>1131</v>
      </c>
      <c r="E1532" s="3" t="s">
        <v>116</v>
      </c>
      <c r="F1532" s="4" t="s">
        <v>2662</v>
      </c>
      <c r="G1532" s="3" t="s">
        <v>1105</v>
      </c>
      <c r="H1532" s="3" t="s">
        <v>523</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3"/>
      <c r="AD1532" s="3"/>
    </row>
    <row r="1533" spans="1:30" ht="42" customHeight="1">
      <c r="A1533" s="11" t="s">
        <v>4543</v>
      </c>
      <c r="B1533" s="11" t="s">
        <v>4553</v>
      </c>
      <c r="C1533" s="3" t="s">
        <v>24</v>
      </c>
      <c r="D1533" s="3" t="s">
        <v>2305</v>
      </c>
      <c r="E1533" s="3" t="s">
        <v>5005</v>
      </c>
      <c r="F1533" s="4" t="s">
        <v>2662</v>
      </c>
      <c r="G1533" s="3" t="s">
        <v>1105</v>
      </c>
      <c r="H1533" s="3" t="s">
        <v>523</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3"/>
      <c r="AD1533" s="3"/>
    </row>
    <row r="1534" spans="1:30" ht="42" customHeight="1">
      <c r="A1534" s="11" t="s">
        <v>4543</v>
      </c>
      <c r="B1534" s="11" t="s">
        <v>4554</v>
      </c>
      <c r="C1534" s="3" t="s">
        <v>24</v>
      </c>
      <c r="D1534" s="3" t="s">
        <v>2341</v>
      </c>
      <c r="E1534" s="3" t="s">
        <v>116</v>
      </c>
      <c r="F1534" s="4" t="s">
        <v>2662</v>
      </c>
      <c r="G1534" s="3" t="s">
        <v>1105</v>
      </c>
      <c r="H1534" s="3" t="s">
        <v>523</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3"/>
      <c r="AD1534" s="3"/>
    </row>
    <row r="1535" spans="1:30" ht="42" customHeight="1">
      <c r="A1535" s="11" t="s">
        <v>4543</v>
      </c>
      <c r="B1535" s="11" t="s">
        <v>4555</v>
      </c>
      <c r="C1535" s="3" t="s">
        <v>24</v>
      </c>
      <c r="D1535" s="3" t="s">
        <v>27</v>
      </c>
      <c r="E1535" s="3" t="s">
        <v>130</v>
      </c>
      <c r="F1535" s="4" t="s">
        <v>2662</v>
      </c>
      <c r="G1535" s="3" t="s">
        <v>1105</v>
      </c>
      <c r="H1535" s="3" t="s">
        <v>523</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3"/>
      <c r="AD1535" s="3"/>
    </row>
    <row r="1536" spans="1:30" ht="42" customHeight="1">
      <c r="A1536" s="11" t="s">
        <v>4543</v>
      </c>
      <c r="B1536" s="11" t="s">
        <v>4556</v>
      </c>
      <c r="C1536" s="3" t="s">
        <v>24</v>
      </c>
      <c r="D1536" s="3" t="s">
        <v>2231</v>
      </c>
      <c r="E1536" s="3" t="s">
        <v>130</v>
      </c>
      <c r="F1536" s="4" t="s">
        <v>2662</v>
      </c>
      <c r="G1536" s="3" t="s">
        <v>1105</v>
      </c>
      <c r="H1536" s="3" t="s">
        <v>523</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3"/>
      <c r="AD1536" s="3"/>
    </row>
    <row r="1537" spans="1:30" ht="42" customHeight="1">
      <c r="A1537" s="11" t="s">
        <v>4543</v>
      </c>
      <c r="B1537" s="11" t="s">
        <v>4557</v>
      </c>
      <c r="C1537" s="3" t="s">
        <v>24</v>
      </c>
      <c r="D1537" s="3" t="s">
        <v>3480</v>
      </c>
      <c r="E1537" s="3" t="s">
        <v>116</v>
      </c>
      <c r="F1537" s="4" t="s">
        <v>2662</v>
      </c>
      <c r="G1537" s="3" t="s">
        <v>1105</v>
      </c>
      <c r="H1537" s="3" t="s">
        <v>523</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3"/>
    </row>
    <row r="1538" spans="1:30" ht="45" customHeight="1">
      <c r="A1538" s="11" t="s">
        <v>4543</v>
      </c>
      <c r="B1538" s="11" t="s">
        <v>4558</v>
      </c>
      <c r="C1538" s="3" t="s">
        <v>24</v>
      </c>
      <c r="D1538" s="3" t="s">
        <v>26</v>
      </c>
      <c r="E1538" s="3" t="s">
        <v>5005</v>
      </c>
      <c r="F1538" s="4" t="s">
        <v>2662</v>
      </c>
      <c r="G1538" s="3" t="s">
        <v>1105</v>
      </c>
      <c r="H1538" s="3" t="s">
        <v>523</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3"/>
      <c r="AD1538" s="3"/>
    </row>
    <row r="1539" spans="1:30" ht="64.5" customHeight="1">
      <c r="A1539" s="11" t="s">
        <v>4543</v>
      </c>
      <c r="B1539" s="11" t="s">
        <v>4579</v>
      </c>
      <c r="C1539" s="3" t="s">
        <v>24</v>
      </c>
      <c r="D1539" s="3" t="s">
        <v>1105</v>
      </c>
      <c r="E1539" s="3" t="s">
        <v>5005</v>
      </c>
      <c r="F1539" s="4" t="s">
        <v>2662</v>
      </c>
      <c r="G1539" s="3" t="s">
        <v>1105</v>
      </c>
      <c r="H1539" s="3" t="s">
        <v>523</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3" t="s">
        <v>38</v>
      </c>
      <c r="AA1539" s="3" t="s">
        <v>425</v>
      </c>
      <c r="AB1539" s="3" t="s">
        <v>76</v>
      </c>
      <c r="AC1539" s="4" t="s">
        <v>4580</v>
      </c>
      <c r="AD1539" s="3"/>
    </row>
    <row r="1540" spans="1:30" ht="29">
      <c r="A1540" s="11" t="s">
        <v>4546</v>
      </c>
      <c r="B1540" s="11" t="s">
        <v>4560</v>
      </c>
      <c r="C1540" s="3" t="s">
        <v>24</v>
      </c>
      <c r="D1540" s="3" t="s">
        <v>25</v>
      </c>
      <c r="E1540" s="3" t="s">
        <v>5005</v>
      </c>
      <c r="F1540" s="4" t="s">
        <v>2662</v>
      </c>
      <c r="G1540" s="3" t="s">
        <v>1105</v>
      </c>
      <c r="H1540" s="3" t="s">
        <v>523</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3"/>
      <c r="AD1540" s="3"/>
    </row>
    <row r="1541" spans="1:30" ht="29">
      <c r="A1541" s="11" t="s">
        <v>4546</v>
      </c>
      <c r="B1541" s="11" t="s">
        <v>4561</v>
      </c>
      <c r="C1541" s="3" t="s">
        <v>24</v>
      </c>
      <c r="D1541" s="3" t="s">
        <v>1131</v>
      </c>
      <c r="E1541" s="3" t="s">
        <v>130</v>
      </c>
      <c r="F1541" s="4" t="s">
        <v>2662</v>
      </c>
      <c r="G1541" s="3" t="s">
        <v>1105</v>
      </c>
      <c r="H1541" s="3" t="s">
        <v>523</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3"/>
      <c r="AD1541" s="3"/>
    </row>
    <row r="1542" spans="1:30" ht="29">
      <c r="A1542" s="11" t="s">
        <v>4546</v>
      </c>
      <c r="B1542" s="11" t="s">
        <v>4562</v>
      </c>
      <c r="C1542" s="3" t="s">
        <v>24</v>
      </c>
      <c r="D1542" s="3" t="s">
        <v>1131</v>
      </c>
      <c r="E1542" s="3" t="s">
        <v>5005</v>
      </c>
      <c r="F1542" s="4" t="s">
        <v>2662</v>
      </c>
      <c r="G1542" s="3" t="s">
        <v>1105</v>
      </c>
      <c r="H1542" s="3" t="s">
        <v>523</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3"/>
      <c r="AD1542" s="3"/>
    </row>
    <row r="1543" spans="1:30" ht="29">
      <c r="A1543" s="11" t="s">
        <v>4546</v>
      </c>
      <c r="B1543" s="11" t="s">
        <v>4563</v>
      </c>
      <c r="C1543" s="3" t="s">
        <v>24</v>
      </c>
      <c r="D1543" s="3" t="s">
        <v>1131</v>
      </c>
      <c r="E1543" s="3" t="s">
        <v>116</v>
      </c>
      <c r="F1543" s="4" t="s">
        <v>2662</v>
      </c>
      <c r="G1543" s="3" t="s">
        <v>1105</v>
      </c>
      <c r="H1543" s="3" t="s">
        <v>523</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3"/>
      <c r="AD1543" s="3"/>
    </row>
    <row r="1544" spans="1:30" ht="29">
      <c r="A1544" s="11" t="s">
        <v>4546</v>
      </c>
      <c r="B1544" s="11" t="s">
        <v>4564</v>
      </c>
      <c r="C1544" s="3" t="s">
        <v>24</v>
      </c>
      <c r="D1544" s="3" t="s">
        <v>2305</v>
      </c>
      <c r="E1544" s="3" t="s">
        <v>5005</v>
      </c>
      <c r="F1544" s="4" t="s">
        <v>2662</v>
      </c>
      <c r="G1544" s="3" t="s">
        <v>1105</v>
      </c>
      <c r="H1544" s="3" t="s">
        <v>523</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3"/>
      <c r="AD1544" s="3"/>
    </row>
    <row r="1545" spans="1:30" ht="29">
      <c r="A1545" s="11" t="s">
        <v>4546</v>
      </c>
      <c r="B1545" s="11" t="s">
        <v>4565</v>
      </c>
      <c r="C1545" s="3" t="s">
        <v>24</v>
      </c>
      <c r="D1545" s="3" t="s">
        <v>2341</v>
      </c>
      <c r="E1545" s="3" t="s">
        <v>116</v>
      </c>
      <c r="F1545" s="4" t="s">
        <v>2662</v>
      </c>
      <c r="G1545" s="3" t="s">
        <v>1105</v>
      </c>
      <c r="H1545" s="3" t="s">
        <v>523</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3"/>
      <c r="AD1545" s="3"/>
    </row>
    <row r="1546" spans="1:30" ht="29">
      <c r="A1546" s="11" t="s">
        <v>4546</v>
      </c>
      <c r="B1546" s="11" t="s">
        <v>4566</v>
      </c>
      <c r="C1546" s="3" t="s">
        <v>24</v>
      </c>
      <c r="D1546" s="3" t="s">
        <v>27</v>
      </c>
      <c r="E1546" s="3" t="s">
        <v>130</v>
      </c>
      <c r="F1546" s="4" t="s">
        <v>2662</v>
      </c>
      <c r="G1546" s="3" t="s">
        <v>1105</v>
      </c>
      <c r="H1546" s="3" t="s">
        <v>523</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3"/>
      <c r="AD1546" s="3"/>
    </row>
    <row r="1547" spans="1:30" ht="29">
      <c r="A1547" s="11" t="s">
        <v>4546</v>
      </c>
      <c r="B1547" s="11" t="s">
        <v>4567</v>
      </c>
      <c r="C1547" s="3" t="s">
        <v>24</v>
      </c>
      <c r="D1547" s="3" t="s">
        <v>2231</v>
      </c>
      <c r="E1547" s="3" t="s">
        <v>130</v>
      </c>
      <c r="F1547" s="4" t="s">
        <v>2662</v>
      </c>
      <c r="G1547" s="3" t="s">
        <v>1105</v>
      </c>
      <c r="H1547" s="3" t="s">
        <v>523</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3"/>
    </row>
    <row r="1548" spans="1:30" ht="29">
      <c r="A1548" s="11" t="s">
        <v>4546</v>
      </c>
      <c r="B1548" s="11" t="s">
        <v>4568</v>
      </c>
      <c r="C1548" s="3" t="s">
        <v>24</v>
      </c>
      <c r="D1548" s="3" t="s">
        <v>3480</v>
      </c>
      <c r="E1548" s="3" t="s">
        <v>116</v>
      </c>
      <c r="F1548" s="4" t="s">
        <v>2662</v>
      </c>
      <c r="G1548" s="3" t="s">
        <v>1105</v>
      </c>
      <c r="H1548" s="3" t="s">
        <v>523</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3"/>
      <c r="AD1548" s="3"/>
    </row>
    <row r="1549" spans="1:30" ht="46.5" customHeight="1">
      <c r="A1549" s="11" t="s">
        <v>4546</v>
      </c>
      <c r="B1549" s="11" t="s">
        <v>4569</v>
      </c>
      <c r="C1549" s="3" t="s">
        <v>24</v>
      </c>
      <c r="D1549" s="3" t="s">
        <v>26</v>
      </c>
      <c r="E1549" s="3" t="s">
        <v>5005</v>
      </c>
      <c r="F1549" s="4" t="s">
        <v>2662</v>
      </c>
      <c r="G1549" s="3" t="s">
        <v>1105</v>
      </c>
      <c r="H1549" s="3" t="s">
        <v>523</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3"/>
      <c r="AD1549" s="3"/>
    </row>
    <row r="1550" spans="1:30" ht="60" customHeight="1">
      <c r="A1550" s="11" t="s">
        <v>4546</v>
      </c>
      <c r="B1550" s="11" t="s">
        <v>4578</v>
      </c>
      <c r="C1550" s="3" t="s">
        <v>24</v>
      </c>
      <c r="D1550" s="3" t="s">
        <v>1105</v>
      </c>
      <c r="E1550" s="3" t="s">
        <v>5005</v>
      </c>
      <c r="F1550" s="4" t="s">
        <v>2662</v>
      </c>
      <c r="G1550" s="3" t="s">
        <v>1105</v>
      </c>
      <c r="H1550" s="3" t="s">
        <v>523</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3" t="s">
        <v>38</v>
      </c>
      <c r="AA1550" s="3" t="s">
        <v>425</v>
      </c>
      <c r="AB1550" s="3" t="s">
        <v>76</v>
      </c>
      <c r="AC1550" s="4" t="s">
        <v>4580</v>
      </c>
      <c r="AD1550" s="3"/>
    </row>
    <row r="1551" spans="1:30" ht="49" customHeight="1">
      <c r="A1551" s="11" t="s">
        <v>4571</v>
      </c>
      <c r="B1551" s="11" t="s">
        <v>4574</v>
      </c>
      <c r="C1551" s="3" t="s">
        <v>24</v>
      </c>
      <c r="D1551" s="3" t="s">
        <v>144</v>
      </c>
      <c r="E1551" s="3" t="s">
        <v>137</v>
      </c>
      <c r="F1551" s="4" t="s">
        <v>2662</v>
      </c>
      <c r="G1551" s="3" t="s">
        <v>1105</v>
      </c>
      <c r="H1551" s="3" t="s">
        <v>523</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3"/>
    </row>
    <row r="1552" spans="1:30" ht="41" customHeight="1">
      <c r="A1552" s="11" t="s">
        <v>4571</v>
      </c>
      <c r="B1552" s="11" t="s">
        <v>4575</v>
      </c>
      <c r="C1552" s="3" t="s">
        <v>24</v>
      </c>
      <c r="D1552" s="3" t="s">
        <v>1245</v>
      </c>
      <c r="E1552" s="3" t="s">
        <v>2652</v>
      </c>
      <c r="F1552" s="4" t="s">
        <v>2662</v>
      </c>
      <c r="G1552" s="3" t="s">
        <v>1105</v>
      </c>
      <c r="H1552" s="3" t="s">
        <v>523</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3"/>
      <c r="AD1552" s="3"/>
    </row>
    <row r="1553" spans="1:30" ht="48.5" customHeight="1">
      <c r="A1553" s="11" t="s">
        <v>4571</v>
      </c>
      <c r="B1553" s="11" t="s">
        <v>4576</v>
      </c>
      <c r="C1553" s="3" t="s">
        <v>24</v>
      </c>
      <c r="D1553" s="3" t="s">
        <v>1105</v>
      </c>
      <c r="E1553" s="3" t="s">
        <v>1105</v>
      </c>
      <c r="F1553" s="4" t="s">
        <v>2662</v>
      </c>
      <c r="G1553" s="3" t="s">
        <v>1105</v>
      </c>
      <c r="H1553" s="3" t="s">
        <v>523</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3"/>
    </row>
    <row r="1554" spans="1:30" ht="40.5" customHeight="1">
      <c r="A1554" s="11" t="s">
        <v>4582</v>
      </c>
      <c r="B1554" s="35" t="s">
        <v>4583</v>
      </c>
      <c r="C1554" s="38" t="s">
        <v>24</v>
      </c>
      <c r="D1554" s="38" t="s">
        <v>26</v>
      </c>
      <c r="E1554" t="s">
        <v>5005</v>
      </c>
      <c r="F1554" s="4" t="s">
        <v>2662</v>
      </c>
      <c r="G1554" s="3" t="s">
        <v>1105</v>
      </c>
      <c r="H1554" s="3"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3" t="s">
        <v>5005</v>
      </c>
      <c r="F1555" s="4" t="s">
        <v>2662</v>
      </c>
      <c r="G1555" s="3" t="s">
        <v>1105</v>
      </c>
      <c r="H1555" s="3" t="s">
        <v>523</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3"/>
      <c r="AD1555" s="3"/>
    </row>
    <row r="1556" spans="1:30" ht="33.5" customHeight="1">
      <c r="A1556" s="11" t="s">
        <v>4585</v>
      </c>
      <c r="B1556" s="11" t="s">
        <v>4589</v>
      </c>
      <c r="C1556" s="3" t="s">
        <v>24</v>
      </c>
      <c r="D1556" s="3" t="s">
        <v>1242</v>
      </c>
      <c r="E1556" s="3" t="s">
        <v>137</v>
      </c>
      <c r="F1556" s="4" t="s">
        <v>2662</v>
      </c>
      <c r="G1556" s="3" t="s">
        <v>1105</v>
      </c>
      <c r="H1556" s="3" t="s">
        <v>523</v>
      </c>
      <c r="I1556" s="3"/>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3" t="s">
        <v>4593</v>
      </c>
      <c r="AD1556" s="3"/>
    </row>
    <row r="1557" spans="1:30" ht="33.5" customHeight="1">
      <c r="A1557" s="11" t="s">
        <v>4586</v>
      </c>
      <c r="B1557" s="11" t="s">
        <v>4590</v>
      </c>
      <c r="C1557" s="3" t="s">
        <v>24</v>
      </c>
      <c r="D1557" s="3" t="s">
        <v>1242</v>
      </c>
      <c r="E1557" s="3" t="s">
        <v>137</v>
      </c>
      <c r="F1557" s="4" t="s">
        <v>2662</v>
      </c>
      <c r="G1557" s="3" t="s">
        <v>1105</v>
      </c>
      <c r="H1557" s="3" t="s">
        <v>523</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3" t="s">
        <v>4593</v>
      </c>
      <c r="AD1557" s="3"/>
    </row>
    <row r="1558" spans="1:30" ht="29">
      <c r="A1558" s="11" t="s">
        <v>4585</v>
      </c>
      <c r="B1558" s="11" t="s">
        <v>4591</v>
      </c>
      <c r="C1558" s="3" t="s">
        <v>24</v>
      </c>
      <c r="D1558" s="3" t="s">
        <v>144</v>
      </c>
      <c r="E1558" s="3" t="s">
        <v>137</v>
      </c>
      <c r="F1558" s="4" t="s">
        <v>2662</v>
      </c>
      <c r="G1558" s="3" t="s">
        <v>1105</v>
      </c>
      <c r="H1558" s="3" t="s">
        <v>523</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3" t="s">
        <v>4593</v>
      </c>
      <c r="AD1558" s="3"/>
    </row>
    <row r="1559" spans="1:30" ht="31" customHeight="1">
      <c r="A1559" s="11" t="s">
        <v>4586</v>
      </c>
      <c r="B1559" s="11" t="s">
        <v>4592</v>
      </c>
      <c r="C1559" s="3" t="s">
        <v>24</v>
      </c>
      <c r="D1559" s="3" t="s">
        <v>144</v>
      </c>
      <c r="E1559" s="3" t="s">
        <v>137</v>
      </c>
      <c r="F1559" s="4" t="s">
        <v>2662</v>
      </c>
      <c r="G1559" s="3" t="s">
        <v>1105</v>
      </c>
      <c r="H1559" s="3" t="s">
        <v>523</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3" t="s">
        <v>4593</v>
      </c>
      <c r="AD1559" s="3"/>
    </row>
    <row r="1560" spans="1:30" ht="49.5" customHeight="1">
      <c r="A1560" s="19" t="s">
        <v>4597</v>
      </c>
      <c r="B1560" s="19" t="s">
        <v>4606</v>
      </c>
      <c r="C1560" s="4" t="s">
        <v>2656</v>
      </c>
      <c r="D1560" s="4" t="s">
        <v>1242</v>
      </c>
      <c r="E1560" s="4" t="s">
        <v>137</v>
      </c>
      <c r="F1560" s="4" t="s">
        <v>2662</v>
      </c>
      <c r="G1560" s="4" t="s">
        <v>2662</v>
      </c>
      <c r="H1560" s="4" t="s">
        <v>523</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4">
        <v>7.4</v>
      </c>
      <c r="Z1560" s="3" t="s">
        <v>425</v>
      </c>
      <c r="AA1560" s="3" t="s">
        <v>68</v>
      </c>
      <c r="AB1560" s="3" t="s">
        <v>64</v>
      </c>
      <c r="AC1560" s="4" t="s">
        <v>4607</v>
      </c>
      <c r="AD1560" s="4" t="s">
        <v>4610</v>
      </c>
    </row>
    <row r="1561" spans="1:30" ht="56.5" customHeight="1">
      <c r="A1561" s="19" t="s">
        <v>4597</v>
      </c>
      <c r="B1561" s="19" t="s">
        <v>4608</v>
      </c>
      <c r="C1561" s="3" t="s">
        <v>24</v>
      </c>
      <c r="D1561" s="3" t="s">
        <v>1105</v>
      </c>
      <c r="E1561" s="4" t="s">
        <v>137</v>
      </c>
      <c r="F1561" s="4" t="s">
        <v>2662</v>
      </c>
      <c r="G1561" s="4" t="s">
        <v>2662</v>
      </c>
      <c r="H1561" s="4" t="s">
        <v>524</v>
      </c>
      <c r="I1561" s="3"/>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3"/>
    </row>
    <row r="1562" spans="1:30" ht="38" customHeight="1">
      <c r="A1562" s="11" t="s">
        <v>4601</v>
      </c>
      <c r="B1562" s="3" t="s">
        <v>4611</v>
      </c>
      <c r="C1562" s="3" t="s">
        <v>24</v>
      </c>
      <c r="D1562" s="3" t="s">
        <v>144</v>
      </c>
      <c r="E1562" s="4" t="s">
        <v>137</v>
      </c>
      <c r="F1562" s="4" t="s">
        <v>2662</v>
      </c>
      <c r="G1562" s="4" t="s">
        <v>2662</v>
      </c>
      <c r="H1562" s="4" t="s">
        <v>523</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3" t="s">
        <v>4593</v>
      </c>
      <c r="AD1562" s="3"/>
    </row>
    <row r="1563" spans="1:30" ht="32.5" customHeight="1">
      <c r="A1563" s="11" t="s">
        <v>4602</v>
      </c>
      <c r="B1563" s="3" t="s">
        <v>4612</v>
      </c>
      <c r="C1563" s="3" t="s">
        <v>24</v>
      </c>
      <c r="D1563" s="3" t="s">
        <v>144</v>
      </c>
      <c r="E1563" s="4" t="s">
        <v>137</v>
      </c>
      <c r="F1563" s="4" t="s">
        <v>2662</v>
      </c>
      <c r="G1563" s="4" t="s">
        <v>2662</v>
      </c>
      <c r="H1563" s="4" t="s">
        <v>523</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3" t="s">
        <v>4593</v>
      </c>
      <c r="AD1563" s="3"/>
    </row>
    <row r="1564" spans="1:30" ht="68" customHeight="1">
      <c r="A1564" s="11" t="s">
        <v>4603</v>
      </c>
      <c r="B1564" s="3" t="s">
        <v>4613</v>
      </c>
      <c r="C1564" s="3" t="s">
        <v>24</v>
      </c>
      <c r="D1564" s="3" t="s">
        <v>144</v>
      </c>
      <c r="E1564" s="4" t="s">
        <v>137</v>
      </c>
      <c r="F1564" s="4" t="s">
        <v>2662</v>
      </c>
      <c r="G1564" s="4" t="s">
        <v>2662</v>
      </c>
      <c r="H1564" s="4" t="s">
        <v>523</v>
      </c>
      <c r="I1564" s="3"/>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3" t="s">
        <v>38</v>
      </c>
      <c r="AA1564" s="3" t="s">
        <v>35</v>
      </c>
      <c r="AB1564" s="3" t="s">
        <v>64</v>
      </c>
      <c r="AC1564" s="3" t="s">
        <v>4593</v>
      </c>
      <c r="AD1564" s="4" t="s">
        <v>4614</v>
      </c>
    </row>
    <row r="1565" spans="1:30" ht="66.5" customHeight="1">
      <c r="A1565" s="3" t="s">
        <v>4620</v>
      </c>
      <c r="B1565" s="11" t="s">
        <v>4629</v>
      </c>
      <c r="C1565" s="3" t="s">
        <v>24</v>
      </c>
      <c r="D1565" s="3" t="s">
        <v>2804</v>
      </c>
      <c r="E1565" s="3" t="s">
        <v>2647</v>
      </c>
      <c r="F1565" s="4" t="s">
        <v>2662</v>
      </c>
      <c r="G1565" s="3" t="s">
        <v>2276</v>
      </c>
      <c r="H1565" s="4" t="s">
        <v>524</v>
      </c>
      <c r="I1565" s="3"/>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3"/>
    </row>
    <row r="1566" spans="1:30" ht="66.5" customHeight="1">
      <c r="A1566" s="3" t="s">
        <v>4620</v>
      </c>
      <c r="B1566" s="11" t="s">
        <v>4632</v>
      </c>
      <c r="C1566" s="3" t="s">
        <v>24</v>
      </c>
      <c r="D1566" s="3" t="s">
        <v>25</v>
      </c>
      <c r="E1566" s="3" t="s">
        <v>2647</v>
      </c>
      <c r="F1566" s="4" t="s">
        <v>2662</v>
      </c>
      <c r="G1566" s="3" t="s">
        <v>2276</v>
      </c>
      <c r="H1566" s="4" t="s">
        <v>524</v>
      </c>
      <c r="I1566" s="3"/>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3"/>
    </row>
    <row r="1567" spans="1:30" ht="71" customHeight="1">
      <c r="A1567" s="3" t="s">
        <v>4620</v>
      </c>
      <c r="B1567" s="11" t="s">
        <v>4637</v>
      </c>
      <c r="C1567" s="3" t="s">
        <v>24</v>
      </c>
      <c r="D1567" s="3" t="s">
        <v>2804</v>
      </c>
      <c r="E1567" s="3" t="s">
        <v>5005</v>
      </c>
      <c r="F1567" s="4" t="s">
        <v>2662</v>
      </c>
      <c r="G1567" s="3" t="s">
        <v>2276</v>
      </c>
      <c r="H1567" s="4" t="s">
        <v>524</v>
      </c>
      <c r="I1567" s="3"/>
      <c r="J1567" s="177">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3"/>
    </row>
    <row r="1568" spans="1:30" ht="63.5" customHeight="1">
      <c r="A1568" s="3" t="s">
        <v>4643</v>
      </c>
      <c r="B1568" s="11" t="s">
        <v>4650</v>
      </c>
      <c r="C1568" s="3" t="s">
        <v>24</v>
      </c>
      <c r="D1568" s="3" t="s">
        <v>1242</v>
      </c>
      <c r="E1568" s="3" t="s">
        <v>2649</v>
      </c>
      <c r="F1568" s="4" t="s">
        <v>74</v>
      </c>
      <c r="G1568" s="3" t="s">
        <v>2276</v>
      </c>
      <c r="H1568" s="4" t="s">
        <v>524</v>
      </c>
      <c r="I1568" s="178"/>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3"/>
    </row>
    <row r="1569" spans="1:30" ht="51" customHeight="1">
      <c r="A1569" s="11" t="s">
        <v>4643</v>
      </c>
      <c r="B1569" s="11" t="s">
        <v>4652</v>
      </c>
      <c r="C1569" s="3" t="s">
        <v>24</v>
      </c>
      <c r="D1569" s="3" t="s">
        <v>2994</v>
      </c>
      <c r="E1569" s="3" t="s">
        <v>5005</v>
      </c>
      <c r="F1569" s="4" t="s">
        <v>2276</v>
      </c>
      <c r="G1569" s="3" t="s">
        <v>2276</v>
      </c>
      <c r="H1569" s="3" t="s">
        <v>523</v>
      </c>
      <c r="I1569" s="178"/>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3"/>
    </row>
    <row r="1570" spans="1:30" ht="68" customHeight="1">
      <c r="A1570" s="3" t="s">
        <v>4644</v>
      </c>
      <c r="B1570" s="11" t="s">
        <v>4653</v>
      </c>
      <c r="C1570" s="3" t="s">
        <v>24</v>
      </c>
      <c r="D1570" s="3" t="s">
        <v>1242</v>
      </c>
      <c r="E1570" s="3" t="s">
        <v>2649</v>
      </c>
      <c r="F1570" s="4" t="s">
        <v>74</v>
      </c>
      <c r="G1570" s="3" t="s">
        <v>2276</v>
      </c>
      <c r="H1570" s="4" t="s">
        <v>524</v>
      </c>
      <c r="I1570" s="178"/>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3"/>
    </row>
    <row r="1571" spans="1:30" ht="42.5" customHeight="1">
      <c r="A1571" s="3" t="s">
        <v>4661</v>
      </c>
      <c r="B1571" s="3" t="s">
        <v>4664</v>
      </c>
      <c r="C1571" s="3" t="s">
        <v>24</v>
      </c>
      <c r="D1571" s="3" t="s">
        <v>25</v>
      </c>
      <c r="E1571" s="3" t="s">
        <v>5005</v>
      </c>
      <c r="F1571" s="4" t="s">
        <v>2662</v>
      </c>
      <c r="G1571" s="3" t="s">
        <v>2276</v>
      </c>
      <c r="H1571" s="3" t="s">
        <v>523</v>
      </c>
      <c r="I1571" s="3">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3" t="s">
        <v>2276</v>
      </c>
      <c r="AC1571" s="3" t="s">
        <v>4666</v>
      </c>
      <c r="AD1571" s="3"/>
    </row>
    <row r="1572" spans="1:30" ht="56" customHeight="1">
      <c r="A1572" s="11" t="s">
        <v>4661</v>
      </c>
      <c r="B1572" s="11" t="s">
        <v>4665</v>
      </c>
      <c r="C1572" s="3" t="s">
        <v>24</v>
      </c>
      <c r="D1572" s="3" t="s">
        <v>2804</v>
      </c>
      <c r="E1572" s="3" t="s">
        <v>5005</v>
      </c>
      <c r="F1572" s="4" t="s">
        <v>2662</v>
      </c>
      <c r="G1572" s="3" t="s">
        <v>2276</v>
      </c>
      <c r="H1572" s="4" t="s">
        <v>524</v>
      </c>
      <c r="I1572" s="3"/>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3"/>
    </row>
    <row r="1573" spans="1:30" ht="42.5" customHeight="1">
      <c r="A1573" s="11" t="s">
        <v>4661</v>
      </c>
      <c r="B1573" s="11" t="s">
        <v>4668</v>
      </c>
      <c r="C1573" s="3" t="s">
        <v>24</v>
      </c>
      <c r="D1573" s="3" t="s">
        <v>26</v>
      </c>
      <c r="E1573" s="3" t="s">
        <v>5005</v>
      </c>
      <c r="F1573" s="4" t="s">
        <v>2662</v>
      </c>
      <c r="G1573" s="3" t="s">
        <v>2276</v>
      </c>
      <c r="H1573" s="3" t="s">
        <v>523</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3" t="s">
        <v>4669</v>
      </c>
      <c r="AD1573" s="3"/>
    </row>
    <row r="1574" spans="1:30" ht="39" customHeight="1">
      <c r="A1574" s="11" t="s">
        <v>4671</v>
      </c>
      <c r="B1574" s="11" t="s">
        <v>4684</v>
      </c>
      <c r="C1574" s="3" t="s">
        <v>24</v>
      </c>
      <c r="D1574" s="3" t="s">
        <v>27</v>
      </c>
      <c r="E1574" s="3" t="s">
        <v>84</v>
      </c>
      <c r="F1574" s="4" t="s">
        <v>28</v>
      </c>
      <c r="G1574" s="3" t="s">
        <v>2276</v>
      </c>
      <c r="H1574" s="4" t="s">
        <v>524</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3"/>
    </row>
    <row r="1575" spans="1:30" ht="37.5" customHeight="1">
      <c r="A1575" s="11" t="s">
        <v>4672</v>
      </c>
      <c r="B1575" s="11" t="s">
        <v>4685</v>
      </c>
      <c r="C1575" s="3" t="s">
        <v>24</v>
      </c>
      <c r="D1575" s="3" t="s">
        <v>27</v>
      </c>
      <c r="E1575" s="3" t="s">
        <v>84</v>
      </c>
      <c r="F1575" s="4" t="s">
        <v>28</v>
      </c>
      <c r="G1575" s="3" t="s">
        <v>2276</v>
      </c>
      <c r="H1575" s="4" t="s">
        <v>524</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3"/>
    </row>
    <row r="1576" spans="1:30" ht="37.5" customHeight="1">
      <c r="A1576" s="11" t="s">
        <v>4673</v>
      </c>
      <c r="B1576" s="11" t="s">
        <v>4686</v>
      </c>
      <c r="C1576" s="3" t="s">
        <v>24</v>
      </c>
      <c r="D1576" s="3" t="s">
        <v>27</v>
      </c>
      <c r="E1576" s="3" t="s">
        <v>84</v>
      </c>
      <c r="F1576" s="4" t="s">
        <v>28</v>
      </c>
      <c r="G1576" s="3" t="s">
        <v>2276</v>
      </c>
      <c r="H1576" s="4" t="s">
        <v>524</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3"/>
    </row>
    <row r="1577" spans="1:30" ht="36.5" customHeight="1">
      <c r="A1577" s="11" t="s">
        <v>4674</v>
      </c>
      <c r="B1577" s="11" t="s">
        <v>4687</v>
      </c>
      <c r="C1577" s="3" t="s">
        <v>24</v>
      </c>
      <c r="D1577" s="3" t="s">
        <v>27</v>
      </c>
      <c r="E1577" s="3" t="s">
        <v>84</v>
      </c>
      <c r="F1577" s="4" t="s">
        <v>28</v>
      </c>
      <c r="G1577" s="3" t="s">
        <v>2276</v>
      </c>
      <c r="H1577" s="4" t="s">
        <v>524</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3"/>
    </row>
    <row r="1578" spans="1:30" ht="49" customHeight="1">
      <c r="A1578" s="11" t="s">
        <v>4671</v>
      </c>
      <c r="B1578" s="11" t="s">
        <v>4689</v>
      </c>
      <c r="C1578" s="3" t="s">
        <v>24</v>
      </c>
      <c r="D1578" s="3" t="s">
        <v>27</v>
      </c>
      <c r="E1578" s="4" t="s">
        <v>3854</v>
      </c>
      <c r="F1578" s="4" t="s">
        <v>28</v>
      </c>
      <c r="G1578" s="3" t="s">
        <v>2276</v>
      </c>
      <c r="H1578" s="4" t="s">
        <v>524</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3"/>
    </row>
    <row r="1579" spans="1:30" ht="49" customHeight="1">
      <c r="A1579" s="11" t="s">
        <v>4672</v>
      </c>
      <c r="B1579" s="11" t="s">
        <v>4690</v>
      </c>
      <c r="C1579" s="3" t="s">
        <v>24</v>
      </c>
      <c r="D1579" s="3" t="s">
        <v>27</v>
      </c>
      <c r="E1579" s="4" t="s">
        <v>3854</v>
      </c>
      <c r="F1579" s="4" t="s">
        <v>28</v>
      </c>
      <c r="G1579" s="3" t="s">
        <v>2276</v>
      </c>
      <c r="H1579" s="4" t="s">
        <v>524</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3"/>
    </row>
    <row r="1580" spans="1:30" ht="49" customHeight="1">
      <c r="A1580" s="11" t="s">
        <v>4673</v>
      </c>
      <c r="B1580" s="11" t="s">
        <v>4691</v>
      </c>
      <c r="C1580" s="3" t="s">
        <v>24</v>
      </c>
      <c r="D1580" s="3" t="s">
        <v>27</v>
      </c>
      <c r="E1580" s="4" t="s">
        <v>3854</v>
      </c>
      <c r="F1580" s="4" t="s">
        <v>28</v>
      </c>
      <c r="G1580" s="3" t="s">
        <v>2276</v>
      </c>
      <c r="H1580" s="4" t="s">
        <v>524</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3"/>
    </row>
    <row r="1581" spans="1:30" ht="49" customHeight="1">
      <c r="A1581" s="11" t="s">
        <v>4674</v>
      </c>
      <c r="B1581" s="11" t="s">
        <v>4692</v>
      </c>
      <c r="C1581" s="3" t="s">
        <v>24</v>
      </c>
      <c r="D1581" s="3" t="s">
        <v>27</v>
      </c>
      <c r="E1581" s="4" t="s">
        <v>3854</v>
      </c>
      <c r="F1581" s="4" t="s">
        <v>28</v>
      </c>
      <c r="G1581" s="3" t="s">
        <v>2276</v>
      </c>
      <c r="H1581" s="4" t="s">
        <v>524</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3"/>
    </row>
    <row r="1582" spans="1:30" ht="38" customHeight="1">
      <c r="A1582" s="3" t="s">
        <v>4695</v>
      </c>
      <c r="B1582" s="3" t="s">
        <v>4702</v>
      </c>
      <c r="C1582" s="3" t="s">
        <v>24</v>
      </c>
      <c r="D1582" s="3" t="s">
        <v>1245</v>
      </c>
      <c r="E1582" s="3" t="s">
        <v>5005</v>
      </c>
      <c r="F1582" s="4" t="s">
        <v>2662</v>
      </c>
      <c r="G1582" s="3" t="s">
        <v>2276</v>
      </c>
      <c r="H1582" s="4" t="s">
        <v>524</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3"/>
    </row>
    <row r="1583" spans="1:30" ht="38" customHeight="1">
      <c r="A1583" s="3" t="s">
        <v>4696</v>
      </c>
      <c r="B1583" s="3" t="s">
        <v>4703</v>
      </c>
      <c r="C1583" s="3" t="s">
        <v>24</v>
      </c>
      <c r="D1583" s="3" t="s">
        <v>1245</v>
      </c>
      <c r="E1583" s="3" t="s">
        <v>5005</v>
      </c>
      <c r="F1583" s="4" t="s">
        <v>2662</v>
      </c>
      <c r="G1583" s="3" t="s">
        <v>2276</v>
      </c>
      <c r="H1583" s="4" t="s">
        <v>524</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3"/>
    </row>
    <row r="1584" spans="1:30" ht="38" customHeight="1">
      <c r="A1584" s="3" t="s">
        <v>4697</v>
      </c>
      <c r="B1584" s="3" t="s">
        <v>4704</v>
      </c>
      <c r="C1584" s="3" t="s">
        <v>24</v>
      </c>
      <c r="D1584" s="3" t="s">
        <v>1245</v>
      </c>
      <c r="E1584" s="3" t="s">
        <v>5005</v>
      </c>
      <c r="F1584" s="4" t="s">
        <v>2662</v>
      </c>
      <c r="G1584" s="3" t="s">
        <v>2276</v>
      </c>
      <c r="H1584" s="4" t="s">
        <v>524</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3"/>
    </row>
    <row r="1585" spans="1:30" ht="54.5" customHeight="1">
      <c r="A1585" s="3" t="s">
        <v>4695</v>
      </c>
      <c r="B1585" s="3" t="s">
        <v>4707</v>
      </c>
      <c r="C1585" s="3" t="s">
        <v>24</v>
      </c>
      <c r="D1585" s="3" t="s">
        <v>2231</v>
      </c>
      <c r="E1585" s="4" t="s">
        <v>397</v>
      </c>
      <c r="F1585" s="4" t="s">
        <v>2662</v>
      </c>
      <c r="G1585" s="3" t="s">
        <v>2276</v>
      </c>
      <c r="H1585" s="3" t="s">
        <v>523</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3"/>
    </row>
    <row r="1586" spans="1:30" ht="54.5" customHeight="1">
      <c r="A1586" s="3" t="s">
        <v>4696</v>
      </c>
      <c r="B1586" s="3" t="s">
        <v>4708</v>
      </c>
      <c r="C1586" s="3" t="s">
        <v>24</v>
      </c>
      <c r="D1586" s="3" t="s">
        <v>2231</v>
      </c>
      <c r="E1586" s="4" t="s">
        <v>397</v>
      </c>
      <c r="F1586" s="4" t="s">
        <v>2662</v>
      </c>
      <c r="G1586" s="3" t="s">
        <v>2276</v>
      </c>
      <c r="H1586" s="3" t="s">
        <v>523</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3"/>
    </row>
    <row r="1587" spans="1:30" ht="54.5" customHeight="1">
      <c r="A1587" s="3" t="s">
        <v>4697</v>
      </c>
      <c r="B1587" s="3" t="s">
        <v>4709</v>
      </c>
      <c r="C1587" s="3" t="s">
        <v>24</v>
      </c>
      <c r="D1587" s="3" t="s">
        <v>2231</v>
      </c>
      <c r="E1587" s="4" t="s">
        <v>397</v>
      </c>
      <c r="F1587" s="4" t="s">
        <v>2662</v>
      </c>
      <c r="G1587" s="3" t="s">
        <v>2276</v>
      </c>
      <c r="H1587" s="3" t="s">
        <v>523</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3"/>
    </row>
    <row r="1588" spans="1:30" ht="54.5" customHeight="1">
      <c r="A1588" s="3" t="s">
        <v>4695</v>
      </c>
      <c r="B1588" s="3" t="s">
        <v>4710</v>
      </c>
      <c r="C1588" s="3" t="s">
        <v>24</v>
      </c>
      <c r="D1588" s="3" t="s">
        <v>2346</v>
      </c>
      <c r="E1588" s="4" t="s">
        <v>397</v>
      </c>
      <c r="F1588" s="4" t="s">
        <v>29</v>
      </c>
      <c r="G1588" s="3" t="s">
        <v>2276</v>
      </c>
      <c r="H1588" s="3" t="s">
        <v>523</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3"/>
    </row>
    <row r="1589" spans="1:30" ht="54.5" customHeight="1">
      <c r="A1589" s="3" t="s">
        <v>4696</v>
      </c>
      <c r="B1589" s="3" t="s">
        <v>4711</v>
      </c>
      <c r="C1589" s="3" t="s">
        <v>24</v>
      </c>
      <c r="D1589" s="3" t="s">
        <v>2346</v>
      </c>
      <c r="E1589" s="4" t="s">
        <v>397</v>
      </c>
      <c r="F1589" s="4" t="s">
        <v>29</v>
      </c>
      <c r="G1589" s="3" t="s">
        <v>2276</v>
      </c>
      <c r="H1589" s="3" t="s">
        <v>523</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3"/>
    </row>
    <row r="1590" spans="1:30" ht="54.5" customHeight="1">
      <c r="A1590" s="3" t="s">
        <v>4697</v>
      </c>
      <c r="B1590" s="3" t="s">
        <v>4712</v>
      </c>
      <c r="C1590" s="3" t="s">
        <v>24</v>
      </c>
      <c r="D1590" s="3" t="s">
        <v>2346</v>
      </c>
      <c r="E1590" s="4" t="s">
        <v>397</v>
      </c>
      <c r="F1590" s="4" t="s">
        <v>29</v>
      </c>
      <c r="G1590" s="3" t="s">
        <v>2276</v>
      </c>
      <c r="H1590" s="3" t="s">
        <v>523</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3"/>
    </row>
    <row r="1591" spans="1:30" ht="57.5" customHeight="1">
      <c r="A1591" s="11" t="s">
        <v>4716</v>
      </c>
      <c r="B1591" s="11" t="s">
        <v>4724</v>
      </c>
      <c r="C1591" s="3" t="s">
        <v>24</v>
      </c>
      <c r="D1591" s="3" t="s">
        <v>2346</v>
      </c>
      <c r="E1591" s="3" t="s">
        <v>84</v>
      </c>
      <c r="F1591" s="4" t="s">
        <v>29</v>
      </c>
      <c r="G1591" s="3" t="s">
        <v>2276</v>
      </c>
      <c r="H1591" s="3" t="s">
        <v>523</v>
      </c>
      <c r="I1591" s="3"/>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3" t="s">
        <v>404</v>
      </c>
      <c r="AA1591" s="3" t="s">
        <v>68</v>
      </c>
      <c r="AB1591" s="3" t="s">
        <v>64</v>
      </c>
      <c r="AC1591" s="4" t="s">
        <v>4725</v>
      </c>
      <c r="AD1591" s="3"/>
    </row>
    <row r="1592" spans="1:30" ht="57.5" customHeight="1">
      <c r="A1592" s="11" t="s">
        <v>4716</v>
      </c>
      <c r="B1592" s="11" t="s">
        <v>4726</v>
      </c>
      <c r="C1592" s="3" t="s">
        <v>24</v>
      </c>
      <c r="D1592" s="3" t="s">
        <v>1105</v>
      </c>
      <c r="E1592" s="3" t="s">
        <v>2647</v>
      </c>
      <c r="F1592" s="4" t="s">
        <v>28</v>
      </c>
      <c r="G1592" s="3" t="s">
        <v>2276</v>
      </c>
      <c r="H1592" s="3" t="s">
        <v>524</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3"/>
    </row>
    <row r="1593" spans="1:30" ht="54.5" customHeight="1">
      <c r="A1593" s="11" t="s">
        <v>4716</v>
      </c>
      <c r="B1593" s="11" t="s">
        <v>4727</v>
      </c>
      <c r="C1593" s="3" t="s">
        <v>2656</v>
      </c>
      <c r="D1593" s="3" t="s">
        <v>2276</v>
      </c>
      <c r="E1593" s="3" t="s">
        <v>2276</v>
      </c>
      <c r="F1593" s="4" t="s">
        <v>2276</v>
      </c>
      <c r="G1593" s="4" t="s">
        <v>2662</v>
      </c>
      <c r="H1593" s="3" t="s">
        <v>523</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3"/>
      <c r="AD1593" s="3"/>
    </row>
    <row r="1594" spans="1:30" ht="54.5" customHeight="1">
      <c r="A1594" s="11" t="s">
        <v>4716</v>
      </c>
      <c r="B1594" s="11" t="s">
        <v>4728</v>
      </c>
      <c r="C1594" s="3" t="s">
        <v>2656</v>
      </c>
      <c r="D1594" s="3" t="s">
        <v>2276</v>
      </c>
      <c r="E1594" s="3" t="s">
        <v>2276</v>
      </c>
      <c r="F1594" s="4" t="s">
        <v>2276</v>
      </c>
      <c r="G1594" s="3" t="s">
        <v>28</v>
      </c>
      <c r="H1594" s="3" t="s">
        <v>524</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3"/>
    </row>
    <row r="1595" spans="1:30" ht="52.5" customHeight="1">
      <c r="A1595" s="11" t="s">
        <v>4716</v>
      </c>
      <c r="B1595" s="11" t="s">
        <v>4775</v>
      </c>
      <c r="C1595" s="3" t="s">
        <v>24</v>
      </c>
      <c r="D1595" s="3" t="s">
        <v>2804</v>
      </c>
      <c r="E1595" s="3" t="s">
        <v>5005</v>
      </c>
      <c r="F1595" s="4" t="s">
        <v>2662</v>
      </c>
      <c r="G1595" s="3" t="s">
        <v>2276</v>
      </c>
      <c r="H1595" s="3" t="s">
        <v>523</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3"/>
    </row>
    <row r="1596" spans="1:30" ht="54.5" customHeight="1">
      <c r="A1596" s="11" t="s">
        <v>4742</v>
      </c>
      <c r="B1596" s="11" t="s">
        <v>4749</v>
      </c>
      <c r="C1596" s="3" t="s">
        <v>2656</v>
      </c>
      <c r="D1596" s="3" t="s">
        <v>2276</v>
      </c>
      <c r="E1596" s="3" t="s">
        <v>2276</v>
      </c>
      <c r="F1596" s="4" t="s">
        <v>2276</v>
      </c>
      <c r="G1596" s="60" t="s">
        <v>2662</v>
      </c>
      <c r="H1596" s="3"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3"/>
    </row>
    <row r="1597" spans="1:30" ht="55.5" customHeight="1">
      <c r="A1597" s="35" t="s">
        <v>4742</v>
      </c>
      <c r="B1597" s="35" t="s">
        <v>4750</v>
      </c>
      <c r="C1597" s="38" t="s">
        <v>24</v>
      </c>
      <c r="D1597" s="38" t="s">
        <v>144</v>
      </c>
      <c r="E1597" s="3" t="s">
        <v>137</v>
      </c>
      <c r="F1597" s="168" t="s">
        <v>2662</v>
      </c>
      <c r="G1597" s="168"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8"/>
    </row>
    <row r="1598" spans="1:30" s="122" customFormat="1" ht="43.5" customHeight="1">
      <c r="A1598" s="11" t="s">
        <v>4742</v>
      </c>
      <c r="B1598" s="11" t="s">
        <v>4752</v>
      </c>
      <c r="C1598" s="3" t="s">
        <v>24</v>
      </c>
      <c r="D1598" s="3" t="s">
        <v>2276</v>
      </c>
      <c r="E1598" s="3" t="s">
        <v>1105</v>
      </c>
      <c r="F1598" s="4" t="s">
        <v>2662</v>
      </c>
      <c r="G1598" s="168" t="s">
        <v>2276</v>
      </c>
      <c r="H1598" s="3"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8" t="s">
        <v>4753</v>
      </c>
    </row>
    <row r="1599" spans="1:30" s="122" customFormat="1" ht="43.5" customHeight="1">
      <c r="A1599" s="11" t="s">
        <v>4747</v>
      </c>
      <c r="B1599" s="11" t="s">
        <v>4754</v>
      </c>
      <c r="C1599" s="3" t="s">
        <v>24</v>
      </c>
      <c r="D1599" s="3" t="s">
        <v>2276</v>
      </c>
      <c r="E1599" s="3" t="s">
        <v>5005</v>
      </c>
      <c r="F1599" s="4" t="s">
        <v>2662</v>
      </c>
      <c r="G1599" s="168" t="s">
        <v>2276</v>
      </c>
      <c r="H1599" s="3"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8" t="s">
        <v>4753</v>
      </c>
    </row>
    <row r="1600" spans="1:30" s="122" customFormat="1" ht="43.5" customHeight="1">
      <c r="A1600" s="11" t="s">
        <v>4747</v>
      </c>
      <c r="B1600" s="11" t="s">
        <v>4756</v>
      </c>
      <c r="C1600" s="3" t="s">
        <v>24</v>
      </c>
      <c r="D1600" s="3" t="s">
        <v>2276</v>
      </c>
      <c r="E1600" s="3" t="s">
        <v>5005</v>
      </c>
      <c r="F1600" s="4" t="s">
        <v>2662</v>
      </c>
      <c r="G1600" s="168" t="s">
        <v>2276</v>
      </c>
      <c r="H1600" s="3" t="s">
        <v>523</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3" t="s">
        <v>38</v>
      </c>
      <c r="AA1600" s="3" t="s">
        <v>405</v>
      </c>
      <c r="AB1600" s="3" t="s">
        <v>76</v>
      </c>
      <c r="AC1600" s="4" t="s">
        <v>4762</v>
      </c>
      <c r="AD1600" s="168" t="s">
        <v>4753</v>
      </c>
    </row>
    <row r="1601" spans="1:30" s="122" customFormat="1" ht="43.5" customHeight="1">
      <c r="A1601" s="11" t="s">
        <v>4747</v>
      </c>
      <c r="B1601" s="11" t="s">
        <v>4757</v>
      </c>
      <c r="C1601" s="3" t="s">
        <v>24</v>
      </c>
      <c r="D1601" s="3" t="s">
        <v>2276</v>
      </c>
      <c r="E1601" s="3" t="s">
        <v>45</v>
      </c>
      <c r="F1601" s="4" t="s">
        <v>2662</v>
      </c>
      <c r="G1601" s="168" t="s">
        <v>2276</v>
      </c>
      <c r="H1601" s="3" t="s">
        <v>523</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3" t="s">
        <v>38</v>
      </c>
      <c r="AA1601" s="3" t="s">
        <v>405</v>
      </c>
      <c r="AB1601" s="3" t="s">
        <v>76</v>
      </c>
      <c r="AC1601" s="4" t="s">
        <v>4762</v>
      </c>
      <c r="AD1601" s="168" t="s">
        <v>4753</v>
      </c>
    </row>
    <row r="1602" spans="1:30" s="122" customFormat="1" ht="43.5" customHeight="1">
      <c r="A1602" s="11" t="s">
        <v>4747</v>
      </c>
      <c r="B1602" s="11" t="s">
        <v>4758</v>
      </c>
      <c r="C1602" s="3" t="s">
        <v>24</v>
      </c>
      <c r="D1602" s="3" t="s">
        <v>2276</v>
      </c>
      <c r="E1602" s="3" t="s">
        <v>130</v>
      </c>
      <c r="F1602" s="4" t="s">
        <v>2662</v>
      </c>
      <c r="G1602" s="168" t="s">
        <v>2276</v>
      </c>
      <c r="H1602" s="3" t="s">
        <v>523</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3" t="s">
        <v>38</v>
      </c>
      <c r="AA1602" s="3" t="s">
        <v>405</v>
      </c>
      <c r="AB1602" s="3" t="s">
        <v>76</v>
      </c>
      <c r="AC1602" s="4" t="s">
        <v>4762</v>
      </c>
      <c r="AD1602" s="168" t="s">
        <v>4753</v>
      </c>
    </row>
    <row r="1603" spans="1:30" s="122" customFormat="1" ht="43.5" customHeight="1">
      <c r="A1603" s="11" t="s">
        <v>4748</v>
      </c>
      <c r="B1603" s="11" t="s">
        <v>4755</v>
      </c>
      <c r="C1603" s="3" t="s">
        <v>24</v>
      </c>
      <c r="D1603" s="3" t="s">
        <v>25</v>
      </c>
      <c r="E1603" s="3" t="s">
        <v>45</v>
      </c>
      <c r="F1603" s="4" t="s">
        <v>2662</v>
      </c>
      <c r="G1603" s="168" t="s">
        <v>2276</v>
      </c>
      <c r="H1603" s="3" t="s">
        <v>524</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3"/>
      <c r="AD1603" s="3"/>
    </row>
    <row r="1604" spans="1:30" s="122" customFormat="1" ht="43.5" customHeight="1">
      <c r="A1604" s="11" t="s">
        <v>4748</v>
      </c>
      <c r="B1604" s="11" t="s">
        <v>4759</v>
      </c>
      <c r="C1604" s="3" t="s">
        <v>24</v>
      </c>
      <c r="D1604" s="3" t="s">
        <v>25</v>
      </c>
      <c r="E1604" s="3" t="s">
        <v>45</v>
      </c>
      <c r="F1604" s="4" t="s">
        <v>2662</v>
      </c>
      <c r="G1604" s="168" t="s">
        <v>2276</v>
      </c>
      <c r="H1604" s="3" t="s">
        <v>523</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3" t="s">
        <v>38</v>
      </c>
      <c r="AA1604" s="3" t="s">
        <v>405</v>
      </c>
      <c r="AB1604" s="3" t="s">
        <v>2276</v>
      </c>
      <c r="AC1604" s="3"/>
      <c r="AD1604" s="168" t="s">
        <v>4753</v>
      </c>
    </row>
    <row r="1605" spans="1:30" s="122" customFormat="1" ht="43.5" customHeight="1">
      <c r="A1605" s="11" t="s">
        <v>4748</v>
      </c>
      <c r="B1605" s="11" t="s">
        <v>4760</v>
      </c>
      <c r="C1605" s="3" t="s">
        <v>24</v>
      </c>
      <c r="D1605" s="3" t="s">
        <v>25</v>
      </c>
      <c r="E1605" s="3" t="s">
        <v>2647</v>
      </c>
      <c r="F1605" s="4" t="s">
        <v>2662</v>
      </c>
      <c r="G1605" s="168" t="s">
        <v>2276</v>
      </c>
      <c r="H1605" s="3" t="s">
        <v>524</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3"/>
      <c r="AD1605" s="3"/>
    </row>
    <row r="1606" spans="1:30" s="122" customFormat="1" ht="39" customHeight="1">
      <c r="A1606" s="11" t="s">
        <v>4748</v>
      </c>
      <c r="B1606" s="11" t="s">
        <v>4761</v>
      </c>
      <c r="C1606" s="3" t="s">
        <v>24</v>
      </c>
      <c r="D1606" s="3" t="s">
        <v>25</v>
      </c>
      <c r="E1606" s="3" t="s">
        <v>2647</v>
      </c>
      <c r="F1606" s="4" t="s">
        <v>2662</v>
      </c>
      <c r="G1606" s="4" t="s">
        <v>2276</v>
      </c>
      <c r="H1606" s="3" t="s">
        <v>523</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3" t="s">
        <v>38</v>
      </c>
      <c r="AA1606" s="3" t="s">
        <v>405</v>
      </c>
      <c r="AB1606" s="3" t="s">
        <v>2276</v>
      </c>
      <c r="AC1606" s="3"/>
      <c r="AD1606" s="4" t="s">
        <v>4753</v>
      </c>
    </row>
    <row r="1607" spans="1:30" ht="40" customHeight="1">
      <c r="A1607" s="11" t="s">
        <v>4773</v>
      </c>
      <c r="B1607" s="11" t="s">
        <v>4774</v>
      </c>
      <c r="C1607" s="3" t="s">
        <v>1105</v>
      </c>
      <c r="D1607" s="3" t="s">
        <v>1105</v>
      </c>
      <c r="E1607" s="3" t="s">
        <v>1105</v>
      </c>
      <c r="F1607" s="4" t="s">
        <v>2276</v>
      </c>
      <c r="G1607" s="4" t="s">
        <v>2662</v>
      </c>
      <c r="H1607" s="3" t="s">
        <v>523</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3"/>
      <c r="AD1607" s="3"/>
    </row>
    <row r="1608" spans="1:30" ht="67.5" customHeight="1">
      <c r="A1608" s="11" t="s">
        <v>4777</v>
      </c>
      <c r="B1608" s="11" t="s">
        <v>4783</v>
      </c>
      <c r="C1608" s="3" t="s">
        <v>24</v>
      </c>
      <c r="D1608" s="3" t="s">
        <v>2804</v>
      </c>
      <c r="E1608" s="3" t="s">
        <v>5005</v>
      </c>
      <c r="F1608" s="4" t="s">
        <v>2662</v>
      </c>
      <c r="G1608" s="4" t="s">
        <v>2662</v>
      </c>
      <c r="H1608" s="3" t="s">
        <v>524</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3"/>
    </row>
    <row r="1609" spans="1:30" ht="44.5" customHeight="1">
      <c r="A1609" s="11" t="s">
        <v>4781</v>
      </c>
      <c r="B1609" s="11" t="s">
        <v>4784</v>
      </c>
      <c r="C1609" s="3" t="s">
        <v>24</v>
      </c>
      <c r="D1609" s="3" t="s">
        <v>2804</v>
      </c>
      <c r="E1609" s="3" t="s">
        <v>5005</v>
      </c>
      <c r="F1609" s="4" t="s">
        <v>2662</v>
      </c>
      <c r="G1609" s="4" t="s">
        <v>2662</v>
      </c>
      <c r="H1609" s="3" t="s">
        <v>523</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3"/>
      <c r="AD1609" s="3"/>
    </row>
    <row r="1610" spans="1:30" ht="32.5" customHeight="1">
      <c r="A1610" s="11" t="s">
        <v>4791</v>
      </c>
      <c r="B1610" s="11" t="s">
        <v>4794</v>
      </c>
      <c r="C1610" s="3" t="s">
        <v>24</v>
      </c>
      <c r="D1610" s="3" t="s">
        <v>2804</v>
      </c>
      <c r="E1610" s="3" t="s">
        <v>5005</v>
      </c>
      <c r="F1610" s="4" t="s">
        <v>2662</v>
      </c>
      <c r="G1610" s="4" t="s">
        <v>2276</v>
      </c>
      <c r="H1610" s="3" t="s">
        <v>523</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3"/>
      <c r="AD1610" s="3"/>
    </row>
    <row r="1611" spans="1:30" ht="32.5" customHeight="1">
      <c r="A1611" s="11" t="s">
        <v>4793</v>
      </c>
      <c r="B1611" s="11" t="s">
        <v>4795</v>
      </c>
      <c r="C1611" s="3" t="s">
        <v>24</v>
      </c>
      <c r="D1611" s="3" t="s">
        <v>1105</v>
      </c>
      <c r="E1611" s="3" t="s">
        <v>130</v>
      </c>
      <c r="F1611" s="4" t="s">
        <v>2276</v>
      </c>
      <c r="G1611" s="4" t="s">
        <v>2276</v>
      </c>
      <c r="H1611" s="3" t="s">
        <v>523</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3"/>
      <c r="AD1611" s="3"/>
    </row>
    <row r="1612" spans="1:30" ht="54.5" customHeight="1">
      <c r="A1612" s="11" t="s">
        <v>4793</v>
      </c>
      <c r="B1612" s="11" t="s">
        <v>4796</v>
      </c>
      <c r="C1612" s="3" t="s">
        <v>24</v>
      </c>
      <c r="D1612" s="3" t="s">
        <v>2804</v>
      </c>
      <c r="E1612" s="3" t="s">
        <v>5005</v>
      </c>
      <c r="F1612" s="4" t="s">
        <v>74</v>
      </c>
      <c r="G1612" s="4" t="s">
        <v>2276</v>
      </c>
      <c r="H1612" s="3" t="s">
        <v>524</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3"/>
    </row>
    <row r="1613" spans="1:30" ht="46.5" customHeight="1">
      <c r="A1613" s="11" t="s">
        <v>4799</v>
      </c>
      <c r="B1613" s="11" t="s">
        <v>4813</v>
      </c>
      <c r="C1613" s="3" t="s">
        <v>24</v>
      </c>
      <c r="D1613" s="3" t="s">
        <v>2804</v>
      </c>
      <c r="E1613" s="3" t="s">
        <v>5005</v>
      </c>
      <c r="F1613" s="4" t="s">
        <v>74</v>
      </c>
      <c r="G1613" s="4" t="s">
        <v>2276</v>
      </c>
      <c r="H1613" s="3" t="s">
        <v>524</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3"/>
    </row>
    <row r="1614" spans="1:30" ht="46.5" customHeight="1">
      <c r="A1614" s="11" t="s">
        <v>4802</v>
      </c>
      <c r="B1614" s="11" t="s">
        <v>4814</v>
      </c>
      <c r="C1614" s="3" t="s">
        <v>24</v>
      </c>
      <c r="D1614" s="3" t="s">
        <v>2804</v>
      </c>
      <c r="E1614" s="3" t="s">
        <v>5005</v>
      </c>
      <c r="F1614" s="4" t="s">
        <v>74</v>
      </c>
      <c r="G1614" s="4" t="s">
        <v>2276</v>
      </c>
      <c r="H1614" s="3" t="s">
        <v>524</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3"/>
    </row>
    <row r="1615" spans="1:30" ht="46.5" customHeight="1">
      <c r="A1615" s="11" t="s">
        <v>4803</v>
      </c>
      <c r="B1615" s="11" t="s">
        <v>4815</v>
      </c>
      <c r="C1615" s="3" t="s">
        <v>24</v>
      </c>
      <c r="D1615" s="3" t="s">
        <v>2804</v>
      </c>
      <c r="E1615" s="3" t="s">
        <v>5005</v>
      </c>
      <c r="F1615" s="4" t="s">
        <v>74</v>
      </c>
      <c r="G1615" s="4" t="s">
        <v>2276</v>
      </c>
      <c r="H1615" s="3" t="s">
        <v>524</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3"/>
    </row>
    <row r="1616" spans="1:30" ht="46.5" customHeight="1">
      <c r="A1616" s="11" t="s">
        <v>4804</v>
      </c>
      <c r="B1616" s="11" t="s">
        <v>4816</v>
      </c>
      <c r="C1616" s="3" t="s">
        <v>24</v>
      </c>
      <c r="D1616" s="3" t="s">
        <v>2804</v>
      </c>
      <c r="E1616" s="3" t="s">
        <v>5005</v>
      </c>
      <c r="F1616" s="4" t="s">
        <v>74</v>
      </c>
      <c r="G1616" s="4" t="s">
        <v>2276</v>
      </c>
      <c r="H1616" s="3" t="s">
        <v>524</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3"/>
    </row>
    <row r="1617" spans="1:30" ht="46.5" customHeight="1">
      <c r="A1617" s="11" t="s">
        <v>4805</v>
      </c>
      <c r="B1617" s="11" t="s">
        <v>4817</v>
      </c>
      <c r="C1617" s="3" t="s">
        <v>24</v>
      </c>
      <c r="D1617" s="3" t="s">
        <v>2804</v>
      </c>
      <c r="E1617" s="3" t="s">
        <v>5005</v>
      </c>
      <c r="F1617" s="4" t="s">
        <v>74</v>
      </c>
      <c r="G1617" s="4" t="s">
        <v>2276</v>
      </c>
      <c r="H1617" s="3" t="s">
        <v>524</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3"/>
    </row>
    <row r="1618" spans="1:30" ht="46.5" customHeight="1">
      <c r="A1618" s="11" t="s">
        <v>4799</v>
      </c>
      <c r="B1618" s="11" t="s">
        <v>4818</v>
      </c>
      <c r="C1618" s="3" t="s">
        <v>24</v>
      </c>
      <c r="D1618" s="3" t="s">
        <v>2231</v>
      </c>
      <c r="E1618" s="3" t="s">
        <v>5005</v>
      </c>
      <c r="F1618" s="4" t="s">
        <v>74</v>
      </c>
      <c r="G1618" s="4" t="s">
        <v>2276</v>
      </c>
      <c r="H1618" s="3" t="s">
        <v>524</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3"/>
    </row>
    <row r="1619" spans="1:30" ht="46.5" customHeight="1">
      <c r="A1619" s="11" t="s">
        <v>4802</v>
      </c>
      <c r="B1619" s="11" t="s">
        <v>4819</v>
      </c>
      <c r="C1619" s="3" t="s">
        <v>24</v>
      </c>
      <c r="D1619" s="3" t="s">
        <v>2231</v>
      </c>
      <c r="E1619" s="3" t="s">
        <v>5005</v>
      </c>
      <c r="F1619" s="4" t="s">
        <v>74</v>
      </c>
      <c r="G1619" s="4" t="s">
        <v>2276</v>
      </c>
      <c r="H1619" s="3" t="s">
        <v>524</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3"/>
    </row>
    <row r="1620" spans="1:30" ht="46.5" customHeight="1">
      <c r="A1620" s="11" t="s">
        <v>4803</v>
      </c>
      <c r="B1620" s="11" t="s">
        <v>4820</v>
      </c>
      <c r="C1620" s="3" t="s">
        <v>24</v>
      </c>
      <c r="D1620" s="3" t="s">
        <v>2231</v>
      </c>
      <c r="E1620" s="3" t="s">
        <v>5005</v>
      </c>
      <c r="F1620" s="4" t="s">
        <v>74</v>
      </c>
      <c r="G1620" s="4" t="s">
        <v>2276</v>
      </c>
      <c r="H1620" s="3" t="s">
        <v>524</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3"/>
    </row>
    <row r="1621" spans="1:30" ht="46.5" customHeight="1">
      <c r="A1621" s="11" t="s">
        <v>4804</v>
      </c>
      <c r="B1621" s="11" t="s">
        <v>4821</v>
      </c>
      <c r="C1621" s="3" t="s">
        <v>24</v>
      </c>
      <c r="D1621" s="3" t="s">
        <v>2231</v>
      </c>
      <c r="E1621" s="3" t="s">
        <v>5005</v>
      </c>
      <c r="F1621" s="4" t="s">
        <v>74</v>
      </c>
      <c r="G1621" s="4" t="s">
        <v>2276</v>
      </c>
      <c r="H1621" s="3" t="s">
        <v>524</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3"/>
    </row>
    <row r="1622" spans="1:30" ht="46.5" customHeight="1">
      <c r="A1622" s="11" t="s">
        <v>4805</v>
      </c>
      <c r="B1622" s="11" t="s">
        <v>4822</v>
      </c>
      <c r="C1622" s="3" t="s">
        <v>24</v>
      </c>
      <c r="D1622" s="3" t="s">
        <v>2231</v>
      </c>
      <c r="E1622" s="3" t="s">
        <v>5005</v>
      </c>
      <c r="F1622" s="4" t="s">
        <v>74</v>
      </c>
      <c r="G1622" s="4" t="s">
        <v>2276</v>
      </c>
      <c r="H1622" s="3" t="s">
        <v>524</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3"/>
    </row>
    <row r="1623" spans="1:30" ht="38.5" customHeight="1">
      <c r="A1623" s="11" t="s">
        <v>4802</v>
      </c>
      <c r="B1623" s="11" t="s">
        <v>4824</v>
      </c>
      <c r="C1623" s="3" t="s">
        <v>31</v>
      </c>
      <c r="D1623" s="3" t="s">
        <v>30</v>
      </c>
      <c r="E1623" s="3" t="s">
        <v>2276</v>
      </c>
      <c r="F1623" s="4" t="s">
        <v>74</v>
      </c>
      <c r="G1623" s="4" t="s">
        <v>2276</v>
      </c>
      <c r="H1623" s="3" t="s">
        <v>523</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3" t="s">
        <v>4828</v>
      </c>
      <c r="AD1623" s="3"/>
    </row>
    <row r="1624" spans="1:30" ht="38.5" customHeight="1">
      <c r="A1624" s="11" t="s">
        <v>4803</v>
      </c>
      <c r="B1624" s="11" t="s">
        <v>4825</v>
      </c>
      <c r="C1624" s="3" t="s">
        <v>31</v>
      </c>
      <c r="D1624" s="3" t="s">
        <v>30</v>
      </c>
      <c r="E1624" s="3" t="s">
        <v>2276</v>
      </c>
      <c r="F1624" s="4" t="s">
        <v>74</v>
      </c>
      <c r="G1624" s="4" t="s">
        <v>2276</v>
      </c>
      <c r="H1624" s="3" t="s">
        <v>523</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3" t="s">
        <v>4828</v>
      </c>
      <c r="AD1624" s="3"/>
    </row>
    <row r="1625" spans="1:30" ht="38.5" customHeight="1">
      <c r="A1625" s="11" t="s">
        <v>4804</v>
      </c>
      <c r="B1625" s="11" t="s">
        <v>4826</v>
      </c>
      <c r="C1625" s="3" t="s">
        <v>31</v>
      </c>
      <c r="D1625" s="3" t="s">
        <v>30</v>
      </c>
      <c r="E1625" s="3" t="s">
        <v>2276</v>
      </c>
      <c r="F1625" s="4" t="s">
        <v>74</v>
      </c>
      <c r="G1625" s="4" t="s">
        <v>2276</v>
      </c>
      <c r="H1625" s="3" t="s">
        <v>523</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3" t="s">
        <v>4828</v>
      </c>
      <c r="AD1625" s="3"/>
    </row>
    <row r="1626" spans="1:30" ht="38.5" customHeight="1">
      <c r="A1626" s="11" t="s">
        <v>4805</v>
      </c>
      <c r="B1626" s="11" t="s">
        <v>4827</v>
      </c>
      <c r="C1626" s="3" t="s">
        <v>31</v>
      </c>
      <c r="D1626" s="3" t="s">
        <v>30</v>
      </c>
      <c r="E1626" s="3" t="s">
        <v>2276</v>
      </c>
      <c r="F1626" s="4" t="s">
        <v>74</v>
      </c>
      <c r="G1626" s="4" t="s">
        <v>2276</v>
      </c>
      <c r="H1626" s="3" t="s">
        <v>523</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3" t="s">
        <v>4828</v>
      </c>
      <c r="AD1626" s="3"/>
    </row>
    <row r="1627" spans="1:30" ht="40" customHeight="1">
      <c r="A1627" s="11" t="s">
        <v>4803</v>
      </c>
      <c r="B1627" s="11" t="s">
        <v>4829</v>
      </c>
      <c r="C1627" s="3" t="s">
        <v>24</v>
      </c>
      <c r="D1627" s="3" t="s">
        <v>1242</v>
      </c>
      <c r="E1627" s="3" t="s">
        <v>2649</v>
      </c>
      <c r="F1627" s="4" t="s">
        <v>74</v>
      </c>
      <c r="G1627" s="4" t="s">
        <v>2276</v>
      </c>
      <c r="H1627" s="3" t="s">
        <v>524</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3"/>
    </row>
    <row r="1628" spans="1:30" ht="40" customHeight="1">
      <c r="A1628" s="11" t="s">
        <v>4804</v>
      </c>
      <c r="B1628" s="11" t="s">
        <v>4830</v>
      </c>
      <c r="C1628" s="3" t="s">
        <v>24</v>
      </c>
      <c r="D1628" s="3" t="s">
        <v>1242</v>
      </c>
      <c r="E1628" s="3" t="s">
        <v>2649</v>
      </c>
      <c r="F1628" s="4" t="s">
        <v>74</v>
      </c>
      <c r="G1628" s="4" t="s">
        <v>2276</v>
      </c>
      <c r="H1628" s="3" t="s">
        <v>524</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3"/>
    </row>
    <row r="1629" spans="1:30" ht="40" customHeight="1">
      <c r="A1629" s="11" t="s">
        <v>4805</v>
      </c>
      <c r="B1629" s="11" t="s">
        <v>4831</v>
      </c>
      <c r="C1629" s="3" t="s">
        <v>24</v>
      </c>
      <c r="D1629" s="3" t="s">
        <v>1242</v>
      </c>
      <c r="E1629" s="3" t="s">
        <v>2649</v>
      </c>
      <c r="F1629" s="4" t="s">
        <v>74</v>
      </c>
      <c r="G1629" s="4" t="s">
        <v>2276</v>
      </c>
      <c r="H1629" s="3" t="s">
        <v>524</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3"/>
    </row>
    <row r="1630" spans="1:30" ht="40.5" customHeight="1">
      <c r="A1630" s="11" t="s">
        <v>4799</v>
      </c>
      <c r="B1630" s="11" t="s">
        <v>6101</v>
      </c>
      <c r="C1630" s="3" t="s">
        <v>1105</v>
      </c>
      <c r="D1630" s="3" t="s">
        <v>2276</v>
      </c>
      <c r="E1630" s="3" t="s">
        <v>2276</v>
      </c>
      <c r="F1630" s="4" t="s">
        <v>2276</v>
      </c>
      <c r="G1630" s="3" t="s">
        <v>74</v>
      </c>
      <c r="H1630" s="3" t="s">
        <v>523</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6102</v>
      </c>
      <c r="C1631" s="3" t="s">
        <v>1105</v>
      </c>
      <c r="D1631" s="3" t="s">
        <v>2276</v>
      </c>
      <c r="E1631" s="3" t="s">
        <v>2276</v>
      </c>
      <c r="F1631" s="4" t="s">
        <v>2276</v>
      </c>
      <c r="G1631" s="3" t="s">
        <v>74</v>
      </c>
      <c r="H1631" s="3" t="s">
        <v>523</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6103</v>
      </c>
      <c r="C1632" s="3" t="s">
        <v>1105</v>
      </c>
      <c r="D1632" s="3" t="s">
        <v>2276</v>
      </c>
      <c r="E1632" s="3" t="s">
        <v>2276</v>
      </c>
      <c r="F1632" s="4" t="s">
        <v>2276</v>
      </c>
      <c r="G1632" s="3" t="s">
        <v>74</v>
      </c>
      <c r="H1632" s="3" t="s">
        <v>523</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3"/>
      <c r="AD1632" s="3"/>
    </row>
    <row r="1633" spans="1:30" ht="40.5" customHeight="1">
      <c r="A1633" s="11" t="s">
        <v>4804</v>
      </c>
      <c r="B1633" s="11" t="s">
        <v>6104</v>
      </c>
      <c r="C1633" s="3" t="s">
        <v>1105</v>
      </c>
      <c r="D1633" s="3" t="s">
        <v>2276</v>
      </c>
      <c r="E1633" s="3" t="s">
        <v>2276</v>
      </c>
      <c r="F1633" s="4" t="s">
        <v>2276</v>
      </c>
      <c r="G1633" s="3" t="s">
        <v>74</v>
      </c>
      <c r="H1633" s="3" t="s">
        <v>523</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3"/>
      <c r="AD1633" s="3"/>
    </row>
    <row r="1634" spans="1:30" ht="40.5" customHeight="1">
      <c r="A1634" s="11" t="s">
        <v>4805</v>
      </c>
      <c r="B1634" s="11" t="s">
        <v>6105</v>
      </c>
      <c r="C1634" s="3" t="s">
        <v>1105</v>
      </c>
      <c r="D1634" s="3" t="s">
        <v>2276</v>
      </c>
      <c r="E1634" s="3" t="s">
        <v>2276</v>
      </c>
      <c r="F1634" s="4" t="s">
        <v>2276</v>
      </c>
      <c r="G1634" s="3" t="s">
        <v>74</v>
      </c>
      <c r="H1634" s="3" t="s">
        <v>523</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3"/>
      <c r="AD1634" s="3"/>
    </row>
    <row r="1635" spans="1:30" ht="45.5" customHeight="1">
      <c r="A1635" s="11" t="s">
        <v>4848</v>
      </c>
      <c r="B1635" s="11" t="s">
        <v>4899</v>
      </c>
      <c r="C1635" s="3" t="s">
        <v>24</v>
      </c>
      <c r="D1635" s="3" t="s">
        <v>2276</v>
      </c>
      <c r="E1635" s="3" t="s">
        <v>45</v>
      </c>
      <c r="F1635" s="4" t="s">
        <v>2276</v>
      </c>
      <c r="G1635" s="4" t="s">
        <v>2662</v>
      </c>
      <c r="H1635" s="3" t="s">
        <v>523</v>
      </c>
      <c r="I1635" s="3"/>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3"/>
      <c r="AD1635" s="3"/>
    </row>
    <row r="1636" spans="1:30" ht="45.5" customHeight="1">
      <c r="A1636" s="11" t="s">
        <v>4850</v>
      </c>
      <c r="B1636" s="11" t="s">
        <v>4900</v>
      </c>
      <c r="C1636" s="3" t="s">
        <v>24</v>
      </c>
      <c r="D1636" s="3" t="s">
        <v>2276</v>
      </c>
      <c r="E1636" s="3" t="s">
        <v>45</v>
      </c>
      <c r="F1636" s="4" t="s">
        <v>2276</v>
      </c>
      <c r="G1636" s="4" t="s">
        <v>2662</v>
      </c>
      <c r="H1636" s="3" t="s">
        <v>523</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3"/>
      <c r="AD1636" s="3"/>
    </row>
    <row r="1637" spans="1:30" ht="45.5" customHeight="1">
      <c r="A1637" s="11" t="s">
        <v>4851</v>
      </c>
      <c r="B1637" s="11" t="s">
        <v>4901</v>
      </c>
      <c r="C1637" s="3" t="s">
        <v>24</v>
      </c>
      <c r="D1637" s="3" t="s">
        <v>2276</v>
      </c>
      <c r="E1637" s="3" t="s">
        <v>45</v>
      </c>
      <c r="F1637" s="4" t="s">
        <v>2276</v>
      </c>
      <c r="G1637" s="4" t="s">
        <v>2662</v>
      </c>
      <c r="H1637" s="3" t="s">
        <v>523</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3"/>
      <c r="AD1637" s="3"/>
    </row>
    <row r="1638" spans="1:30" ht="45.5" customHeight="1">
      <c r="A1638" s="11" t="s">
        <v>4852</v>
      </c>
      <c r="B1638" s="11" t="s">
        <v>4902</v>
      </c>
      <c r="C1638" s="3" t="s">
        <v>24</v>
      </c>
      <c r="D1638" s="3" t="s">
        <v>2276</v>
      </c>
      <c r="E1638" s="3" t="s">
        <v>45</v>
      </c>
      <c r="F1638" s="4" t="s">
        <v>2276</v>
      </c>
      <c r="G1638" s="4" t="s">
        <v>2662</v>
      </c>
      <c r="H1638" s="3" t="s">
        <v>523</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3"/>
      <c r="AD1638" s="3"/>
    </row>
    <row r="1639" spans="1:30" ht="45.5" customHeight="1">
      <c r="A1639" s="11" t="s">
        <v>4853</v>
      </c>
      <c r="B1639" s="11" t="s">
        <v>4903</v>
      </c>
      <c r="C1639" s="3" t="s">
        <v>24</v>
      </c>
      <c r="D1639" s="3" t="s">
        <v>2276</v>
      </c>
      <c r="E1639" s="3" t="s">
        <v>45</v>
      </c>
      <c r="F1639" s="4" t="s">
        <v>2276</v>
      </c>
      <c r="G1639" s="4" t="s">
        <v>2662</v>
      </c>
      <c r="H1639" s="3" t="s">
        <v>523</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3"/>
      <c r="AD1639" s="3"/>
    </row>
    <row r="1640" spans="1:30" ht="45.5" customHeight="1">
      <c r="A1640" s="11" t="s">
        <v>4854</v>
      </c>
      <c r="B1640" s="11" t="s">
        <v>4904</v>
      </c>
      <c r="C1640" s="3" t="s">
        <v>24</v>
      </c>
      <c r="D1640" s="3" t="s">
        <v>2276</v>
      </c>
      <c r="E1640" s="3" t="s">
        <v>45</v>
      </c>
      <c r="F1640" s="4" t="s">
        <v>2276</v>
      </c>
      <c r="G1640" s="4" t="s">
        <v>2662</v>
      </c>
      <c r="H1640" s="3" t="s">
        <v>523</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3"/>
      <c r="AD1640" s="3"/>
    </row>
    <row r="1641" spans="1:30" ht="45.5" customHeight="1">
      <c r="A1641" s="11" t="s">
        <v>4855</v>
      </c>
      <c r="B1641" s="11" t="s">
        <v>4905</v>
      </c>
      <c r="C1641" s="3" t="s">
        <v>24</v>
      </c>
      <c r="D1641" s="3" t="s">
        <v>2276</v>
      </c>
      <c r="E1641" s="3" t="s">
        <v>45</v>
      </c>
      <c r="F1641" s="4" t="s">
        <v>2276</v>
      </c>
      <c r="G1641" s="4" t="s">
        <v>2662</v>
      </c>
      <c r="H1641" s="3" t="s">
        <v>523</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3"/>
      <c r="AD1641" s="3"/>
    </row>
    <row r="1642" spans="1:30" ht="45.5" customHeight="1">
      <c r="A1642" s="11" t="s">
        <v>4856</v>
      </c>
      <c r="B1642" s="11" t="s">
        <v>4906</v>
      </c>
      <c r="C1642" s="3" t="s">
        <v>24</v>
      </c>
      <c r="D1642" s="3" t="s">
        <v>2276</v>
      </c>
      <c r="E1642" s="3" t="s">
        <v>45</v>
      </c>
      <c r="F1642" s="4" t="s">
        <v>2276</v>
      </c>
      <c r="G1642" s="4" t="s">
        <v>2662</v>
      </c>
      <c r="H1642" s="3" t="s">
        <v>523</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3"/>
      <c r="AD1642" s="3"/>
    </row>
    <row r="1643" spans="1:30" ht="45.5" customHeight="1">
      <c r="A1643" s="11" t="s">
        <v>4857</v>
      </c>
      <c r="B1643" s="11" t="s">
        <v>4907</v>
      </c>
      <c r="C1643" s="3" t="s">
        <v>24</v>
      </c>
      <c r="D1643" s="3" t="s">
        <v>2276</v>
      </c>
      <c r="E1643" s="3" t="s">
        <v>45</v>
      </c>
      <c r="F1643" s="4" t="s">
        <v>2276</v>
      </c>
      <c r="G1643" s="4" t="s">
        <v>2662</v>
      </c>
      <c r="H1643" s="3" t="s">
        <v>523</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3"/>
      <c r="AD1643" s="3"/>
    </row>
    <row r="1644" spans="1:30" ht="45.5" customHeight="1">
      <c r="A1644" s="11" t="s">
        <v>4858</v>
      </c>
      <c r="B1644" s="11" t="s">
        <v>4908</v>
      </c>
      <c r="C1644" s="3" t="s">
        <v>24</v>
      </c>
      <c r="D1644" s="3" t="s">
        <v>2276</v>
      </c>
      <c r="E1644" s="3" t="s">
        <v>45</v>
      </c>
      <c r="F1644" s="4" t="s">
        <v>2276</v>
      </c>
      <c r="G1644" s="4" t="s">
        <v>2662</v>
      </c>
      <c r="H1644" s="3" t="s">
        <v>523</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3"/>
      <c r="AD1644" s="3"/>
    </row>
    <row r="1645" spans="1:30" ht="45.5" customHeight="1">
      <c r="A1645" s="11" t="s">
        <v>4859</v>
      </c>
      <c r="B1645" s="11" t="s">
        <v>4909</v>
      </c>
      <c r="C1645" s="3" t="s">
        <v>24</v>
      </c>
      <c r="D1645" s="3" t="s">
        <v>2276</v>
      </c>
      <c r="E1645" s="3" t="s">
        <v>45</v>
      </c>
      <c r="F1645" s="4" t="s">
        <v>2276</v>
      </c>
      <c r="G1645" s="4" t="s">
        <v>2662</v>
      </c>
      <c r="H1645" s="3" t="s">
        <v>523</v>
      </c>
      <c r="I1645" s="3"/>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3"/>
      <c r="AD1645" s="3"/>
    </row>
    <row r="1646" spans="1:30" ht="45.5" customHeight="1">
      <c r="A1646" s="11" t="s">
        <v>4860</v>
      </c>
      <c r="B1646" s="11" t="s">
        <v>4910</v>
      </c>
      <c r="C1646" s="3" t="s">
        <v>24</v>
      </c>
      <c r="D1646" s="3" t="s">
        <v>2276</v>
      </c>
      <c r="E1646" s="3" t="s">
        <v>45</v>
      </c>
      <c r="F1646" s="4" t="s">
        <v>2276</v>
      </c>
      <c r="G1646" s="4" t="s">
        <v>2662</v>
      </c>
      <c r="H1646" s="3" t="s">
        <v>523</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3"/>
      <c r="AD1646" s="3"/>
    </row>
    <row r="1647" spans="1:30" ht="45.5" customHeight="1">
      <c r="A1647" s="11" t="s">
        <v>4861</v>
      </c>
      <c r="B1647" s="11" t="s">
        <v>4911</v>
      </c>
      <c r="C1647" s="3" t="s">
        <v>24</v>
      </c>
      <c r="D1647" s="3" t="s">
        <v>2276</v>
      </c>
      <c r="E1647" s="3" t="s">
        <v>45</v>
      </c>
      <c r="F1647" s="4" t="s">
        <v>2276</v>
      </c>
      <c r="G1647" s="4" t="s">
        <v>2662</v>
      </c>
      <c r="H1647" s="3" t="s">
        <v>523</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3"/>
      <c r="AD1647" s="3"/>
    </row>
    <row r="1648" spans="1:30" ht="45.5" customHeight="1">
      <c r="A1648" s="11" t="s">
        <v>4862</v>
      </c>
      <c r="B1648" s="11" t="s">
        <v>4912</v>
      </c>
      <c r="C1648" s="3" t="s">
        <v>24</v>
      </c>
      <c r="D1648" s="3" t="s">
        <v>2276</v>
      </c>
      <c r="E1648" s="3" t="s">
        <v>45</v>
      </c>
      <c r="F1648" s="4" t="s">
        <v>2276</v>
      </c>
      <c r="G1648" s="4" t="s">
        <v>2662</v>
      </c>
      <c r="H1648" s="3" t="s">
        <v>523</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3"/>
      <c r="AD1648" s="3"/>
    </row>
    <row r="1649" spans="1:30" ht="45.5" customHeight="1">
      <c r="A1649" s="11" t="s">
        <v>4863</v>
      </c>
      <c r="B1649" s="11" t="s">
        <v>4913</v>
      </c>
      <c r="C1649" s="3" t="s">
        <v>24</v>
      </c>
      <c r="D1649" s="3" t="s">
        <v>2276</v>
      </c>
      <c r="E1649" s="3" t="s">
        <v>45</v>
      </c>
      <c r="F1649" s="4" t="s">
        <v>2276</v>
      </c>
      <c r="G1649" s="4" t="s">
        <v>2662</v>
      </c>
      <c r="H1649" s="3" t="s">
        <v>524</v>
      </c>
      <c r="I1649" s="3"/>
      <c r="J1649" s="1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3"/>
      <c r="AD1649" s="3"/>
    </row>
    <row r="1650" spans="1:30" ht="45.5" customHeight="1">
      <c r="A1650" s="11" t="s">
        <v>4864</v>
      </c>
      <c r="B1650" s="11" t="s">
        <v>4914</v>
      </c>
      <c r="C1650" s="3" t="s">
        <v>24</v>
      </c>
      <c r="D1650" s="3" t="s">
        <v>2276</v>
      </c>
      <c r="E1650" s="3" t="s">
        <v>45</v>
      </c>
      <c r="F1650" s="4" t="s">
        <v>2276</v>
      </c>
      <c r="G1650" s="4" t="s">
        <v>2662</v>
      </c>
      <c r="H1650" s="3" t="s">
        <v>523</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3"/>
      <c r="AD1650" s="3"/>
    </row>
    <row r="1651" spans="1:30" ht="45.5" customHeight="1">
      <c r="A1651" s="11" t="s">
        <v>4865</v>
      </c>
      <c r="B1651" s="11" t="s">
        <v>4915</v>
      </c>
      <c r="C1651" s="3" t="s">
        <v>24</v>
      </c>
      <c r="D1651" s="3" t="s">
        <v>2276</v>
      </c>
      <c r="E1651" s="3" t="s">
        <v>45</v>
      </c>
      <c r="F1651" s="4" t="s">
        <v>2276</v>
      </c>
      <c r="G1651" s="4" t="s">
        <v>2662</v>
      </c>
      <c r="H1651" s="3" t="s">
        <v>523</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3"/>
      <c r="AD1651" s="3"/>
    </row>
    <row r="1652" spans="1:30" ht="45.5" customHeight="1">
      <c r="A1652" s="11" t="s">
        <v>4866</v>
      </c>
      <c r="B1652" s="11" t="s">
        <v>4916</v>
      </c>
      <c r="C1652" s="3" t="s">
        <v>24</v>
      </c>
      <c r="D1652" s="3" t="s">
        <v>2276</v>
      </c>
      <c r="E1652" s="3" t="s">
        <v>45</v>
      </c>
      <c r="F1652" s="4" t="s">
        <v>2276</v>
      </c>
      <c r="G1652" s="4" t="s">
        <v>2662</v>
      </c>
      <c r="H1652" s="3" t="s">
        <v>523</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3"/>
      <c r="AD1652" s="3"/>
    </row>
    <row r="1653" spans="1:30" ht="45.5" customHeight="1">
      <c r="A1653" s="11" t="s">
        <v>4867</v>
      </c>
      <c r="B1653" s="11" t="s">
        <v>4917</v>
      </c>
      <c r="C1653" s="3" t="s">
        <v>24</v>
      </c>
      <c r="D1653" s="3" t="s">
        <v>2276</v>
      </c>
      <c r="E1653" s="3" t="s">
        <v>45</v>
      </c>
      <c r="F1653" s="4" t="s">
        <v>2276</v>
      </c>
      <c r="G1653" s="4" t="s">
        <v>2662</v>
      </c>
      <c r="H1653" s="3" t="s">
        <v>523</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3"/>
      <c r="AD1653" s="3"/>
    </row>
    <row r="1654" spans="1:30" ht="45.5" customHeight="1">
      <c r="A1654" s="11" t="s">
        <v>4868</v>
      </c>
      <c r="B1654" s="11" t="s">
        <v>4918</v>
      </c>
      <c r="C1654" s="3" t="s">
        <v>24</v>
      </c>
      <c r="D1654" s="3" t="s">
        <v>2276</v>
      </c>
      <c r="E1654" s="3" t="s">
        <v>45</v>
      </c>
      <c r="F1654" s="4" t="s">
        <v>2276</v>
      </c>
      <c r="G1654" s="4" t="s">
        <v>2662</v>
      </c>
      <c r="H1654" s="3" t="s">
        <v>523</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3"/>
      <c r="AD1654" s="3"/>
    </row>
    <row r="1655" spans="1:30" ht="45.5" customHeight="1">
      <c r="A1655" s="11" t="s">
        <v>4869</v>
      </c>
      <c r="B1655" s="11" t="s">
        <v>4919</v>
      </c>
      <c r="C1655" s="3" t="s">
        <v>24</v>
      </c>
      <c r="D1655" s="3" t="s">
        <v>2276</v>
      </c>
      <c r="E1655" s="3" t="s">
        <v>45</v>
      </c>
      <c r="F1655" s="4" t="s">
        <v>2276</v>
      </c>
      <c r="G1655" s="4" t="s">
        <v>2662</v>
      </c>
      <c r="H1655" s="3" t="s">
        <v>523</v>
      </c>
      <c r="I1655" s="3"/>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3"/>
      <c r="AD1655" s="3"/>
    </row>
    <row r="1656" spans="1:30" ht="45.5" customHeight="1">
      <c r="A1656" s="11" t="s">
        <v>4870</v>
      </c>
      <c r="B1656" s="11" t="s">
        <v>4920</v>
      </c>
      <c r="C1656" s="3" t="s">
        <v>24</v>
      </c>
      <c r="D1656" s="3" t="s">
        <v>2276</v>
      </c>
      <c r="E1656" s="3" t="s">
        <v>45</v>
      </c>
      <c r="F1656" s="4" t="s">
        <v>2276</v>
      </c>
      <c r="G1656" s="4" t="s">
        <v>2662</v>
      </c>
      <c r="H1656" s="3" t="s">
        <v>523</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3"/>
      <c r="AD1656" s="3"/>
    </row>
    <row r="1657" spans="1:30" ht="45.5" customHeight="1">
      <c r="A1657" s="11" t="s">
        <v>4871</v>
      </c>
      <c r="B1657" s="11" t="s">
        <v>4921</v>
      </c>
      <c r="C1657" s="3" t="s">
        <v>24</v>
      </c>
      <c r="D1657" s="3" t="s">
        <v>2276</v>
      </c>
      <c r="E1657" s="3" t="s">
        <v>45</v>
      </c>
      <c r="F1657" s="4" t="s">
        <v>2276</v>
      </c>
      <c r="G1657" s="4" t="s">
        <v>2662</v>
      </c>
      <c r="H1657" s="3" t="s">
        <v>523</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3"/>
      <c r="AD1657" s="3"/>
    </row>
    <row r="1658" spans="1:30" ht="45.5" customHeight="1">
      <c r="A1658" s="11" t="s">
        <v>4872</v>
      </c>
      <c r="B1658" s="11" t="s">
        <v>4922</v>
      </c>
      <c r="C1658" s="3" t="s">
        <v>24</v>
      </c>
      <c r="D1658" s="3" t="s">
        <v>2276</v>
      </c>
      <c r="E1658" s="3" t="s">
        <v>45</v>
      </c>
      <c r="F1658" s="4" t="s">
        <v>2276</v>
      </c>
      <c r="G1658" s="4" t="s">
        <v>2662</v>
      </c>
      <c r="H1658" s="3" t="s">
        <v>523</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3"/>
      <c r="AD1658" s="3"/>
    </row>
    <row r="1659" spans="1:30" ht="45.5" customHeight="1">
      <c r="A1659" s="11" t="s">
        <v>4873</v>
      </c>
      <c r="B1659" s="11" t="s">
        <v>4923</v>
      </c>
      <c r="C1659" s="3" t="s">
        <v>24</v>
      </c>
      <c r="D1659" s="3" t="s">
        <v>2276</v>
      </c>
      <c r="E1659" s="3" t="s">
        <v>45</v>
      </c>
      <c r="F1659" s="4" t="s">
        <v>2276</v>
      </c>
      <c r="G1659" s="4" t="s">
        <v>2662</v>
      </c>
      <c r="H1659" s="3" t="s">
        <v>523</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3"/>
      <c r="AD1659" s="3"/>
    </row>
    <row r="1660" spans="1:30" ht="35.5" customHeight="1">
      <c r="A1660" s="11" t="s">
        <v>4939</v>
      </c>
      <c r="B1660" s="11" t="s">
        <v>4944</v>
      </c>
      <c r="C1660" s="3" t="s">
        <v>1105</v>
      </c>
      <c r="D1660" s="3" t="s">
        <v>1105</v>
      </c>
      <c r="E1660" s="3" t="s">
        <v>1105</v>
      </c>
      <c r="F1660" s="4" t="s">
        <v>1105</v>
      </c>
      <c r="G1660" s="3" t="s">
        <v>1105</v>
      </c>
      <c r="H1660" s="3" t="s">
        <v>523</v>
      </c>
      <c r="I1660" s="3"/>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3" t="s">
        <v>34</v>
      </c>
      <c r="AA1660" s="3" t="s">
        <v>68</v>
      </c>
      <c r="AB1660" s="3" t="s">
        <v>2655</v>
      </c>
      <c r="AC1660" s="3"/>
      <c r="AD1660" s="3" t="s">
        <v>4948</v>
      </c>
    </row>
    <row r="1661" spans="1:30" ht="52" customHeight="1">
      <c r="A1661" s="11" t="s">
        <v>4939</v>
      </c>
      <c r="B1661" s="11" t="s">
        <v>4945</v>
      </c>
      <c r="C1661" s="3" t="s">
        <v>1105</v>
      </c>
      <c r="D1661" s="3" t="s">
        <v>2276</v>
      </c>
      <c r="E1661" s="4" t="s">
        <v>396</v>
      </c>
      <c r="F1661" s="4" t="s">
        <v>28</v>
      </c>
      <c r="G1661" s="3" t="s">
        <v>28</v>
      </c>
      <c r="H1661" s="3" t="s">
        <v>523</v>
      </c>
      <c r="I1661" s="3"/>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3" t="s">
        <v>34</v>
      </c>
      <c r="AA1661" s="3" t="s">
        <v>68</v>
      </c>
      <c r="AB1661" s="3" t="s">
        <v>2655</v>
      </c>
      <c r="AC1661" s="4" t="s">
        <v>4946</v>
      </c>
      <c r="AD1661" s="4" t="s">
        <v>4955</v>
      </c>
    </row>
    <row r="1662" spans="1:30" ht="52" customHeight="1">
      <c r="A1662" s="11" t="s">
        <v>4939</v>
      </c>
      <c r="B1662" s="11" t="s">
        <v>4947</v>
      </c>
      <c r="C1662" s="3" t="s">
        <v>24</v>
      </c>
      <c r="D1662" s="3" t="s">
        <v>2659</v>
      </c>
      <c r="E1662" s="4" t="s">
        <v>396</v>
      </c>
      <c r="F1662" s="4" t="s">
        <v>28</v>
      </c>
      <c r="G1662" s="3" t="s">
        <v>2276</v>
      </c>
      <c r="H1662" s="3" t="s">
        <v>523</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3" t="s">
        <v>34</v>
      </c>
      <c r="AA1662" s="3" t="s">
        <v>68</v>
      </c>
      <c r="AB1662" s="3" t="s">
        <v>2655</v>
      </c>
      <c r="AC1662" s="4" t="s">
        <v>4946</v>
      </c>
      <c r="AD1662" s="4" t="s">
        <v>4955</v>
      </c>
    </row>
    <row r="1663" spans="1:30" ht="62" customHeight="1">
      <c r="A1663" s="11" t="s">
        <v>4939</v>
      </c>
      <c r="B1663" s="11" t="s">
        <v>4949</v>
      </c>
      <c r="C1663" s="3" t="s">
        <v>1105</v>
      </c>
      <c r="D1663" s="3" t="s">
        <v>1105</v>
      </c>
      <c r="E1663" s="4" t="s">
        <v>2650</v>
      </c>
      <c r="F1663" s="4" t="s">
        <v>2276</v>
      </c>
      <c r="G1663" s="3" t="s">
        <v>28</v>
      </c>
      <c r="H1663" s="3" t="s">
        <v>523</v>
      </c>
      <c r="I1663" s="3"/>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3" t="s">
        <v>34</v>
      </c>
      <c r="AA1663" s="3" t="s">
        <v>68</v>
      </c>
      <c r="AB1663" s="3" t="s">
        <v>2655</v>
      </c>
      <c r="AC1663" s="4"/>
      <c r="AD1663" s="4" t="s">
        <v>4956</v>
      </c>
    </row>
    <row r="1664" spans="1:30" ht="52" customHeight="1">
      <c r="A1664" s="11" t="s">
        <v>4939</v>
      </c>
      <c r="B1664" s="11" t="s">
        <v>4950</v>
      </c>
      <c r="C1664" s="3" t="s">
        <v>1105</v>
      </c>
      <c r="D1664" s="3" t="s">
        <v>1105</v>
      </c>
      <c r="E1664" s="4" t="s">
        <v>45</v>
      </c>
      <c r="F1664" s="4" t="s">
        <v>2276</v>
      </c>
      <c r="G1664" s="3" t="s">
        <v>29</v>
      </c>
      <c r="H1664" s="3" t="s">
        <v>523</v>
      </c>
      <c r="I1664" s="3"/>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3" t="s">
        <v>34</v>
      </c>
      <c r="AA1664" s="3" t="s">
        <v>68</v>
      </c>
      <c r="AB1664" s="3" t="s">
        <v>2655</v>
      </c>
      <c r="AC1664" s="4"/>
      <c r="AD1664" s="4" t="s">
        <v>4955</v>
      </c>
    </row>
    <row r="1665" spans="1:30" ht="37" customHeight="1">
      <c r="A1665" s="11" t="s">
        <v>4939</v>
      </c>
      <c r="B1665" s="11" t="s">
        <v>4953</v>
      </c>
      <c r="C1665" s="3" t="s">
        <v>1105</v>
      </c>
      <c r="D1665" s="3" t="s">
        <v>1105</v>
      </c>
      <c r="E1665" s="3" t="s">
        <v>2276</v>
      </c>
      <c r="F1665" s="4" t="s">
        <v>2276</v>
      </c>
      <c r="G1665" s="3" t="s">
        <v>74</v>
      </c>
      <c r="H1665" s="3" t="s">
        <v>523</v>
      </c>
      <c r="I1665" s="3"/>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3" t="s">
        <v>34</v>
      </c>
      <c r="AA1665" s="3" t="s">
        <v>68</v>
      </c>
      <c r="AB1665" s="3" t="s">
        <v>2655</v>
      </c>
      <c r="AC1665" s="3"/>
      <c r="AD1665" s="4" t="s">
        <v>4952</v>
      </c>
    </row>
    <row r="1666" spans="1:30" ht="41" customHeight="1">
      <c r="A1666" s="11" t="s">
        <v>4939</v>
      </c>
      <c r="B1666" s="11" t="s">
        <v>4954</v>
      </c>
      <c r="C1666" s="3" t="s">
        <v>1105</v>
      </c>
      <c r="D1666" s="3" t="s">
        <v>1105</v>
      </c>
      <c r="E1666" s="3" t="s">
        <v>2276</v>
      </c>
      <c r="F1666" s="4" t="s">
        <v>2276</v>
      </c>
      <c r="G1666" s="3" t="s">
        <v>74</v>
      </c>
      <c r="H1666" s="3" t="s">
        <v>523</v>
      </c>
      <c r="I1666" s="3"/>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3" t="s">
        <v>34</v>
      </c>
      <c r="AA1666" s="3" t="s">
        <v>68</v>
      </c>
      <c r="AB1666" s="3" t="s">
        <v>2655</v>
      </c>
      <c r="AC1666" s="3"/>
      <c r="AD1666" s="4" t="s">
        <v>4952</v>
      </c>
    </row>
    <row r="1667" spans="1:30" ht="32.5" customHeight="1">
      <c r="A1667" s="11" t="s">
        <v>4960</v>
      </c>
      <c r="B1667" s="11" t="s">
        <v>4963</v>
      </c>
      <c r="C1667" s="3" t="s">
        <v>24</v>
      </c>
      <c r="D1667" s="3" t="s">
        <v>3476</v>
      </c>
      <c r="E1667" s="3" t="s">
        <v>863</v>
      </c>
      <c r="F1667" s="4" t="s">
        <v>74</v>
      </c>
      <c r="G1667" s="3" t="s">
        <v>2276</v>
      </c>
      <c r="H1667" s="3" t="s">
        <v>523</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3"/>
      <c r="AD1667" s="3"/>
    </row>
    <row r="1668" spans="1:30" ht="84.5" customHeight="1">
      <c r="A1668" s="11" t="s">
        <v>4964</v>
      </c>
      <c r="B1668" s="11" t="s">
        <v>4966</v>
      </c>
      <c r="C1668" s="3" t="s">
        <v>24</v>
      </c>
      <c r="D1668" s="3" t="s">
        <v>25</v>
      </c>
      <c r="E1668" s="3" t="s">
        <v>5005</v>
      </c>
      <c r="F1668" s="4" t="s">
        <v>2662</v>
      </c>
      <c r="G1668" s="3" t="s">
        <v>2276</v>
      </c>
      <c r="H1668" s="3" t="s">
        <v>524</v>
      </c>
      <c r="I1668" s="3"/>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3"/>
    </row>
    <row r="1669" spans="1:30" ht="47.5" customHeight="1">
      <c r="A1669" s="11" t="s">
        <v>4977</v>
      </c>
      <c r="B1669" s="11" t="s">
        <v>4983</v>
      </c>
      <c r="C1669" s="3" t="s">
        <v>24</v>
      </c>
      <c r="D1669" s="3" t="s">
        <v>25</v>
      </c>
      <c r="E1669" s="3" t="s">
        <v>5005</v>
      </c>
      <c r="F1669" s="4" t="s">
        <v>2662</v>
      </c>
      <c r="G1669" s="3" t="s">
        <v>2276</v>
      </c>
      <c r="H1669" s="3" t="s">
        <v>523</v>
      </c>
      <c r="I1669" s="3">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3"/>
      <c r="AD1669" s="3"/>
    </row>
    <row r="1670" spans="1:30" ht="47.5" customHeight="1">
      <c r="A1670" s="11" t="s">
        <v>4977</v>
      </c>
      <c r="B1670" s="11" t="s">
        <v>4984</v>
      </c>
      <c r="C1670" s="3" t="s">
        <v>24</v>
      </c>
      <c r="D1670" s="3" t="s">
        <v>26</v>
      </c>
      <c r="E1670" s="3" t="s">
        <v>5005</v>
      </c>
      <c r="F1670" s="4" t="s">
        <v>2662</v>
      </c>
      <c r="G1670" s="3" t="s">
        <v>2276</v>
      </c>
      <c r="H1670" s="3" t="s">
        <v>523</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3" t="s">
        <v>38</v>
      </c>
      <c r="AA1670" s="3" t="s">
        <v>68</v>
      </c>
      <c r="AB1670" s="4" t="s">
        <v>2276</v>
      </c>
      <c r="AC1670" s="3"/>
      <c r="AD1670" s="3"/>
    </row>
    <row r="1671" spans="1:30" ht="47.5" customHeight="1">
      <c r="A1671" s="11" t="s">
        <v>4977</v>
      </c>
      <c r="B1671" s="11" t="s">
        <v>4985</v>
      </c>
      <c r="C1671" s="3" t="s">
        <v>24</v>
      </c>
      <c r="D1671" s="3" t="s">
        <v>1245</v>
      </c>
      <c r="E1671" s="3" t="s">
        <v>116</v>
      </c>
      <c r="F1671" s="4" t="s">
        <v>2662</v>
      </c>
      <c r="G1671" s="3" t="s">
        <v>2276</v>
      </c>
      <c r="H1671" s="3" t="s">
        <v>523</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3"/>
      <c r="AD1671" s="3"/>
    </row>
    <row r="1672" spans="1:30" ht="47.5" customHeight="1">
      <c r="A1672" s="11" t="s">
        <v>4977</v>
      </c>
      <c r="B1672" s="11" t="s">
        <v>4986</v>
      </c>
      <c r="C1672" s="3" t="s">
        <v>24</v>
      </c>
      <c r="D1672" s="3" t="s">
        <v>25</v>
      </c>
      <c r="E1672" s="3" t="s">
        <v>5005</v>
      </c>
      <c r="F1672" s="4" t="s">
        <v>2662</v>
      </c>
      <c r="G1672" s="3" t="s">
        <v>2276</v>
      </c>
      <c r="H1672" s="3" t="s">
        <v>524</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3"/>
      <c r="AD1672" s="3"/>
    </row>
    <row r="1673" spans="1:30" ht="47.5" customHeight="1">
      <c r="A1673" s="11" t="s">
        <v>4977</v>
      </c>
      <c r="B1673" s="11" t="s">
        <v>4987</v>
      </c>
      <c r="C1673" s="3" t="s">
        <v>24</v>
      </c>
      <c r="D1673" s="3" t="s">
        <v>26</v>
      </c>
      <c r="E1673" s="3" t="s">
        <v>5005</v>
      </c>
      <c r="F1673" s="4" t="s">
        <v>2662</v>
      </c>
      <c r="G1673" s="3" t="s">
        <v>2276</v>
      </c>
      <c r="H1673" s="3" t="s">
        <v>524</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3"/>
      <c r="AD1673" s="3"/>
    </row>
    <row r="1674" spans="1:30" ht="47.5" customHeight="1">
      <c r="A1674" s="11" t="s">
        <v>4977</v>
      </c>
      <c r="B1674" s="11" t="s">
        <v>4988</v>
      </c>
      <c r="C1674" s="3" t="s">
        <v>24</v>
      </c>
      <c r="D1674" s="3" t="s">
        <v>1245</v>
      </c>
      <c r="E1674" s="3" t="s">
        <v>116</v>
      </c>
      <c r="F1674" s="4" t="s">
        <v>2662</v>
      </c>
      <c r="G1674" s="3" t="s">
        <v>2276</v>
      </c>
      <c r="H1674" s="3" t="s">
        <v>524</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3"/>
      <c r="AD1674" s="3"/>
    </row>
    <row r="1675" spans="1:30" ht="38" customHeight="1">
      <c r="A1675" s="11" t="s">
        <v>4977</v>
      </c>
      <c r="B1675" s="11" t="s">
        <v>4989</v>
      </c>
      <c r="C1675" s="3" t="s">
        <v>24</v>
      </c>
      <c r="D1675" s="3" t="s">
        <v>2276</v>
      </c>
      <c r="E1675" s="3" t="s">
        <v>5005</v>
      </c>
      <c r="F1675" s="4" t="s">
        <v>2662</v>
      </c>
      <c r="G1675" s="3" t="s">
        <v>2276</v>
      </c>
      <c r="H1675" s="3" t="s">
        <v>523</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3" t="s">
        <v>38</v>
      </c>
      <c r="AA1675" s="3" t="s">
        <v>68</v>
      </c>
      <c r="AB1675" s="4" t="s">
        <v>2276</v>
      </c>
      <c r="AC1675" s="4" t="s">
        <v>4991</v>
      </c>
      <c r="AD1675" s="3"/>
    </row>
    <row r="1676" spans="1:30" ht="37" customHeight="1">
      <c r="A1676" s="11" t="s">
        <v>4977</v>
      </c>
      <c r="B1676" s="11" t="s">
        <v>4990</v>
      </c>
      <c r="C1676" s="3" t="s">
        <v>24</v>
      </c>
      <c r="D1676" s="3" t="s">
        <v>2276</v>
      </c>
      <c r="E1676" s="3" t="s">
        <v>116</v>
      </c>
      <c r="F1676" s="4" t="s">
        <v>2662</v>
      </c>
      <c r="G1676" s="3" t="s">
        <v>2276</v>
      </c>
      <c r="H1676" s="3" t="s">
        <v>523</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3" t="s">
        <v>38</v>
      </c>
      <c r="AA1676" s="3" t="s">
        <v>68</v>
      </c>
      <c r="AB1676" s="4" t="s">
        <v>2276</v>
      </c>
      <c r="AC1676" s="4" t="s">
        <v>4991</v>
      </c>
      <c r="AD1676" s="3"/>
    </row>
    <row r="1677" spans="1:30" ht="46" customHeight="1">
      <c r="A1677" s="11" t="s">
        <v>4994</v>
      </c>
      <c r="B1677" s="11" t="s">
        <v>4998</v>
      </c>
      <c r="C1677" s="3" t="s">
        <v>24</v>
      </c>
      <c r="D1677" s="3" t="s">
        <v>25</v>
      </c>
      <c r="E1677" s="3" t="s">
        <v>5005</v>
      </c>
      <c r="F1677" s="4" t="s">
        <v>2662</v>
      </c>
      <c r="G1677" s="3" t="s">
        <v>2276</v>
      </c>
      <c r="H1677" s="3" t="s">
        <v>523</v>
      </c>
      <c r="I1677" s="3"/>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3"/>
      <c r="AD1677" s="3"/>
    </row>
    <row r="1678" spans="1:30" ht="46" customHeight="1">
      <c r="A1678" s="11" t="s">
        <v>4994</v>
      </c>
      <c r="B1678" s="11" t="s">
        <v>4999</v>
      </c>
      <c r="C1678" s="3" t="s">
        <v>24</v>
      </c>
      <c r="D1678" s="3" t="s">
        <v>1245</v>
      </c>
      <c r="E1678" s="3" t="s">
        <v>116</v>
      </c>
      <c r="F1678" s="4" t="s">
        <v>2662</v>
      </c>
      <c r="G1678" s="3" t="s">
        <v>2276</v>
      </c>
      <c r="H1678" s="3" t="s">
        <v>523</v>
      </c>
      <c r="I1678" s="3"/>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3"/>
      <c r="AD1678" s="3"/>
    </row>
    <row r="1679" spans="1:30" ht="46" customHeight="1">
      <c r="A1679" s="11" t="s">
        <v>4994</v>
      </c>
      <c r="B1679" s="11" t="s">
        <v>5000</v>
      </c>
      <c r="C1679" s="3" t="s">
        <v>24</v>
      </c>
      <c r="D1679" s="3" t="s">
        <v>1131</v>
      </c>
      <c r="E1679" s="3" t="s">
        <v>5005</v>
      </c>
      <c r="F1679" s="4" t="s">
        <v>2662</v>
      </c>
      <c r="G1679" s="3" t="s">
        <v>2276</v>
      </c>
      <c r="H1679" s="3" t="s">
        <v>523</v>
      </c>
      <c r="I1679" s="3"/>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3" t="s">
        <v>5002</v>
      </c>
      <c r="AD1679" s="3"/>
    </row>
    <row r="1680" spans="1:30" ht="46" customHeight="1">
      <c r="A1680" s="11" t="s">
        <v>4994</v>
      </c>
      <c r="B1680" s="11" t="s">
        <v>5001</v>
      </c>
      <c r="C1680" s="3" t="s">
        <v>24</v>
      </c>
      <c r="D1680" s="3" t="s">
        <v>1131</v>
      </c>
      <c r="E1680" s="3" t="s">
        <v>116</v>
      </c>
      <c r="F1680" s="4" t="s">
        <v>2662</v>
      </c>
      <c r="G1680" s="3" t="s">
        <v>2276</v>
      </c>
      <c r="H1680" s="3" t="s">
        <v>523</v>
      </c>
      <c r="I1680" s="3"/>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3" t="s">
        <v>5002</v>
      </c>
      <c r="AD1680" s="3"/>
    </row>
    <row r="1681" spans="1:30" ht="51" customHeight="1">
      <c r="A1681" s="11" t="s">
        <v>5088</v>
      </c>
      <c r="B1681" s="11" t="s">
        <v>5094</v>
      </c>
      <c r="C1681" s="3" t="s">
        <v>24</v>
      </c>
      <c r="D1681" s="3" t="s">
        <v>25</v>
      </c>
      <c r="E1681" s="3" t="s">
        <v>5005</v>
      </c>
      <c r="F1681" s="4" t="s">
        <v>74</v>
      </c>
      <c r="G1681" s="3" t="s">
        <v>2276</v>
      </c>
      <c r="H1681" s="3" t="s">
        <v>524</v>
      </c>
      <c r="I1681" s="3"/>
      <c r="J1681" s="3">
        <v>0</v>
      </c>
      <c r="K1681" s="3">
        <v>0</v>
      </c>
      <c r="L1681" s="3">
        <v>0</v>
      </c>
      <c r="M1681" s="3">
        <v>0</v>
      </c>
      <c r="N1681" s="3">
        <v>0</v>
      </c>
      <c r="O1681" s="3">
        <v>0</v>
      </c>
      <c r="P1681" s="3">
        <v>0</v>
      </c>
      <c r="Q1681" s="3">
        <v>0</v>
      </c>
      <c r="R1681" s="3">
        <v>0</v>
      </c>
      <c r="S1681" s="3">
        <v>0</v>
      </c>
      <c r="T1681" s="3">
        <v>0</v>
      </c>
      <c r="U1681" s="3">
        <v>0</v>
      </c>
      <c r="V1681" s="3">
        <v>0</v>
      </c>
      <c r="W1681" s="3">
        <v>0</v>
      </c>
      <c r="X1681" s="3">
        <v>0</v>
      </c>
      <c r="Y1681" s="4" t="s">
        <v>2276</v>
      </c>
      <c r="Z1681" s="4" t="s">
        <v>2276</v>
      </c>
      <c r="AA1681" s="4" t="s">
        <v>2276</v>
      </c>
      <c r="AB1681" s="4" t="s">
        <v>2276</v>
      </c>
      <c r="AC1681" s="4" t="s">
        <v>5098</v>
      </c>
      <c r="AD1681" s="3"/>
    </row>
    <row r="1682" spans="1:30" ht="53.5" customHeight="1">
      <c r="A1682" s="11" t="s">
        <v>5088</v>
      </c>
      <c r="B1682" s="11" t="s">
        <v>5095</v>
      </c>
      <c r="C1682" s="3" t="s">
        <v>24</v>
      </c>
      <c r="D1682" s="3" t="s">
        <v>61</v>
      </c>
      <c r="E1682" s="3" t="s">
        <v>5005</v>
      </c>
      <c r="F1682" s="4" t="s">
        <v>74</v>
      </c>
      <c r="G1682" s="3" t="s">
        <v>2276</v>
      </c>
      <c r="H1682" s="3" t="s">
        <v>524</v>
      </c>
      <c r="I1682" s="3"/>
      <c r="J1682" s="3">
        <v>0</v>
      </c>
      <c r="K1682" s="3">
        <v>0</v>
      </c>
      <c r="L1682" s="3">
        <v>0</v>
      </c>
      <c r="M1682" s="3">
        <v>0</v>
      </c>
      <c r="N1682" s="3">
        <v>0</v>
      </c>
      <c r="O1682" s="3">
        <v>0</v>
      </c>
      <c r="P1682" s="3">
        <v>0</v>
      </c>
      <c r="Q1682" s="3">
        <v>0</v>
      </c>
      <c r="R1682" s="3">
        <v>0</v>
      </c>
      <c r="S1682" s="3">
        <v>0</v>
      </c>
      <c r="T1682" s="3">
        <v>0</v>
      </c>
      <c r="U1682" s="3">
        <v>0</v>
      </c>
      <c r="V1682" s="3">
        <v>0</v>
      </c>
      <c r="W1682" s="3">
        <v>0</v>
      </c>
      <c r="X1682" s="3">
        <v>0</v>
      </c>
      <c r="Y1682" s="4" t="s">
        <v>2276</v>
      </c>
      <c r="Z1682" s="4" t="s">
        <v>2276</v>
      </c>
      <c r="AA1682" s="4" t="s">
        <v>2276</v>
      </c>
      <c r="AB1682" s="4" t="s">
        <v>2276</v>
      </c>
      <c r="AC1682" s="4" t="s">
        <v>5098</v>
      </c>
      <c r="AD1682" s="3"/>
    </row>
    <row r="1683" spans="1:30" ht="42" customHeight="1">
      <c r="A1683" s="11" t="s">
        <v>5088</v>
      </c>
      <c r="B1683" s="11" t="s">
        <v>5096</v>
      </c>
      <c r="C1683" s="3" t="s">
        <v>24</v>
      </c>
      <c r="D1683" s="3" t="s">
        <v>144</v>
      </c>
      <c r="E1683" s="3" t="s">
        <v>137</v>
      </c>
      <c r="F1683" s="4" t="s">
        <v>74</v>
      </c>
      <c r="G1683" s="3" t="s">
        <v>2276</v>
      </c>
      <c r="H1683" s="3" t="s">
        <v>523</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5097</v>
      </c>
      <c r="AD1683" s="3"/>
    </row>
    <row r="1684" spans="1:30" ht="39" customHeight="1">
      <c r="A1684" s="3" t="s">
        <v>5100</v>
      </c>
      <c r="B1684" s="11" t="s">
        <v>5106</v>
      </c>
      <c r="C1684" s="3" t="s">
        <v>24</v>
      </c>
      <c r="D1684" s="3" t="s">
        <v>2804</v>
      </c>
      <c r="E1684" s="3" t="s">
        <v>5005</v>
      </c>
      <c r="F1684" s="4" t="s">
        <v>2662</v>
      </c>
      <c r="G1684" s="3" t="s">
        <v>2276</v>
      </c>
      <c r="H1684" s="3" t="s">
        <v>523</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3"/>
      <c r="AD1684" s="3"/>
    </row>
    <row r="1685" spans="1:30" ht="97" customHeight="1">
      <c r="A1685" s="3" t="s">
        <v>5109</v>
      </c>
      <c r="B1685" s="11" t="s">
        <v>5111</v>
      </c>
      <c r="C1685" s="3" t="s">
        <v>24</v>
      </c>
      <c r="D1685" s="3" t="s">
        <v>26</v>
      </c>
      <c r="E1685" s="3" t="s">
        <v>5005</v>
      </c>
      <c r="F1685" s="4" t="s">
        <v>2662</v>
      </c>
      <c r="G1685" s="3" t="s">
        <v>2276</v>
      </c>
      <c r="H1685" s="3" t="s">
        <v>523</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5113</v>
      </c>
      <c r="AD1685" s="3"/>
    </row>
    <row r="1686" spans="1:30" ht="51" customHeight="1">
      <c r="A1686" s="3" t="s">
        <v>5109</v>
      </c>
      <c r="B1686" s="11" t="s">
        <v>5112</v>
      </c>
      <c r="C1686" s="3" t="s">
        <v>24</v>
      </c>
      <c r="D1686" s="3" t="s">
        <v>26</v>
      </c>
      <c r="E1686" s="3" t="s">
        <v>45</v>
      </c>
      <c r="F1686" s="4" t="s">
        <v>2662</v>
      </c>
      <c r="G1686" s="3" t="s">
        <v>2276</v>
      </c>
      <c r="H1686" s="3" t="s">
        <v>523</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5114</v>
      </c>
      <c r="AD1686" s="3"/>
    </row>
    <row r="1687" spans="1:30" ht="32" customHeight="1">
      <c r="A1687" s="5" t="s">
        <v>5117</v>
      </c>
      <c r="B1687" s="11" t="s">
        <v>5121</v>
      </c>
      <c r="C1687" s="3" t="s">
        <v>24</v>
      </c>
      <c r="D1687" s="3" t="s">
        <v>2804</v>
      </c>
      <c r="E1687" s="3" t="s">
        <v>5005</v>
      </c>
      <c r="F1687" s="4" t="s">
        <v>2662</v>
      </c>
      <c r="G1687" s="3" t="s">
        <v>2276</v>
      </c>
      <c r="H1687" s="3" t="s">
        <v>523</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3"/>
      <c r="AD1687" s="3"/>
    </row>
    <row r="1688" spans="1:30" ht="33.5" customHeight="1">
      <c r="A1688" s="11" t="s">
        <v>5123</v>
      </c>
      <c r="B1688" s="3" t="s">
        <v>5140</v>
      </c>
      <c r="C1688" s="3" t="s">
        <v>24</v>
      </c>
      <c r="D1688" s="3" t="s">
        <v>1242</v>
      </c>
      <c r="E1688" s="3" t="s">
        <v>137</v>
      </c>
      <c r="F1688" s="4" t="s">
        <v>2662</v>
      </c>
      <c r="G1688" s="4" t="s">
        <v>2662</v>
      </c>
      <c r="H1688" s="3" t="s">
        <v>524</v>
      </c>
      <c r="I1688" s="3"/>
      <c r="J1688" s="3">
        <v>0</v>
      </c>
      <c r="K1688" s="3">
        <v>0</v>
      </c>
      <c r="L1688" s="3">
        <v>0</v>
      </c>
      <c r="M1688" s="3">
        <v>0</v>
      </c>
      <c r="N1688" s="3">
        <v>0</v>
      </c>
      <c r="O1688" s="3">
        <v>0</v>
      </c>
      <c r="P1688" s="3">
        <v>0</v>
      </c>
      <c r="Q1688" s="3">
        <v>0</v>
      </c>
      <c r="R1688" s="3">
        <v>0</v>
      </c>
      <c r="S1688" s="3">
        <v>0</v>
      </c>
      <c r="T1688" s="3">
        <v>0</v>
      </c>
      <c r="U1688" s="3">
        <v>0</v>
      </c>
      <c r="V1688" s="3">
        <v>0</v>
      </c>
      <c r="W1688" s="3">
        <v>0</v>
      </c>
      <c r="X1688" s="3">
        <v>0</v>
      </c>
      <c r="Y1688" s="4" t="s">
        <v>2276</v>
      </c>
      <c r="Z1688" s="4" t="s">
        <v>2276</v>
      </c>
      <c r="AA1688" s="4" t="s">
        <v>2276</v>
      </c>
      <c r="AB1688" s="4" t="s">
        <v>2276</v>
      </c>
      <c r="AC1688" s="3"/>
      <c r="AD1688" s="3"/>
    </row>
    <row r="1689" spans="1:30" ht="33.5" customHeight="1">
      <c r="A1689" s="11" t="s">
        <v>5124</v>
      </c>
      <c r="B1689" s="3" t="s">
        <v>5141</v>
      </c>
      <c r="C1689" s="3" t="s">
        <v>24</v>
      </c>
      <c r="D1689" s="3" t="s">
        <v>1242</v>
      </c>
      <c r="E1689" s="3" t="s">
        <v>137</v>
      </c>
      <c r="F1689" s="4" t="s">
        <v>2662</v>
      </c>
      <c r="G1689" s="4" t="s">
        <v>2662</v>
      </c>
      <c r="H1689" s="3" t="s">
        <v>524</v>
      </c>
      <c r="I1689" s="3"/>
      <c r="J1689" s="3">
        <v>0</v>
      </c>
      <c r="K1689" s="3">
        <v>0</v>
      </c>
      <c r="L1689" s="3">
        <v>0</v>
      </c>
      <c r="M1689" s="3">
        <v>0</v>
      </c>
      <c r="N1689" s="3">
        <v>0</v>
      </c>
      <c r="O1689" s="3">
        <v>0</v>
      </c>
      <c r="P1689" s="3">
        <v>0</v>
      </c>
      <c r="Q1689" s="3">
        <v>0</v>
      </c>
      <c r="R1689" s="3">
        <v>0</v>
      </c>
      <c r="S1689" s="3">
        <v>0</v>
      </c>
      <c r="T1689" s="3">
        <v>0</v>
      </c>
      <c r="U1689" s="3">
        <v>0</v>
      </c>
      <c r="V1689" s="3">
        <v>0</v>
      </c>
      <c r="W1689" s="3">
        <v>0</v>
      </c>
      <c r="X1689" s="3">
        <v>0</v>
      </c>
      <c r="Y1689" s="4" t="s">
        <v>2276</v>
      </c>
      <c r="Z1689" s="4" t="s">
        <v>2276</v>
      </c>
      <c r="AA1689" s="4" t="s">
        <v>2276</v>
      </c>
      <c r="AB1689" s="4" t="s">
        <v>2276</v>
      </c>
      <c r="AC1689" s="3"/>
      <c r="AD1689" s="3"/>
    </row>
    <row r="1690" spans="1:30" ht="33.5" customHeight="1">
      <c r="A1690" s="11" t="s">
        <v>5125</v>
      </c>
      <c r="B1690" s="3" t="s">
        <v>5142</v>
      </c>
      <c r="C1690" s="3" t="s">
        <v>24</v>
      </c>
      <c r="D1690" s="3" t="s">
        <v>1242</v>
      </c>
      <c r="E1690" s="3" t="s">
        <v>137</v>
      </c>
      <c r="F1690" s="4" t="s">
        <v>2662</v>
      </c>
      <c r="G1690" s="4" t="s">
        <v>2662</v>
      </c>
      <c r="H1690" s="3" t="s">
        <v>524</v>
      </c>
      <c r="I1690" s="3"/>
      <c r="J1690" s="3">
        <v>0</v>
      </c>
      <c r="K1690" s="3">
        <v>0</v>
      </c>
      <c r="L1690" s="3">
        <v>0</v>
      </c>
      <c r="M1690" s="3">
        <v>0</v>
      </c>
      <c r="N1690" s="3">
        <v>0</v>
      </c>
      <c r="O1690" s="3">
        <v>0</v>
      </c>
      <c r="P1690" s="3">
        <v>0</v>
      </c>
      <c r="Q1690" s="3">
        <v>0</v>
      </c>
      <c r="R1690" s="3">
        <v>0</v>
      </c>
      <c r="S1690" s="3">
        <v>0</v>
      </c>
      <c r="T1690" s="3">
        <v>0</v>
      </c>
      <c r="U1690" s="3">
        <v>0</v>
      </c>
      <c r="V1690" s="3">
        <v>0</v>
      </c>
      <c r="W1690" s="3">
        <v>0</v>
      </c>
      <c r="X1690" s="3">
        <v>0</v>
      </c>
      <c r="Y1690" s="4" t="s">
        <v>2276</v>
      </c>
      <c r="Z1690" s="4" t="s">
        <v>2276</v>
      </c>
      <c r="AA1690" s="4" t="s">
        <v>2276</v>
      </c>
      <c r="AB1690" s="4" t="s">
        <v>2276</v>
      </c>
      <c r="AC1690" s="3"/>
      <c r="AD1690" s="3"/>
    </row>
    <row r="1691" spans="1:30" ht="33.5" customHeight="1">
      <c r="A1691" s="11" t="s">
        <v>5126</v>
      </c>
      <c r="B1691" s="3" t="s">
        <v>5143</v>
      </c>
      <c r="C1691" s="3" t="s">
        <v>24</v>
      </c>
      <c r="D1691" s="3" t="s">
        <v>1242</v>
      </c>
      <c r="E1691" s="3" t="s">
        <v>137</v>
      </c>
      <c r="F1691" s="4" t="s">
        <v>2662</v>
      </c>
      <c r="G1691" s="4" t="s">
        <v>2662</v>
      </c>
      <c r="H1691" s="3" t="s">
        <v>524</v>
      </c>
      <c r="I1691" s="3"/>
      <c r="J1691" s="3">
        <v>0</v>
      </c>
      <c r="K1691" s="3">
        <v>0</v>
      </c>
      <c r="L1691" s="3">
        <v>0</v>
      </c>
      <c r="M1691" s="3">
        <v>0</v>
      </c>
      <c r="N1691" s="3">
        <v>0</v>
      </c>
      <c r="O1691" s="3">
        <v>0</v>
      </c>
      <c r="P1691" s="3">
        <v>0</v>
      </c>
      <c r="Q1691" s="3">
        <v>0</v>
      </c>
      <c r="R1691" s="3">
        <v>0</v>
      </c>
      <c r="S1691" s="3">
        <v>0</v>
      </c>
      <c r="T1691" s="3">
        <v>0</v>
      </c>
      <c r="U1691" s="3">
        <v>0</v>
      </c>
      <c r="V1691" s="3">
        <v>0</v>
      </c>
      <c r="W1691" s="3">
        <v>0</v>
      </c>
      <c r="X1691" s="3">
        <v>0</v>
      </c>
      <c r="Y1691" s="4" t="s">
        <v>2276</v>
      </c>
      <c r="Z1691" s="4" t="s">
        <v>2276</v>
      </c>
      <c r="AA1691" s="4" t="s">
        <v>2276</v>
      </c>
      <c r="AB1691" s="4" t="s">
        <v>2276</v>
      </c>
      <c r="AC1691" s="3"/>
      <c r="AD1691" s="3"/>
    </row>
    <row r="1692" spans="1:30" ht="33.5" customHeight="1">
      <c r="A1692" s="11" t="s">
        <v>5127</v>
      </c>
      <c r="B1692" s="3" t="s">
        <v>5144</v>
      </c>
      <c r="C1692" s="3" t="s">
        <v>24</v>
      </c>
      <c r="D1692" s="3" t="s">
        <v>1242</v>
      </c>
      <c r="E1692" s="3" t="s">
        <v>137</v>
      </c>
      <c r="F1692" s="4" t="s">
        <v>2662</v>
      </c>
      <c r="G1692" s="4" t="s">
        <v>2662</v>
      </c>
      <c r="H1692" s="3" t="s">
        <v>524</v>
      </c>
      <c r="I1692" s="3"/>
      <c r="J1692" s="3">
        <v>0</v>
      </c>
      <c r="K1692" s="3">
        <v>0</v>
      </c>
      <c r="L1692" s="3">
        <v>0</v>
      </c>
      <c r="M1692" s="3">
        <v>0</v>
      </c>
      <c r="N1692" s="3">
        <v>0</v>
      </c>
      <c r="O1692" s="3">
        <v>0</v>
      </c>
      <c r="P1692" s="3">
        <v>0</v>
      </c>
      <c r="Q1692" s="3">
        <v>0</v>
      </c>
      <c r="R1692" s="3">
        <v>0</v>
      </c>
      <c r="S1692" s="3">
        <v>0</v>
      </c>
      <c r="T1692" s="3">
        <v>0</v>
      </c>
      <c r="U1692" s="3">
        <v>0</v>
      </c>
      <c r="V1692" s="3">
        <v>0</v>
      </c>
      <c r="W1692" s="3">
        <v>0</v>
      </c>
      <c r="X1692" s="3">
        <v>0</v>
      </c>
      <c r="Y1692" s="4" t="s">
        <v>2276</v>
      </c>
      <c r="Z1692" s="4" t="s">
        <v>2276</v>
      </c>
      <c r="AA1692" s="4" t="s">
        <v>2276</v>
      </c>
      <c r="AB1692" s="4" t="s">
        <v>2276</v>
      </c>
      <c r="AC1692" s="3"/>
      <c r="AD1692" s="3"/>
    </row>
    <row r="1693" spans="1:30" ht="91" customHeight="1">
      <c r="A1693" s="11" t="s">
        <v>5128</v>
      </c>
      <c r="B1693" s="3" t="s">
        <v>5145</v>
      </c>
      <c r="C1693" s="3" t="s">
        <v>24</v>
      </c>
      <c r="D1693" s="3" t="s">
        <v>1242</v>
      </c>
      <c r="E1693" s="3" t="s">
        <v>137</v>
      </c>
      <c r="F1693" s="4" t="s">
        <v>2662</v>
      </c>
      <c r="G1693" s="4" t="s">
        <v>2662</v>
      </c>
      <c r="H1693" s="3" t="s">
        <v>523</v>
      </c>
      <c r="I1693" s="3"/>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3" t="s">
        <v>2655</v>
      </c>
      <c r="AC1693" s="3" t="s">
        <v>5165</v>
      </c>
      <c r="AD1693" s="4" t="s">
        <v>5184</v>
      </c>
    </row>
    <row r="1694" spans="1:30" ht="91" customHeight="1">
      <c r="A1694" s="11" t="s">
        <v>5129</v>
      </c>
      <c r="B1694" s="3" t="s">
        <v>5146</v>
      </c>
      <c r="C1694" s="3" t="s">
        <v>24</v>
      </c>
      <c r="D1694" s="3" t="s">
        <v>1242</v>
      </c>
      <c r="E1694" s="3" t="s">
        <v>137</v>
      </c>
      <c r="F1694" s="4" t="s">
        <v>2662</v>
      </c>
      <c r="G1694" s="4" t="s">
        <v>2662</v>
      </c>
      <c r="H1694" s="3" t="s">
        <v>523</v>
      </c>
      <c r="I1694" s="3"/>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3" t="s">
        <v>2655</v>
      </c>
      <c r="AC1694" s="3" t="s">
        <v>5165</v>
      </c>
      <c r="AD1694" s="4" t="s">
        <v>5184</v>
      </c>
    </row>
    <row r="1695" spans="1:30" ht="91" customHeight="1">
      <c r="A1695" s="11" t="s">
        <v>5130</v>
      </c>
      <c r="B1695" s="3" t="s">
        <v>5147</v>
      </c>
      <c r="C1695" s="3" t="s">
        <v>24</v>
      </c>
      <c r="D1695" s="3" t="s">
        <v>1242</v>
      </c>
      <c r="E1695" s="3" t="s">
        <v>137</v>
      </c>
      <c r="F1695" s="4" t="s">
        <v>2662</v>
      </c>
      <c r="G1695" s="4" t="s">
        <v>2662</v>
      </c>
      <c r="H1695" s="3" t="s">
        <v>523</v>
      </c>
      <c r="I1695" s="3"/>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3" t="s">
        <v>2655</v>
      </c>
      <c r="AC1695" s="3" t="s">
        <v>5165</v>
      </c>
      <c r="AD1695" s="4" t="s">
        <v>5184</v>
      </c>
    </row>
    <row r="1696" spans="1:30" ht="91" customHeight="1">
      <c r="A1696" s="11" t="s">
        <v>5131</v>
      </c>
      <c r="B1696" s="3" t="s">
        <v>5148</v>
      </c>
      <c r="C1696" s="3" t="s">
        <v>24</v>
      </c>
      <c r="D1696" s="3" t="s">
        <v>1242</v>
      </c>
      <c r="E1696" s="3" t="s">
        <v>137</v>
      </c>
      <c r="F1696" s="4" t="s">
        <v>2662</v>
      </c>
      <c r="G1696" s="4" t="s">
        <v>2662</v>
      </c>
      <c r="H1696" s="3" t="s">
        <v>523</v>
      </c>
      <c r="I1696" s="3"/>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3" t="s">
        <v>2655</v>
      </c>
      <c r="AC1696" s="3" t="s">
        <v>5165</v>
      </c>
      <c r="AD1696" s="4" t="s">
        <v>5184</v>
      </c>
    </row>
    <row r="1697" spans="1:30" ht="91" customHeight="1">
      <c r="A1697" s="11" t="s">
        <v>5132</v>
      </c>
      <c r="B1697" s="3" t="s">
        <v>5149</v>
      </c>
      <c r="C1697" s="3" t="s">
        <v>24</v>
      </c>
      <c r="D1697" s="3" t="s">
        <v>1242</v>
      </c>
      <c r="E1697" s="3" t="s">
        <v>137</v>
      </c>
      <c r="F1697" s="4" t="s">
        <v>2662</v>
      </c>
      <c r="G1697" s="4" t="s">
        <v>2662</v>
      </c>
      <c r="H1697" s="3" t="s">
        <v>523</v>
      </c>
      <c r="I1697" s="3"/>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3" t="s">
        <v>2655</v>
      </c>
      <c r="AC1697" s="3" t="s">
        <v>5165</v>
      </c>
      <c r="AD1697" s="4" t="s">
        <v>5184</v>
      </c>
    </row>
    <row r="1698" spans="1:30" ht="39" customHeight="1">
      <c r="A1698" s="11" t="s">
        <v>5123</v>
      </c>
      <c r="B1698" s="3" t="s">
        <v>5166</v>
      </c>
      <c r="C1698" s="3" t="s">
        <v>1105</v>
      </c>
      <c r="D1698" s="3" t="s">
        <v>1105</v>
      </c>
      <c r="E1698" s="3" t="s">
        <v>1105</v>
      </c>
      <c r="F1698" s="3" t="s">
        <v>2276</v>
      </c>
      <c r="G1698" s="4" t="s">
        <v>2662</v>
      </c>
      <c r="H1698" s="3" t="s">
        <v>523</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3" t="s">
        <v>2276</v>
      </c>
      <c r="AC1698" s="3"/>
      <c r="AD1698" s="3"/>
    </row>
    <row r="1699" spans="1:30" ht="39" customHeight="1">
      <c r="A1699" s="11" t="s">
        <v>5124</v>
      </c>
      <c r="B1699" s="3" t="s">
        <v>5167</v>
      </c>
      <c r="C1699" s="3" t="s">
        <v>1105</v>
      </c>
      <c r="D1699" s="3" t="s">
        <v>1105</v>
      </c>
      <c r="E1699" s="3" t="s">
        <v>1105</v>
      </c>
      <c r="F1699" s="3" t="s">
        <v>2276</v>
      </c>
      <c r="G1699" s="4" t="s">
        <v>2662</v>
      </c>
      <c r="H1699" s="3" t="s">
        <v>523</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3" t="s">
        <v>2276</v>
      </c>
      <c r="AC1699" s="3"/>
      <c r="AD1699" s="3"/>
    </row>
    <row r="1700" spans="1:30" ht="39" customHeight="1">
      <c r="A1700" s="11" t="s">
        <v>5125</v>
      </c>
      <c r="B1700" s="3" t="s">
        <v>5168</v>
      </c>
      <c r="C1700" s="3" t="s">
        <v>1105</v>
      </c>
      <c r="D1700" s="3" t="s">
        <v>1105</v>
      </c>
      <c r="E1700" s="3" t="s">
        <v>1105</v>
      </c>
      <c r="F1700" s="3" t="s">
        <v>2276</v>
      </c>
      <c r="G1700" s="4" t="s">
        <v>2662</v>
      </c>
      <c r="H1700" s="3" t="s">
        <v>523</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3" t="s">
        <v>2276</v>
      </c>
      <c r="AC1700" s="3"/>
      <c r="AD1700" s="3"/>
    </row>
    <row r="1701" spans="1:30" ht="39" customHeight="1">
      <c r="A1701" s="11" t="s">
        <v>5126</v>
      </c>
      <c r="B1701" s="3" t="s">
        <v>5169</v>
      </c>
      <c r="C1701" s="3" t="s">
        <v>1105</v>
      </c>
      <c r="D1701" s="3" t="s">
        <v>1105</v>
      </c>
      <c r="E1701" s="3" t="s">
        <v>1105</v>
      </c>
      <c r="F1701" s="3" t="s">
        <v>2276</v>
      </c>
      <c r="G1701" s="4" t="s">
        <v>2662</v>
      </c>
      <c r="H1701" s="3" t="s">
        <v>523</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3" t="s">
        <v>2276</v>
      </c>
      <c r="AC1701" s="3"/>
      <c r="AD1701" s="3"/>
    </row>
    <row r="1702" spans="1:30" ht="39" customHeight="1">
      <c r="A1702" s="11" t="s">
        <v>5127</v>
      </c>
      <c r="B1702" s="3" t="s">
        <v>5170</v>
      </c>
      <c r="C1702" s="3" t="s">
        <v>1105</v>
      </c>
      <c r="D1702" s="3" t="s">
        <v>1105</v>
      </c>
      <c r="E1702" s="3" t="s">
        <v>1105</v>
      </c>
      <c r="F1702" s="3" t="s">
        <v>2276</v>
      </c>
      <c r="G1702" s="4" t="s">
        <v>2662</v>
      </c>
      <c r="H1702" s="3" t="s">
        <v>523</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3" t="s">
        <v>2276</v>
      </c>
      <c r="AC1702" s="3"/>
      <c r="AD1702" s="3"/>
    </row>
    <row r="1703" spans="1:30" ht="39" customHeight="1">
      <c r="A1703" s="11" t="s">
        <v>5128</v>
      </c>
      <c r="B1703" s="3" t="s">
        <v>5150</v>
      </c>
      <c r="C1703" s="3" t="s">
        <v>1105</v>
      </c>
      <c r="D1703" s="3" t="s">
        <v>1105</v>
      </c>
      <c r="E1703" s="3" t="s">
        <v>1105</v>
      </c>
      <c r="F1703" s="3" t="s">
        <v>2276</v>
      </c>
      <c r="G1703" s="4" t="s">
        <v>2662</v>
      </c>
      <c r="H1703" s="3" t="s">
        <v>523</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3" t="s">
        <v>2276</v>
      </c>
      <c r="AC1703" s="3"/>
      <c r="AD1703" s="3"/>
    </row>
    <row r="1704" spans="1:30" ht="39" customHeight="1">
      <c r="A1704" s="11" t="s">
        <v>5129</v>
      </c>
      <c r="B1704" s="3" t="s">
        <v>5151</v>
      </c>
      <c r="C1704" s="3" t="s">
        <v>1105</v>
      </c>
      <c r="D1704" s="3" t="s">
        <v>1105</v>
      </c>
      <c r="E1704" s="3" t="s">
        <v>1105</v>
      </c>
      <c r="F1704" s="3" t="s">
        <v>2276</v>
      </c>
      <c r="G1704" s="4" t="s">
        <v>2662</v>
      </c>
      <c r="H1704" s="3" t="s">
        <v>523</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3" t="s">
        <v>2276</v>
      </c>
      <c r="AC1704" s="3"/>
      <c r="AD1704" s="3"/>
    </row>
    <row r="1705" spans="1:30" ht="39" customHeight="1">
      <c r="A1705" s="11" t="s">
        <v>5130</v>
      </c>
      <c r="B1705" s="3" t="s">
        <v>5152</v>
      </c>
      <c r="C1705" s="3" t="s">
        <v>1105</v>
      </c>
      <c r="D1705" s="3" t="s">
        <v>1105</v>
      </c>
      <c r="E1705" s="3" t="s">
        <v>1105</v>
      </c>
      <c r="F1705" s="3" t="s">
        <v>2276</v>
      </c>
      <c r="G1705" s="4" t="s">
        <v>2662</v>
      </c>
      <c r="H1705" s="3" t="s">
        <v>523</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3" t="s">
        <v>2276</v>
      </c>
      <c r="AC1705" s="3"/>
      <c r="AD1705" s="3"/>
    </row>
    <row r="1706" spans="1:30" ht="39" customHeight="1">
      <c r="A1706" s="11" t="s">
        <v>5131</v>
      </c>
      <c r="B1706" s="3" t="s">
        <v>5153</v>
      </c>
      <c r="C1706" s="3" t="s">
        <v>1105</v>
      </c>
      <c r="D1706" s="3" t="s">
        <v>1105</v>
      </c>
      <c r="E1706" s="3" t="s">
        <v>1105</v>
      </c>
      <c r="F1706" s="3" t="s">
        <v>2276</v>
      </c>
      <c r="G1706" s="4" t="s">
        <v>2662</v>
      </c>
      <c r="H1706" s="3" t="s">
        <v>523</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3" t="s">
        <v>2276</v>
      </c>
      <c r="AC1706" s="3"/>
      <c r="AD1706" s="3"/>
    </row>
    <row r="1707" spans="1:30" ht="39" customHeight="1">
      <c r="A1707" s="11" t="s">
        <v>5132</v>
      </c>
      <c r="B1707" s="3" t="s">
        <v>5154</v>
      </c>
      <c r="C1707" s="3" t="s">
        <v>1105</v>
      </c>
      <c r="D1707" s="3" t="s">
        <v>1105</v>
      </c>
      <c r="E1707" s="3" t="s">
        <v>1105</v>
      </c>
      <c r="F1707" s="3" t="s">
        <v>2276</v>
      </c>
      <c r="G1707" s="4" t="s">
        <v>2662</v>
      </c>
      <c r="H1707" s="3" t="s">
        <v>523</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3" t="s">
        <v>2276</v>
      </c>
      <c r="AC1707" s="3"/>
      <c r="AD1707" s="3"/>
    </row>
    <row r="1708" spans="1:30" ht="42" customHeight="1">
      <c r="A1708" s="11" t="s">
        <v>5123</v>
      </c>
      <c r="B1708" s="3" t="s">
        <v>5171</v>
      </c>
      <c r="C1708" s="3" t="s">
        <v>1105</v>
      </c>
      <c r="D1708" s="3" t="s">
        <v>1105</v>
      </c>
      <c r="E1708" s="3" t="s">
        <v>1105</v>
      </c>
      <c r="F1708" s="3" t="s">
        <v>2276</v>
      </c>
      <c r="G1708" s="4" t="s">
        <v>2662</v>
      </c>
      <c r="H1708" s="3" t="s">
        <v>523</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3" t="s">
        <v>2276</v>
      </c>
      <c r="AC1708" s="3"/>
      <c r="AD1708" s="3"/>
    </row>
    <row r="1709" spans="1:30" ht="42" customHeight="1">
      <c r="A1709" s="11" t="s">
        <v>5124</v>
      </c>
      <c r="B1709" s="3" t="s">
        <v>5172</v>
      </c>
      <c r="C1709" s="3" t="s">
        <v>1105</v>
      </c>
      <c r="D1709" s="3" t="s">
        <v>1105</v>
      </c>
      <c r="E1709" s="3" t="s">
        <v>1105</v>
      </c>
      <c r="F1709" s="3" t="s">
        <v>2276</v>
      </c>
      <c r="G1709" s="4" t="s">
        <v>2662</v>
      </c>
      <c r="H1709" s="3" t="s">
        <v>523</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3" t="s">
        <v>2276</v>
      </c>
      <c r="AC1709" s="3"/>
      <c r="AD1709" s="3"/>
    </row>
    <row r="1710" spans="1:30" ht="42" customHeight="1">
      <c r="A1710" s="11" t="s">
        <v>5125</v>
      </c>
      <c r="B1710" s="3" t="s">
        <v>5173</v>
      </c>
      <c r="C1710" s="3" t="s">
        <v>1105</v>
      </c>
      <c r="D1710" s="3" t="s">
        <v>1105</v>
      </c>
      <c r="E1710" s="3" t="s">
        <v>1105</v>
      </c>
      <c r="F1710" s="3" t="s">
        <v>2276</v>
      </c>
      <c r="G1710" s="4" t="s">
        <v>2662</v>
      </c>
      <c r="H1710" s="3" t="s">
        <v>523</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3" t="s">
        <v>2276</v>
      </c>
      <c r="AC1710" s="3"/>
      <c r="AD1710" s="3"/>
    </row>
    <row r="1711" spans="1:30" ht="42" customHeight="1">
      <c r="A1711" s="11" t="s">
        <v>5126</v>
      </c>
      <c r="B1711" s="3" t="s">
        <v>5174</v>
      </c>
      <c r="C1711" s="3" t="s">
        <v>1105</v>
      </c>
      <c r="D1711" s="3" t="s">
        <v>1105</v>
      </c>
      <c r="E1711" s="3" t="s">
        <v>1105</v>
      </c>
      <c r="F1711" s="3" t="s">
        <v>2276</v>
      </c>
      <c r="G1711" s="4" t="s">
        <v>2662</v>
      </c>
      <c r="H1711" s="3" t="s">
        <v>523</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3" t="s">
        <v>2276</v>
      </c>
      <c r="AC1711" s="3"/>
      <c r="AD1711" s="3"/>
    </row>
    <row r="1712" spans="1:30" ht="42" customHeight="1">
      <c r="A1712" s="11" t="s">
        <v>5127</v>
      </c>
      <c r="B1712" s="3" t="s">
        <v>5175</v>
      </c>
      <c r="C1712" s="3" t="s">
        <v>1105</v>
      </c>
      <c r="D1712" s="3" t="s">
        <v>1105</v>
      </c>
      <c r="E1712" s="3" t="s">
        <v>1105</v>
      </c>
      <c r="F1712" s="3" t="s">
        <v>2276</v>
      </c>
      <c r="G1712" s="4" t="s">
        <v>2662</v>
      </c>
      <c r="H1712" s="3" t="s">
        <v>523</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3" t="s">
        <v>2276</v>
      </c>
      <c r="AC1712" s="3"/>
      <c r="AD1712" s="3"/>
    </row>
    <row r="1713" spans="1:30" ht="42" customHeight="1">
      <c r="A1713" s="11" t="s">
        <v>5128</v>
      </c>
      <c r="B1713" s="3" t="s">
        <v>5158</v>
      </c>
      <c r="C1713" s="3" t="s">
        <v>2458</v>
      </c>
      <c r="D1713" s="3" t="s">
        <v>1242</v>
      </c>
      <c r="E1713" s="3" t="s">
        <v>137</v>
      </c>
      <c r="F1713" s="4" t="s">
        <v>2662</v>
      </c>
      <c r="G1713" s="4" t="s">
        <v>2662</v>
      </c>
      <c r="H1713" s="3" t="s">
        <v>523</v>
      </c>
      <c r="I1713" s="3">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3" t="s">
        <v>2276</v>
      </c>
      <c r="AC1713" s="3" t="s">
        <v>5185</v>
      </c>
      <c r="AD1713" s="3"/>
    </row>
    <row r="1714" spans="1:30" ht="42" customHeight="1">
      <c r="A1714" s="11" t="s">
        <v>5129</v>
      </c>
      <c r="B1714" s="3" t="s">
        <v>5159</v>
      </c>
      <c r="C1714" s="3" t="s">
        <v>2458</v>
      </c>
      <c r="D1714" s="3" t="s">
        <v>1242</v>
      </c>
      <c r="E1714" s="3" t="s">
        <v>137</v>
      </c>
      <c r="F1714" s="4" t="s">
        <v>2662</v>
      </c>
      <c r="G1714" s="4" t="s">
        <v>2662</v>
      </c>
      <c r="H1714" s="3" t="s">
        <v>523</v>
      </c>
      <c r="I1714" s="3">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3" t="s">
        <v>2276</v>
      </c>
      <c r="AC1714" s="3" t="s">
        <v>5185</v>
      </c>
      <c r="AD1714" s="3"/>
    </row>
    <row r="1715" spans="1:30" ht="42" customHeight="1">
      <c r="A1715" s="11" t="s">
        <v>5128</v>
      </c>
      <c r="B1715" s="3" t="s">
        <v>5176</v>
      </c>
      <c r="C1715" s="3" t="s">
        <v>31</v>
      </c>
      <c r="D1715" s="3" t="s">
        <v>30</v>
      </c>
      <c r="E1715" s="3" t="s">
        <v>2652</v>
      </c>
      <c r="F1715" s="3" t="s">
        <v>2276</v>
      </c>
      <c r="G1715" s="4" t="s">
        <v>2662</v>
      </c>
      <c r="H1715" s="3" t="s">
        <v>523</v>
      </c>
      <c r="I1715" s="3">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3" t="s">
        <v>2276</v>
      </c>
      <c r="AC1715" s="3" t="s">
        <v>5185</v>
      </c>
      <c r="AD1715" s="3"/>
    </row>
    <row r="1716" spans="1:30" ht="42" customHeight="1">
      <c r="A1716" s="11" t="s">
        <v>5129</v>
      </c>
      <c r="B1716" s="3" t="s">
        <v>5177</v>
      </c>
      <c r="C1716" s="3" t="s">
        <v>31</v>
      </c>
      <c r="D1716" s="3" t="s">
        <v>30</v>
      </c>
      <c r="E1716" s="3" t="s">
        <v>2652</v>
      </c>
      <c r="F1716" s="3" t="s">
        <v>2276</v>
      </c>
      <c r="G1716" s="4" t="s">
        <v>2662</v>
      </c>
      <c r="H1716" s="3" t="s">
        <v>523</v>
      </c>
      <c r="I1716" s="3">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3" t="s">
        <v>405</v>
      </c>
      <c r="AA1716" s="3" t="s">
        <v>35</v>
      </c>
      <c r="AB1716" s="3" t="s">
        <v>2276</v>
      </c>
      <c r="AC1716" s="3" t="s">
        <v>5185</v>
      </c>
      <c r="AD1716" s="3"/>
    </row>
    <row r="1717" spans="1:30" ht="42" customHeight="1">
      <c r="A1717" s="11" t="s">
        <v>5128</v>
      </c>
      <c r="B1717" s="3" t="s">
        <v>5178</v>
      </c>
      <c r="C1717" s="3" t="s">
        <v>31</v>
      </c>
      <c r="D1717" s="3" t="s">
        <v>30</v>
      </c>
      <c r="E1717" s="3" t="s">
        <v>2653</v>
      </c>
      <c r="F1717" s="3" t="s">
        <v>2276</v>
      </c>
      <c r="G1717" s="4" t="s">
        <v>2662</v>
      </c>
      <c r="H1717" s="3" t="s">
        <v>523</v>
      </c>
      <c r="I1717" s="3">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3" t="s">
        <v>405</v>
      </c>
      <c r="AA1717" s="3" t="s">
        <v>35</v>
      </c>
      <c r="AB1717" s="3" t="s">
        <v>2276</v>
      </c>
      <c r="AC1717" s="3" t="s">
        <v>5185</v>
      </c>
      <c r="AD1717" s="3"/>
    </row>
    <row r="1718" spans="1:30" ht="42" customHeight="1">
      <c r="A1718" s="11" t="s">
        <v>5129</v>
      </c>
      <c r="B1718" s="3" t="s">
        <v>5179</v>
      </c>
      <c r="C1718" s="3" t="s">
        <v>31</v>
      </c>
      <c r="D1718" s="3" t="s">
        <v>30</v>
      </c>
      <c r="E1718" s="3" t="s">
        <v>2653</v>
      </c>
      <c r="F1718" s="3" t="s">
        <v>2276</v>
      </c>
      <c r="G1718" s="4" t="s">
        <v>2662</v>
      </c>
      <c r="H1718" s="3" t="s">
        <v>523</v>
      </c>
      <c r="I1718" s="3">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3" t="s">
        <v>405</v>
      </c>
      <c r="AA1718" s="3" t="s">
        <v>35</v>
      </c>
      <c r="AB1718" s="3" t="s">
        <v>2276</v>
      </c>
      <c r="AC1718" s="3" t="s">
        <v>5185</v>
      </c>
      <c r="AD1718" s="3"/>
    </row>
    <row r="1719" spans="1:30" ht="42" customHeight="1">
      <c r="A1719" s="11" t="s">
        <v>5128</v>
      </c>
      <c r="B1719" s="3" t="s">
        <v>5180</v>
      </c>
      <c r="C1719" s="3" t="s">
        <v>24</v>
      </c>
      <c r="D1719" s="3" t="s">
        <v>1245</v>
      </c>
      <c r="E1719" s="3" t="s">
        <v>116</v>
      </c>
      <c r="F1719" s="3" t="s">
        <v>2276</v>
      </c>
      <c r="G1719" s="4" t="s">
        <v>2662</v>
      </c>
      <c r="H1719" s="3" t="s">
        <v>523</v>
      </c>
      <c r="I1719" s="3">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3" t="s">
        <v>405</v>
      </c>
      <c r="AA1719" s="3" t="s">
        <v>35</v>
      </c>
      <c r="AB1719" s="3" t="s">
        <v>2276</v>
      </c>
      <c r="AC1719" s="3" t="s">
        <v>5185</v>
      </c>
      <c r="AD1719" s="3"/>
    </row>
    <row r="1720" spans="1:30" ht="38.5" customHeight="1">
      <c r="A1720" s="11" t="s">
        <v>5129</v>
      </c>
      <c r="B1720" s="3" t="s">
        <v>5181</v>
      </c>
      <c r="C1720" s="3" t="s">
        <v>24</v>
      </c>
      <c r="D1720" s="3" t="s">
        <v>1245</v>
      </c>
      <c r="E1720" s="3" t="s">
        <v>116</v>
      </c>
      <c r="F1720" s="3" t="s">
        <v>2276</v>
      </c>
      <c r="G1720" s="4" t="s">
        <v>2662</v>
      </c>
      <c r="H1720" s="3" t="s">
        <v>523</v>
      </c>
      <c r="I1720" s="3">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3" t="s">
        <v>405</v>
      </c>
      <c r="AA1720" s="3" t="s">
        <v>35</v>
      </c>
      <c r="AB1720" s="3" t="s">
        <v>2276</v>
      </c>
      <c r="AC1720" s="3" t="s">
        <v>5185</v>
      </c>
      <c r="AD1720" s="3"/>
    </row>
    <row r="1721" spans="1:30" ht="33.5" customHeight="1">
      <c r="A1721" s="11" t="s">
        <v>5128</v>
      </c>
      <c r="B1721" s="3" t="s">
        <v>5182</v>
      </c>
      <c r="C1721" s="3" t="s">
        <v>2656</v>
      </c>
      <c r="D1721" s="3" t="s">
        <v>2276</v>
      </c>
      <c r="E1721" s="3" t="s">
        <v>2276</v>
      </c>
      <c r="F1721" s="3" t="s">
        <v>2276</v>
      </c>
      <c r="G1721" s="4" t="s">
        <v>2662</v>
      </c>
      <c r="H1721" s="3" t="s">
        <v>523</v>
      </c>
      <c r="I1721" s="3">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3" t="s">
        <v>405</v>
      </c>
      <c r="AA1721" s="3" t="s">
        <v>35</v>
      </c>
      <c r="AB1721" s="3" t="s">
        <v>2276</v>
      </c>
      <c r="AC1721" s="3" t="s">
        <v>5185</v>
      </c>
      <c r="AD1721" s="3"/>
    </row>
    <row r="1722" spans="1:30" ht="33.5" customHeight="1">
      <c r="A1722" s="11" t="s">
        <v>5129</v>
      </c>
      <c r="B1722" s="3" t="s">
        <v>5183</v>
      </c>
      <c r="C1722" s="3" t="s">
        <v>2656</v>
      </c>
      <c r="D1722" s="3" t="s">
        <v>2276</v>
      </c>
      <c r="E1722" s="3" t="s">
        <v>2276</v>
      </c>
      <c r="F1722" s="3" t="s">
        <v>2276</v>
      </c>
      <c r="G1722" s="4" t="s">
        <v>2662</v>
      </c>
      <c r="H1722" s="3" t="s">
        <v>523</v>
      </c>
      <c r="I1722" s="3">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3" t="s">
        <v>405</v>
      </c>
      <c r="AA1722" s="3" t="s">
        <v>35</v>
      </c>
      <c r="AB1722" s="3" t="s">
        <v>2276</v>
      </c>
      <c r="AC1722" s="3" t="s">
        <v>5185</v>
      </c>
      <c r="AD1722" s="3"/>
    </row>
    <row r="1723" spans="1:30" ht="38" customHeight="1">
      <c r="A1723" s="19" t="s">
        <v>5190</v>
      </c>
      <c r="B1723" s="19" t="s">
        <v>5193</v>
      </c>
      <c r="C1723" s="4" t="s">
        <v>24</v>
      </c>
      <c r="D1723" s="4" t="s">
        <v>2231</v>
      </c>
      <c r="E1723" s="4" t="s">
        <v>396</v>
      </c>
      <c r="F1723" s="4" t="s">
        <v>74</v>
      </c>
      <c r="G1723" s="3" t="s">
        <v>2276</v>
      </c>
      <c r="H1723" s="3" t="s">
        <v>523</v>
      </c>
      <c r="I1723" s="4"/>
      <c r="J1723" s="3" t="s">
        <v>2276</v>
      </c>
      <c r="K1723" s="3" t="s">
        <v>2276</v>
      </c>
      <c r="L1723" s="3" t="s">
        <v>2276</v>
      </c>
      <c r="M1723" s="3" t="s">
        <v>2276</v>
      </c>
      <c r="N1723" s="3" t="s">
        <v>2276</v>
      </c>
      <c r="O1723" s="3" t="s">
        <v>2276</v>
      </c>
      <c r="P1723" s="3" t="s">
        <v>2276</v>
      </c>
      <c r="Q1723" s="3" t="s">
        <v>2276</v>
      </c>
      <c r="R1723" s="3" t="s">
        <v>2276</v>
      </c>
      <c r="S1723" s="3" t="s">
        <v>2276</v>
      </c>
      <c r="T1723" s="3" t="s">
        <v>2276</v>
      </c>
      <c r="U1723" s="3" t="s">
        <v>2276</v>
      </c>
      <c r="V1723" s="3" t="s">
        <v>2276</v>
      </c>
      <c r="W1723" s="3" t="s">
        <v>2276</v>
      </c>
      <c r="X1723" s="3" t="s">
        <v>2276</v>
      </c>
      <c r="Y1723" s="3" t="s">
        <v>2276</v>
      </c>
      <c r="Z1723" s="3" t="s">
        <v>2276</v>
      </c>
      <c r="AA1723" s="3" t="s">
        <v>2276</v>
      </c>
      <c r="AB1723" s="3" t="s">
        <v>2276</v>
      </c>
      <c r="AC1723" s="4"/>
      <c r="AD1723" s="4"/>
    </row>
    <row r="1724" spans="1:30" ht="38" customHeight="1">
      <c r="A1724" s="19" t="s">
        <v>5190</v>
      </c>
      <c r="B1724" s="19" t="s">
        <v>5195</v>
      </c>
      <c r="C1724" s="4" t="s">
        <v>24</v>
      </c>
      <c r="D1724" s="4" t="s">
        <v>4162</v>
      </c>
      <c r="E1724" s="4" t="s">
        <v>863</v>
      </c>
      <c r="F1724" s="4" t="s">
        <v>74</v>
      </c>
      <c r="G1724" s="3" t="s">
        <v>2276</v>
      </c>
      <c r="H1724" s="3" t="s">
        <v>523</v>
      </c>
      <c r="I1724" s="4"/>
      <c r="J1724" s="3" t="s">
        <v>2276</v>
      </c>
      <c r="K1724" s="3" t="s">
        <v>2276</v>
      </c>
      <c r="L1724" s="3" t="s">
        <v>2276</v>
      </c>
      <c r="M1724" s="3" t="s">
        <v>2276</v>
      </c>
      <c r="N1724" s="3" t="s">
        <v>2276</v>
      </c>
      <c r="O1724" s="3" t="s">
        <v>2276</v>
      </c>
      <c r="P1724" s="3" t="s">
        <v>2276</v>
      </c>
      <c r="Q1724" s="3" t="s">
        <v>2276</v>
      </c>
      <c r="R1724" s="3" t="s">
        <v>2276</v>
      </c>
      <c r="S1724" s="3" t="s">
        <v>2276</v>
      </c>
      <c r="T1724" s="3" t="s">
        <v>2276</v>
      </c>
      <c r="U1724" s="3" t="s">
        <v>2276</v>
      </c>
      <c r="V1724" s="3" t="s">
        <v>2276</v>
      </c>
      <c r="W1724" s="3" t="s">
        <v>2276</v>
      </c>
      <c r="X1724" s="3" t="s">
        <v>2276</v>
      </c>
      <c r="Y1724" s="3" t="s">
        <v>2276</v>
      </c>
      <c r="Z1724" s="3" t="s">
        <v>2276</v>
      </c>
      <c r="AA1724" s="3" t="s">
        <v>2276</v>
      </c>
      <c r="AB1724" s="3" t="s">
        <v>2276</v>
      </c>
      <c r="AC1724" s="4"/>
      <c r="AD1724" s="4"/>
    </row>
    <row r="1725" spans="1:30" ht="33.5" customHeight="1">
      <c r="A1725" s="19" t="s">
        <v>5190</v>
      </c>
      <c r="B1725" s="19" t="s">
        <v>5196</v>
      </c>
      <c r="C1725" s="4" t="s">
        <v>24</v>
      </c>
      <c r="D1725" s="4" t="s">
        <v>3476</v>
      </c>
      <c r="E1725" s="4" t="s">
        <v>863</v>
      </c>
      <c r="F1725" s="4" t="s">
        <v>74</v>
      </c>
      <c r="G1725" s="3" t="s">
        <v>2276</v>
      </c>
      <c r="H1725" s="3" t="s">
        <v>523</v>
      </c>
      <c r="I1725" s="4"/>
      <c r="J1725" s="3" t="s">
        <v>2276</v>
      </c>
      <c r="K1725" s="3" t="s">
        <v>2276</v>
      </c>
      <c r="L1725" s="3" t="s">
        <v>2276</v>
      </c>
      <c r="M1725" s="3" t="s">
        <v>2276</v>
      </c>
      <c r="N1725" s="3" t="s">
        <v>2276</v>
      </c>
      <c r="O1725" s="3" t="s">
        <v>2276</v>
      </c>
      <c r="P1725" s="3" t="s">
        <v>2276</v>
      </c>
      <c r="Q1725" s="3" t="s">
        <v>2276</v>
      </c>
      <c r="R1725" s="3" t="s">
        <v>2276</v>
      </c>
      <c r="S1725" s="3" t="s">
        <v>2276</v>
      </c>
      <c r="T1725" s="3" t="s">
        <v>2276</v>
      </c>
      <c r="U1725" s="3" t="s">
        <v>2276</v>
      </c>
      <c r="V1725" s="3" t="s">
        <v>2276</v>
      </c>
      <c r="W1725" s="3" t="s">
        <v>2276</v>
      </c>
      <c r="X1725" s="3" t="s">
        <v>2276</v>
      </c>
      <c r="Y1725" s="3" t="s">
        <v>2276</v>
      </c>
      <c r="Z1725" s="3" t="s">
        <v>2276</v>
      </c>
      <c r="AA1725" s="3" t="s">
        <v>2276</v>
      </c>
      <c r="AB1725" s="3" t="s">
        <v>2276</v>
      </c>
      <c r="AC1725" s="4"/>
      <c r="AD1725" s="4"/>
    </row>
    <row r="1726" spans="1:30" ht="36.5" customHeight="1">
      <c r="A1726" s="19" t="s">
        <v>5190</v>
      </c>
      <c r="B1726" s="19" t="s">
        <v>5197</v>
      </c>
      <c r="C1726" s="4" t="s">
        <v>24</v>
      </c>
      <c r="D1726" s="3" t="s">
        <v>27</v>
      </c>
      <c r="E1726" s="3" t="s">
        <v>130</v>
      </c>
      <c r="F1726" s="4" t="s">
        <v>160</v>
      </c>
      <c r="G1726" s="3" t="s">
        <v>2276</v>
      </c>
      <c r="H1726" s="3" t="s">
        <v>523</v>
      </c>
      <c r="I1726" s="3"/>
      <c r="J1726" s="3" t="s">
        <v>2276</v>
      </c>
      <c r="K1726" s="3" t="s">
        <v>2276</v>
      </c>
      <c r="L1726" s="3" t="s">
        <v>2276</v>
      </c>
      <c r="M1726" s="3" t="s">
        <v>2276</v>
      </c>
      <c r="N1726" s="3" t="s">
        <v>2276</v>
      </c>
      <c r="O1726" s="3" t="s">
        <v>2276</v>
      </c>
      <c r="P1726" s="3" t="s">
        <v>2276</v>
      </c>
      <c r="Q1726" s="3" t="s">
        <v>2276</v>
      </c>
      <c r="R1726" s="3" t="s">
        <v>2276</v>
      </c>
      <c r="S1726" s="3" t="s">
        <v>2276</v>
      </c>
      <c r="T1726" s="3" t="s">
        <v>2276</v>
      </c>
      <c r="U1726" s="3" t="s">
        <v>2276</v>
      </c>
      <c r="V1726" s="3" t="s">
        <v>2276</v>
      </c>
      <c r="W1726" s="3" t="s">
        <v>2276</v>
      </c>
      <c r="X1726" s="3" t="s">
        <v>2276</v>
      </c>
      <c r="Y1726" s="3" t="s">
        <v>2276</v>
      </c>
      <c r="Z1726" s="3" t="s">
        <v>2276</v>
      </c>
      <c r="AA1726" s="3" t="s">
        <v>2276</v>
      </c>
      <c r="AB1726" s="3" t="s">
        <v>2276</v>
      </c>
      <c r="AC1726" s="4" t="s">
        <v>5202</v>
      </c>
      <c r="AD1726" s="3"/>
    </row>
    <row r="1727" spans="1:30" ht="36.5" customHeight="1">
      <c r="A1727" s="19" t="s">
        <v>5190</v>
      </c>
      <c r="B1727" s="19" t="s">
        <v>5198</v>
      </c>
      <c r="C1727" s="4" t="s">
        <v>24</v>
      </c>
      <c r="D1727" s="3" t="s">
        <v>1245</v>
      </c>
      <c r="E1727" s="4" t="s">
        <v>863</v>
      </c>
      <c r="F1727" s="4" t="s">
        <v>74</v>
      </c>
      <c r="G1727" s="3" t="s">
        <v>2276</v>
      </c>
      <c r="H1727" s="3" t="s">
        <v>523</v>
      </c>
      <c r="I1727" s="3"/>
      <c r="J1727" s="3" t="s">
        <v>2276</v>
      </c>
      <c r="K1727" s="3" t="s">
        <v>2276</v>
      </c>
      <c r="L1727" s="3" t="s">
        <v>2276</v>
      </c>
      <c r="M1727" s="3" t="s">
        <v>2276</v>
      </c>
      <c r="N1727" s="3" t="s">
        <v>2276</v>
      </c>
      <c r="O1727" s="3" t="s">
        <v>2276</v>
      </c>
      <c r="P1727" s="3" t="s">
        <v>2276</v>
      </c>
      <c r="Q1727" s="3" t="s">
        <v>2276</v>
      </c>
      <c r="R1727" s="3" t="s">
        <v>2276</v>
      </c>
      <c r="S1727" s="3" t="s">
        <v>2276</v>
      </c>
      <c r="T1727" s="3" t="s">
        <v>2276</v>
      </c>
      <c r="U1727" s="3" t="s">
        <v>2276</v>
      </c>
      <c r="V1727" s="3" t="s">
        <v>2276</v>
      </c>
      <c r="W1727" s="3" t="s">
        <v>2276</v>
      </c>
      <c r="X1727" s="3" t="s">
        <v>2276</v>
      </c>
      <c r="Y1727" s="3" t="s">
        <v>2276</v>
      </c>
      <c r="Z1727" s="3" t="s">
        <v>2276</v>
      </c>
      <c r="AA1727" s="3" t="s">
        <v>2276</v>
      </c>
      <c r="AB1727" s="3" t="s">
        <v>2276</v>
      </c>
      <c r="AC1727" s="4" t="s">
        <v>5202</v>
      </c>
      <c r="AD1727" s="3"/>
    </row>
    <row r="1728" spans="1:30" ht="36.5" customHeight="1">
      <c r="A1728" s="19" t="s">
        <v>5190</v>
      </c>
      <c r="B1728" s="19" t="s">
        <v>5199</v>
      </c>
      <c r="C1728" s="4" t="s">
        <v>24</v>
      </c>
      <c r="D1728" s="3" t="s">
        <v>2305</v>
      </c>
      <c r="E1728" s="4" t="s">
        <v>863</v>
      </c>
      <c r="F1728" s="4" t="s">
        <v>74</v>
      </c>
      <c r="G1728" s="3" t="s">
        <v>2276</v>
      </c>
      <c r="H1728" s="3" t="s">
        <v>523</v>
      </c>
      <c r="I1728" s="3"/>
      <c r="J1728" s="3" t="s">
        <v>2276</v>
      </c>
      <c r="K1728" s="3" t="s">
        <v>2276</v>
      </c>
      <c r="L1728" s="3" t="s">
        <v>2276</v>
      </c>
      <c r="M1728" s="3" t="s">
        <v>2276</v>
      </c>
      <c r="N1728" s="3" t="s">
        <v>2276</v>
      </c>
      <c r="O1728" s="3" t="s">
        <v>2276</v>
      </c>
      <c r="P1728" s="3" t="s">
        <v>2276</v>
      </c>
      <c r="Q1728" s="3" t="s">
        <v>2276</v>
      </c>
      <c r="R1728" s="3" t="s">
        <v>2276</v>
      </c>
      <c r="S1728" s="3" t="s">
        <v>2276</v>
      </c>
      <c r="T1728" s="3" t="s">
        <v>2276</v>
      </c>
      <c r="U1728" s="3" t="s">
        <v>2276</v>
      </c>
      <c r="V1728" s="3" t="s">
        <v>2276</v>
      </c>
      <c r="W1728" s="3" t="s">
        <v>2276</v>
      </c>
      <c r="X1728" s="3" t="s">
        <v>2276</v>
      </c>
      <c r="Y1728" s="3" t="s">
        <v>2276</v>
      </c>
      <c r="Z1728" s="3" t="s">
        <v>2276</v>
      </c>
      <c r="AA1728" s="3" t="s">
        <v>2276</v>
      </c>
      <c r="AB1728" s="3" t="s">
        <v>2276</v>
      </c>
      <c r="AC1728" s="4" t="s">
        <v>5202</v>
      </c>
      <c r="AD1728" s="3"/>
    </row>
    <row r="1729" spans="1:30" ht="40" customHeight="1">
      <c r="A1729" s="19" t="s">
        <v>5190</v>
      </c>
      <c r="B1729" s="19" t="s">
        <v>5200</v>
      </c>
      <c r="C1729" s="4" t="s">
        <v>24</v>
      </c>
      <c r="D1729" s="3" t="s">
        <v>3480</v>
      </c>
      <c r="E1729" s="4" t="s">
        <v>863</v>
      </c>
      <c r="F1729" s="4" t="s">
        <v>74</v>
      </c>
      <c r="G1729" s="3" t="s">
        <v>2276</v>
      </c>
      <c r="H1729" s="3" t="s">
        <v>523</v>
      </c>
      <c r="I1729" s="3"/>
      <c r="J1729" s="3" t="s">
        <v>2276</v>
      </c>
      <c r="K1729" s="3" t="s">
        <v>2276</v>
      </c>
      <c r="L1729" s="3" t="s">
        <v>2276</v>
      </c>
      <c r="M1729" s="3" t="s">
        <v>2276</v>
      </c>
      <c r="N1729" s="3" t="s">
        <v>2276</v>
      </c>
      <c r="O1729" s="3" t="s">
        <v>2276</v>
      </c>
      <c r="P1729" s="3" t="s">
        <v>2276</v>
      </c>
      <c r="Q1729" s="3" t="s">
        <v>2276</v>
      </c>
      <c r="R1729" s="3" t="s">
        <v>2276</v>
      </c>
      <c r="S1729" s="3" t="s">
        <v>2276</v>
      </c>
      <c r="T1729" s="3" t="s">
        <v>2276</v>
      </c>
      <c r="U1729" s="3" t="s">
        <v>2276</v>
      </c>
      <c r="V1729" s="3" t="s">
        <v>2276</v>
      </c>
      <c r="W1729" s="3" t="s">
        <v>2276</v>
      </c>
      <c r="X1729" s="3" t="s">
        <v>2276</v>
      </c>
      <c r="Y1729" s="3" t="s">
        <v>2276</v>
      </c>
      <c r="Z1729" s="3" t="s">
        <v>2276</v>
      </c>
      <c r="AA1729" s="3" t="s">
        <v>2276</v>
      </c>
      <c r="AB1729" s="3" t="s">
        <v>2276</v>
      </c>
      <c r="AC1729" s="4" t="s">
        <v>5202</v>
      </c>
      <c r="AD1729" s="3"/>
    </row>
    <row r="1730" spans="1:30" ht="34.5" customHeight="1">
      <c r="A1730" s="19" t="s">
        <v>5190</v>
      </c>
      <c r="B1730" s="19" t="s">
        <v>5201</v>
      </c>
      <c r="C1730" s="4" t="s">
        <v>24</v>
      </c>
      <c r="D1730" s="3" t="s">
        <v>2341</v>
      </c>
      <c r="E1730" s="4" t="s">
        <v>863</v>
      </c>
      <c r="F1730" s="4" t="s">
        <v>74</v>
      </c>
      <c r="G1730" s="3" t="s">
        <v>2276</v>
      </c>
      <c r="H1730" s="3" t="s">
        <v>523</v>
      </c>
      <c r="I1730" s="3"/>
      <c r="J1730" s="3" t="s">
        <v>2276</v>
      </c>
      <c r="K1730" s="3" t="s">
        <v>2276</v>
      </c>
      <c r="L1730" s="3" t="s">
        <v>2276</v>
      </c>
      <c r="M1730" s="3" t="s">
        <v>2276</v>
      </c>
      <c r="N1730" s="3" t="s">
        <v>2276</v>
      </c>
      <c r="O1730" s="3" t="s">
        <v>2276</v>
      </c>
      <c r="P1730" s="3" t="s">
        <v>2276</v>
      </c>
      <c r="Q1730" s="3" t="s">
        <v>2276</v>
      </c>
      <c r="R1730" s="3" t="s">
        <v>2276</v>
      </c>
      <c r="S1730" s="3" t="s">
        <v>2276</v>
      </c>
      <c r="T1730" s="3" t="s">
        <v>2276</v>
      </c>
      <c r="U1730" s="3" t="s">
        <v>2276</v>
      </c>
      <c r="V1730" s="3" t="s">
        <v>2276</v>
      </c>
      <c r="W1730" s="3" t="s">
        <v>2276</v>
      </c>
      <c r="X1730" s="3" t="s">
        <v>2276</v>
      </c>
      <c r="Y1730" s="3" t="s">
        <v>2276</v>
      </c>
      <c r="Z1730" s="3" t="s">
        <v>2276</v>
      </c>
      <c r="AA1730" s="3" t="s">
        <v>2276</v>
      </c>
      <c r="AB1730" s="3" t="s">
        <v>2276</v>
      </c>
      <c r="AC1730" s="4" t="s">
        <v>5203</v>
      </c>
      <c r="AD1730" s="3"/>
    </row>
    <row r="1731" spans="1:30" ht="94.5" customHeight="1">
      <c r="A1731" s="19" t="s">
        <v>5190</v>
      </c>
      <c r="B1731" s="19" t="s">
        <v>5204</v>
      </c>
      <c r="C1731" s="3" t="s">
        <v>2658</v>
      </c>
      <c r="D1731" s="3" t="s">
        <v>1105</v>
      </c>
      <c r="E1731" s="3" t="s">
        <v>1105</v>
      </c>
      <c r="F1731" s="3" t="s">
        <v>2276</v>
      </c>
      <c r="G1731" s="3" t="s">
        <v>2276</v>
      </c>
      <c r="H1731" s="3" t="s">
        <v>523</v>
      </c>
      <c r="I1731" s="3"/>
      <c r="J1731" s="3" t="s">
        <v>2276</v>
      </c>
      <c r="K1731" s="3" t="s">
        <v>2276</v>
      </c>
      <c r="L1731" s="3" t="s">
        <v>2276</v>
      </c>
      <c r="M1731" s="3" t="s">
        <v>2276</v>
      </c>
      <c r="N1731" s="3" t="s">
        <v>2276</v>
      </c>
      <c r="O1731" s="3" t="s">
        <v>2276</v>
      </c>
      <c r="P1731" s="3" t="s">
        <v>2276</v>
      </c>
      <c r="Q1731" s="3" t="s">
        <v>2276</v>
      </c>
      <c r="R1731" s="3" t="s">
        <v>2276</v>
      </c>
      <c r="S1731" s="3" t="s">
        <v>2276</v>
      </c>
      <c r="T1731" s="3" t="s">
        <v>2276</v>
      </c>
      <c r="U1731" s="3" t="s">
        <v>2276</v>
      </c>
      <c r="V1731" s="3" t="s">
        <v>2276</v>
      </c>
      <c r="W1731" s="3" t="s">
        <v>2276</v>
      </c>
      <c r="X1731" s="3" t="s">
        <v>2276</v>
      </c>
      <c r="Y1731" s="3" t="s">
        <v>2276</v>
      </c>
      <c r="Z1731" s="3" t="s">
        <v>2276</v>
      </c>
      <c r="AA1731" s="3" t="s">
        <v>2276</v>
      </c>
      <c r="AB1731" s="3" t="s">
        <v>2276</v>
      </c>
      <c r="AC1731" s="3"/>
      <c r="AD1731" s="4" t="s">
        <v>5205</v>
      </c>
    </row>
    <row r="1732" spans="1:30" ht="53.5" customHeight="1">
      <c r="A1732" s="19" t="s">
        <v>5209</v>
      </c>
      <c r="B1732" s="19" t="s">
        <v>5216</v>
      </c>
      <c r="C1732" s="4" t="s">
        <v>24</v>
      </c>
      <c r="D1732" s="3" t="s">
        <v>144</v>
      </c>
      <c r="E1732" s="3" t="s">
        <v>137</v>
      </c>
      <c r="F1732" s="4" t="s">
        <v>55</v>
      </c>
      <c r="G1732" s="3" t="s">
        <v>55</v>
      </c>
      <c r="H1732" s="3" t="s">
        <v>523</v>
      </c>
      <c r="I1732" s="3"/>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2276</v>
      </c>
      <c r="Y1732" s="3" t="s">
        <v>2276</v>
      </c>
      <c r="Z1732" s="3" t="s">
        <v>38</v>
      </c>
      <c r="AA1732" s="3" t="s">
        <v>86</v>
      </c>
      <c r="AB1732" s="3" t="s">
        <v>2276</v>
      </c>
      <c r="AC1732" s="4" t="s">
        <v>5218</v>
      </c>
      <c r="AD1732" s="3"/>
    </row>
    <row r="1733" spans="1:30" ht="62.5" customHeight="1">
      <c r="A1733" s="19" t="s">
        <v>5209</v>
      </c>
      <c r="B1733" s="19" t="s">
        <v>5217</v>
      </c>
      <c r="C1733" s="4" t="s">
        <v>24</v>
      </c>
      <c r="D1733" s="3" t="s">
        <v>406</v>
      </c>
      <c r="E1733" s="3" t="s">
        <v>137</v>
      </c>
      <c r="F1733" s="4" t="s">
        <v>55</v>
      </c>
      <c r="G1733" s="3" t="s">
        <v>55</v>
      </c>
      <c r="H1733" s="3" t="s">
        <v>523</v>
      </c>
      <c r="I1733" s="3"/>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2276</v>
      </c>
      <c r="Y1733" s="3" t="s">
        <v>2276</v>
      </c>
      <c r="Z1733" s="3" t="s">
        <v>38</v>
      </c>
      <c r="AA1733" s="3" t="s">
        <v>86</v>
      </c>
      <c r="AB1733" s="3" t="s">
        <v>2276</v>
      </c>
      <c r="AC1733" s="4" t="s">
        <v>5218</v>
      </c>
      <c r="AD1733" s="3"/>
    </row>
    <row r="1734" spans="1:30" ht="50" customHeight="1">
      <c r="A1734" s="19" t="s">
        <v>5223</v>
      </c>
      <c r="B1734" s="19" t="s">
        <v>5227</v>
      </c>
      <c r="C1734" s="4" t="s">
        <v>24</v>
      </c>
      <c r="D1734" s="3" t="s">
        <v>25</v>
      </c>
      <c r="E1734" s="3" t="s">
        <v>5005</v>
      </c>
      <c r="F1734" s="4" t="s">
        <v>55</v>
      </c>
      <c r="G1734" s="3" t="s">
        <v>2276</v>
      </c>
      <c r="H1734" s="3" t="s">
        <v>523</v>
      </c>
      <c r="I1734" s="3"/>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t="s">
        <v>2276</v>
      </c>
      <c r="AB1734" s="3" t="s">
        <v>2276</v>
      </c>
      <c r="AC1734" s="3"/>
      <c r="AD1734" s="3"/>
    </row>
    <row r="1735" spans="1:30" ht="50" customHeight="1">
      <c r="A1735" s="19" t="s">
        <v>5223</v>
      </c>
      <c r="B1735" s="19" t="s">
        <v>5228</v>
      </c>
      <c r="C1735" s="4" t="s">
        <v>24</v>
      </c>
      <c r="D1735" s="3" t="s">
        <v>2231</v>
      </c>
      <c r="E1735" s="4" t="s">
        <v>397</v>
      </c>
      <c r="F1735" s="4" t="s">
        <v>2662</v>
      </c>
      <c r="G1735" s="3" t="s">
        <v>2276</v>
      </c>
      <c r="H1735" s="3" t="s">
        <v>523</v>
      </c>
      <c r="I1735" s="3"/>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t="s">
        <v>2276</v>
      </c>
      <c r="AB1735" s="3" t="s">
        <v>2276</v>
      </c>
      <c r="AC1735" s="3"/>
      <c r="AD1735" s="3"/>
    </row>
    <row r="1736" spans="1:30" ht="50" customHeight="1">
      <c r="A1736" s="19" t="s">
        <v>5223</v>
      </c>
      <c r="B1736" s="19" t="s">
        <v>5229</v>
      </c>
      <c r="C1736" s="4" t="s">
        <v>24</v>
      </c>
      <c r="D1736" s="3" t="s">
        <v>1245</v>
      </c>
      <c r="E1736" s="3" t="s">
        <v>116</v>
      </c>
      <c r="F1736" s="4" t="s">
        <v>55</v>
      </c>
      <c r="G1736" s="3" t="s">
        <v>2276</v>
      </c>
      <c r="H1736" s="3" t="s">
        <v>523</v>
      </c>
      <c r="I1736" s="3"/>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t="s">
        <v>2276</v>
      </c>
      <c r="AB1736" s="3" t="s">
        <v>2276</v>
      </c>
      <c r="AC1736" s="3"/>
      <c r="AD1736" s="3"/>
    </row>
    <row r="1737" spans="1:30" ht="50" customHeight="1">
      <c r="A1737" s="19" t="s">
        <v>5223</v>
      </c>
      <c r="B1737" s="19" t="s">
        <v>5230</v>
      </c>
      <c r="C1737" s="4" t="s">
        <v>24</v>
      </c>
      <c r="D1737" s="3" t="s">
        <v>3480</v>
      </c>
      <c r="E1737" s="3" t="s">
        <v>116</v>
      </c>
      <c r="F1737" s="4" t="s">
        <v>74</v>
      </c>
      <c r="G1737" s="3" t="s">
        <v>2276</v>
      </c>
      <c r="H1737" s="3" t="s">
        <v>523</v>
      </c>
      <c r="I1737" s="3"/>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t="s">
        <v>2276</v>
      </c>
      <c r="AB1737" s="3" t="s">
        <v>2276</v>
      </c>
      <c r="AC1737" s="3"/>
      <c r="AD1737" s="3"/>
    </row>
    <row r="1738" spans="1:30" ht="50" customHeight="1">
      <c r="A1738" s="19" t="s">
        <v>5223</v>
      </c>
      <c r="B1738" s="19" t="s">
        <v>5231</v>
      </c>
      <c r="C1738" s="4" t="s">
        <v>24</v>
      </c>
      <c r="D1738" s="3" t="s">
        <v>4162</v>
      </c>
      <c r="E1738" s="3" t="s">
        <v>863</v>
      </c>
      <c r="F1738" s="4" t="s">
        <v>74</v>
      </c>
      <c r="G1738" s="3" t="s">
        <v>2276</v>
      </c>
      <c r="H1738" s="3" t="s">
        <v>523</v>
      </c>
      <c r="I1738" s="3"/>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t="s">
        <v>2276</v>
      </c>
      <c r="AB1738" s="3" t="s">
        <v>2276</v>
      </c>
      <c r="AC1738" s="3"/>
      <c r="AD1738" s="3"/>
    </row>
    <row r="1739" spans="1:30" ht="45.5" customHeight="1">
      <c r="A1739" s="3" t="s">
        <v>5234</v>
      </c>
      <c r="B1739" s="3" t="s">
        <v>5251</v>
      </c>
      <c r="C1739" s="4" t="s">
        <v>24</v>
      </c>
      <c r="D1739" s="3" t="s">
        <v>25</v>
      </c>
      <c r="E1739" s="3" t="s">
        <v>5005</v>
      </c>
      <c r="F1739" s="4" t="s">
        <v>74</v>
      </c>
      <c r="G1739" s="4" t="s">
        <v>74</v>
      </c>
      <c r="H1739" s="3" t="s">
        <v>523</v>
      </c>
      <c r="I1739" s="3"/>
      <c r="J1739" s="3" t="s">
        <v>2276</v>
      </c>
      <c r="K1739" s="3" t="s">
        <v>2276</v>
      </c>
      <c r="L1739" s="3" t="s">
        <v>2276</v>
      </c>
      <c r="M1739" s="3" t="s">
        <v>2276</v>
      </c>
      <c r="N1739" s="3" t="s">
        <v>2276</v>
      </c>
      <c r="O1739" s="3" t="s">
        <v>2276</v>
      </c>
      <c r="P1739" s="3" t="s">
        <v>2276</v>
      </c>
      <c r="Q1739" s="3" t="s">
        <v>2276</v>
      </c>
      <c r="R1739" s="3" t="s">
        <v>2276</v>
      </c>
      <c r="S1739" s="3" t="s">
        <v>2276</v>
      </c>
      <c r="T1739" s="3" t="s">
        <v>2276</v>
      </c>
      <c r="U1739" s="3" t="s">
        <v>2276</v>
      </c>
      <c r="V1739" s="3" t="s">
        <v>2276</v>
      </c>
      <c r="W1739" s="3" t="s">
        <v>2276</v>
      </c>
      <c r="X1739" s="3" t="s">
        <v>2276</v>
      </c>
      <c r="Y1739" s="3" t="s">
        <v>2276</v>
      </c>
      <c r="Z1739" s="3" t="s">
        <v>2276</v>
      </c>
      <c r="AA1739" s="3" t="s">
        <v>2276</v>
      </c>
      <c r="AB1739" s="3" t="s">
        <v>2276</v>
      </c>
      <c r="AC1739" s="3"/>
      <c r="AD1739" s="4" t="s">
        <v>5336</v>
      </c>
    </row>
    <row r="1740" spans="1:30" ht="45.5" customHeight="1">
      <c r="A1740" s="3" t="s">
        <v>5234</v>
      </c>
      <c r="B1740" s="3" t="s">
        <v>5252</v>
      </c>
      <c r="C1740" s="4" t="s">
        <v>24</v>
      </c>
      <c r="D1740" s="3" t="s">
        <v>3480</v>
      </c>
      <c r="E1740" s="3" t="s">
        <v>116</v>
      </c>
      <c r="F1740" s="4" t="s">
        <v>74</v>
      </c>
      <c r="G1740" s="4" t="s">
        <v>74</v>
      </c>
      <c r="H1740" s="3" t="s">
        <v>523</v>
      </c>
      <c r="I1740" s="3"/>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t="s">
        <v>2276</v>
      </c>
      <c r="AB1740" s="3" t="s">
        <v>2276</v>
      </c>
      <c r="AC1740" s="3"/>
      <c r="AD1740" s="3"/>
    </row>
    <row r="1741" spans="1:30" ht="45.5" customHeight="1">
      <c r="A1741" s="3" t="s">
        <v>5234</v>
      </c>
      <c r="B1741" s="3" t="s">
        <v>5253</v>
      </c>
      <c r="C1741" s="4" t="s">
        <v>24</v>
      </c>
      <c r="D1741" s="3" t="s">
        <v>1245</v>
      </c>
      <c r="E1741" s="3" t="s">
        <v>116</v>
      </c>
      <c r="F1741" s="4" t="s">
        <v>74</v>
      </c>
      <c r="G1741" s="4" t="s">
        <v>74</v>
      </c>
      <c r="H1741" s="3" t="s">
        <v>523</v>
      </c>
      <c r="I1741" s="3"/>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t="s">
        <v>2276</v>
      </c>
      <c r="AB1741" s="3" t="s">
        <v>2276</v>
      </c>
      <c r="AC1741" s="3"/>
      <c r="AD1741" s="3"/>
    </row>
    <row r="1742" spans="1:30" ht="45.5" customHeight="1">
      <c r="A1742" s="3" t="s">
        <v>5234</v>
      </c>
      <c r="B1742" s="3" t="s">
        <v>5254</v>
      </c>
      <c r="C1742" s="4" t="s">
        <v>24</v>
      </c>
      <c r="D1742" s="3" t="s">
        <v>4162</v>
      </c>
      <c r="E1742" s="3" t="s">
        <v>863</v>
      </c>
      <c r="F1742" s="4" t="s">
        <v>74</v>
      </c>
      <c r="G1742" s="4" t="s">
        <v>74</v>
      </c>
      <c r="H1742" s="3" t="s">
        <v>523</v>
      </c>
      <c r="I1742" s="3"/>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t="s">
        <v>2276</v>
      </c>
      <c r="AB1742" s="3" t="s">
        <v>2276</v>
      </c>
      <c r="AC1742" s="3"/>
      <c r="AD1742" s="3"/>
    </row>
    <row r="1743" spans="1:30" ht="45.5" customHeight="1">
      <c r="A1743" s="3" t="s">
        <v>5234</v>
      </c>
      <c r="B1743" s="3" t="s">
        <v>5255</v>
      </c>
      <c r="C1743" s="4" t="s">
        <v>24</v>
      </c>
      <c r="D1743" s="3" t="s">
        <v>2346</v>
      </c>
      <c r="E1743" s="3" t="s">
        <v>2276</v>
      </c>
      <c r="F1743" s="4" t="s">
        <v>2276</v>
      </c>
      <c r="G1743" s="4" t="s">
        <v>74</v>
      </c>
      <c r="H1743" s="3" t="s">
        <v>523</v>
      </c>
      <c r="I1743" s="3"/>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t="s">
        <v>2276</v>
      </c>
      <c r="AB1743" s="3" t="s">
        <v>2276</v>
      </c>
      <c r="AC1743" s="3"/>
      <c r="AD1743" s="3"/>
    </row>
    <row r="1744" spans="1:30" ht="45.5" customHeight="1">
      <c r="A1744" s="3" t="s">
        <v>5234</v>
      </c>
      <c r="B1744" s="3" t="s">
        <v>5256</v>
      </c>
      <c r="C1744" s="4" t="s">
        <v>24</v>
      </c>
      <c r="D1744" s="3" t="s">
        <v>27</v>
      </c>
      <c r="E1744" s="3" t="s">
        <v>130</v>
      </c>
      <c r="F1744" s="4" t="s">
        <v>74</v>
      </c>
      <c r="G1744" s="3" t="s">
        <v>2276</v>
      </c>
      <c r="H1744" s="3" t="s">
        <v>523</v>
      </c>
      <c r="I1744" s="3"/>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t="s">
        <v>2276</v>
      </c>
      <c r="AB1744" s="3" t="s">
        <v>2276</v>
      </c>
      <c r="AC1744" s="3"/>
      <c r="AD1744" s="3"/>
    </row>
    <row r="1745" spans="1:30" ht="45.5" customHeight="1">
      <c r="A1745" s="3" t="s">
        <v>5234</v>
      </c>
      <c r="B1745" s="3" t="s">
        <v>5257</v>
      </c>
      <c r="C1745" s="3" t="s">
        <v>2458</v>
      </c>
      <c r="D1745" s="3" t="s">
        <v>3476</v>
      </c>
      <c r="E1745" s="3" t="s">
        <v>2276</v>
      </c>
      <c r="F1745" s="4" t="s">
        <v>2276</v>
      </c>
      <c r="G1745" s="4" t="s">
        <v>74</v>
      </c>
      <c r="H1745" s="3" t="s">
        <v>523</v>
      </c>
      <c r="I1745" s="3"/>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t="s">
        <v>2276</v>
      </c>
      <c r="AB1745" s="3" t="s">
        <v>2276</v>
      </c>
      <c r="AC1745" s="3"/>
      <c r="AD1745" s="3"/>
    </row>
    <row r="1746" spans="1:30" ht="45.5" customHeight="1">
      <c r="A1746" s="3" t="s">
        <v>5234</v>
      </c>
      <c r="B1746" s="3" t="s">
        <v>5258</v>
      </c>
      <c r="C1746" s="3" t="s">
        <v>31</v>
      </c>
      <c r="D1746" s="3" t="s">
        <v>2276</v>
      </c>
      <c r="E1746" s="3" t="s">
        <v>1105</v>
      </c>
      <c r="F1746" s="4" t="s">
        <v>2276</v>
      </c>
      <c r="G1746" s="4" t="s">
        <v>74</v>
      </c>
      <c r="H1746" s="3" t="s">
        <v>523</v>
      </c>
      <c r="I1746" s="3"/>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t="s">
        <v>2276</v>
      </c>
      <c r="AB1746" s="3" t="s">
        <v>2276</v>
      </c>
      <c r="AC1746" s="3"/>
      <c r="AD1746" s="3"/>
    </row>
    <row r="1747" spans="1:30" ht="45.5" customHeight="1">
      <c r="A1747" s="3" t="s">
        <v>5234</v>
      </c>
      <c r="B1747" s="3" t="s">
        <v>5259</v>
      </c>
      <c r="C1747" s="3" t="s">
        <v>2458</v>
      </c>
      <c r="D1747" s="3" t="s">
        <v>406</v>
      </c>
      <c r="E1747" s="3" t="s">
        <v>1105</v>
      </c>
      <c r="F1747" s="4" t="s">
        <v>2276</v>
      </c>
      <c r="G1747" s="4" t="s">
        <v>74</v>
      </c>
      <c r="H1747" s="3" t="s">
        <v>523</v>
      </c>
      <c r="I1747" s="3"/>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t="s">
        <v>2276</v>
      </c>
      <c r="AB1747" s="3" t="s">
        <v>2276</v>
      </c>
      <c r="AC1747" s="3"/>
      <c r="AD1747" s="3"/>
    </row>
    <row r="1748" spans="1:30" ht="45.5" customHeight="1">
      <c r="A1748" s="3" t="s">
        <v>5234</v>
      </c>
      <c r="B1748" s="3" t="s">
        <v>5260</v>
      </c>
      <c r="C1748" s="3" t="s">
        <v>2458</v>
      </c>
      <c r="D1748" s="3" t="s">
        <v>2994</v>
      </c>
      <c r="E1748" s="3" t="s">
        <v>1105</v>
      </c>
      <c r="F1748" s="4" t="s">
        <v>2276</v>
      </c>
      <c r="G1748" s="4" t="s">
        <v>74</v>
      </c>
      <c r="H1748" s="3" t="s">
        <v>523</v>
      </c>
      <c r="I1748" s="3"/>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t="s">
        <v>2276</v>
      </c>
      <c r="AB1748" s="3" t="s">
        <v>2276</v>
      </c>
      <c r="AC1748" s="3"/>
      <c r="AD1748" s="3"/>
    </row>
    <row r="1749" spans="1:30" ht="45.5" customHeight="1">
      <c r="A1749" s="3" t="s">
        <v>5236</v>
      </c>
      <c r="B1749" s="3" t="s">
        <v>5263</v>
      </c>
      <c r="C1749" s="4" t="s">
        <v>24</v>
      </c>
      <c r="D1749" s="3" t="s">
        <v>25</v>
      </c>
      <c r="E1749" s="3" t="s">
        <v>5005</v>
      </c>
      <c r="F1749" s="4" t="s">
        <v>74</v>
      </c>
      <c r="G1749" s="4" t="s">
        <v>74</v>
      </c>
      <c r="H1749" s="3" t="s">
        <v>523</v>
      </c>
      <c r="I1749" s="3"/>
      <c r="J1749" s="3" t="s">
        <v>2276</v>
      </c>
      <c r="K1749" s="3" t="s">
        <v>2276</v>
      </c>
      <c r="L1749" s="3" t="s">
        <v>2276</v>
      </c>
      <c r="M1749" s="3" t="s">
        <v>2276</v>
      </c>
      <c r="N1749" s="3" t="s">
        <v>2276</v>
      </c>
      <c r="O1749" s="3" t="s">
        <v>2276</v>
      </c>
      <c r="P1749" s="3" t="s">
        <v>2276</v>
      </c>
      <c r="Q1749" s="3" t="s">
        <v>2276</v>
      </c>
      <c r="R1749" s="3" t="s">
        <v>2276</v>
      </c>
      <c r="S1749" s="3" t="s">
        <v>2276</v>
      </c>
      <c r="T1749" s="3" t="s">
        <v>2276</v>
      </c>
      <c r="U1749" s="3" t="s">
        <v>2276</v>
      </c>
      <c r="V1749" s="3" t="s">
        <v>2276</v>
      </c>
      <c r="W1749" s="3" t="s">
        <v>2276</v>
      </c>
      <c r="X1749" s="3" t="s">
        <v>2276</v>
      </c>
      <c r="Y1749" s="3" t="s">
        <v>2276</v>
      </c>
      <c r="Z1749" s="3" t="s">
        <v>2276</v>
      </c>
      <c r="AA1749" s="3" t="s">
        <v>2276</v>
      </c>
      <c r="AB1749" s="3" t="s">
        <v>2276</v>
      </c>
      <c r="AC1749" s="3"/>
      <c r="AD1749" s="4" t="s">
        <v>5336</v>
      </c>
    </row>
    <row r="1750" spans="1:30" ht="45.5" customHeight="1">
      <c r="A1750" s="3" t="s">
        <v>5236</v>
      </c>
      <c r="B1750" s="3" t="s">
        <v>5264</v>
      </c>
      <c r="C1750" s="4" t="s">
        <v>24</v>
      </c>
      <c r="D1750" s="3" t="s">
        <v>3480</v>
      </c>
      <c r="E1750" s="3" t="s">
        <v>116</v>
      </c>
      <c r="F1750" s="4" t="s">
        <v>74</v>
      </c>
      <c r="G1750" s="4" t="s">
        <v>74</v>
      </c>
      <c r="H1750" s="3" t="s">
        <v>523</v>
      </c>
      <c r="I1750" s="3"/>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t="s">
        <v>2276</v>
      </c>
      <c r="AB1750" s="3" t="s">
        <v>2276</v>
      </c>
      <c r="AC1750" s="3"/>
      <c r="AD1750" s="3"/>
    </row>
    <row r="1751" spans="1:30" ht="45.5" customHeight="1">
      <c r="A1751" s="3" t="s">
        <v>5236</v>
      </c>
      <c r="B1751" s="3" t="s">
        <v>5265</v>
      </c>
      <c r="C1751" s="4" t="s">
        <v>24</v>
      </c>
      <c r="D1751" s="3" t="s">
        <v>1245</v>
      </c>
      <c r="E1751" s="3" t="s">
        <v>116</v>
      </c>
      <c r="F1751" s="4" t="s">
        <v>74</v>
      </c>
      <c r="G1751" s="4" t="s">
        <v>74</v>
      </c>
      <c r="H1751" s="3" t="s">
        <v>523</v>
      </c>
      <c r="I1751" s="3"/>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t="s">
        <v>2276</v>
      </c>
      <c r="AB1751" s="3" t="s">
        <v>2276</v>
      </c>
      <c r="AC1751" s="3"/>
      <c r="AD1751" s="3"/>
    </row>
    <row r="1752" spans="1:30" ht="45.5" customHeight="1">
      <c r="A1752" s="3" t="s">
        <v>5236</v>
      </c>
      <c r="B1752" s="3" t="s">
        <v>5266</v>
      </c>
      <c r="C1752" s="4" t="s">
        <v>24</v>
      </c>
      <c r="D1752" s="3" t="s">
        <v>4162</v>
      </c>
      <c r="E1752" s="3" t="s">
        <v>863</v>
      </c>
      <c r="F1752" s="4" t="s">
        <v>74</v>
      </c>
      <c r="G1752" s="4" t="s">
        <v>74</v>
      </c>
      <c r="H1752" s="3" t="s">
        <v>523</v>
      </c>
      <c r="I1752" s="3"/>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t="s">
        <v>2276</v>
      </c>
      <c r="AB1752" s="3" t="s">
        <v>2276</v>
      </c>
      <c r="AC1752" s="3"/>
      <c r="AD1752" s="3"/>
    </row>
    <row r="1753" spans="1:30" ht="45.5" customHeight="1">
      <c r="A1753" s="3" t="s">
        <v>5236</v>
      </c>
      <c r="B1753" s="3" t="s">
        <v>5267</v>
      </c>
      <c r="C1753" s="4" t="s">
        <v>24</v>
      </c>
      <c r="D1753" s="3" t="s">
        <v>2346</v>
      </c>
      <c r="E1753" s="3" t="s">
        <v>2276</v>
      </c>
      <c r="F1753" s="4" t="s">
        <v>2276</v>
      </c>
      <c r="G1753" s="4" t="s">
        <v>74</v>
      </c>
      <c r="H1753" s="3" t="s">
        <v>523</v>
      </c>
      <c r="I1753" s="3"/>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t="s">
        <v>2276</v>
      </c>
      <c r="AB1753" s="3" t="s">
        <v>2276</v>
      </c>
      <c r="AC1753" s="3"/>
      <c r="AD1753" s="3"/>
    </row>
    <row r="1754" spans="1:30" ht="45.5" customHeight="1">
      <c r="A1754" s="3" t="s">
        <v>5236</v>
      </c>
      <c r="B1754" s="3" t="s">
        <v>5268</v>
      </c>
      <c r="C1754" s="4" t="s">
        <v>24</v>
      </c>
      <c r="D1754" s="3" t="s">
        <v>27</v>
      </c>
      <c r="E1754" s="3" t="s">
        <v>130</v>
      </c>
      <c r="F1754" s="4" t="s">
        <v>74</v>
      </c>
      <c r="G1754" s="3" t="s">
        <v>2276</v>
      </c>
      <c r="H1754" s="3" t="s">
        <v>523</v>
      </c>
      <c r="I1754" s="3"/>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t="s">
        <v>2276</v>
      </c>
      <c r="AB1754" s="3" t="s">
        <v>2276</v>
      </c>
      <c r="AC1754" s="3"/>
      <c r="AD1754" s="3"/>
    </row>
    <row r="1755" spans="1:30" ht="45.5" customHeight="1">
      <c r="A1755" s="3" t="s">
        <v>5236</v>
      </c>
      <c r="B1755" s="3" t="s">
        <v>5269</v>
      </c>
      <c r="C1755" s="3" t="s">
        <v>2458</v>
      </c>
      <c r="D1755" s="3" t="s">
        <v>3476</v>
      </c>
      <c r="E1755" s="3" t="s">
        <v>2276</v>
      </c>
      <c r="F1755" s="4" t="s">
        <v>2276</v>
      </c>
      <c r="G1755" s="4" t="s">
        <v>74</v>
      </c>
      <c r="H1755" s="3" t="s">
        <v>523</v>
      </c>
      <c r="I1755" s="3"/>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t="s">
        <v>2276</v>
      </c>
      <c r="AB1755" s="3" t="s">
        <v>2276</v>
      </c>
      <c r="AC1755" s="3"/>
      <c r="AD1755" s="3"/>
    </row>
    <row r="1756" spans="1:30" ht="45.5" customHeight="1">
      <c r="A1756" s="3" t="s">
        <v>5236</v>
      </c>
      <c r="B1756" s="3" t="s">
        <v>5270</v>
      </c>
      <c r="C1756" s="3" t="s">
        <v>31</v>
      </c>
      <c r="D1756" s="3" t="s">
        <v>2276</v>
      </c>
      <c r="E1756" s="3" t="s">
        <v>1105</v>
      </c>
      <c r="F1756" s="4" t="s">
        <v>2276</v>
      </c>
      <c r="G1756" s="4" t="s">
        <v>74</v>
      </c>
      <c r="H1756" s="3" t="s">
        <v>523</v>
      </c>
      <c r="I1756" s="3"/>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t="s">
        <v>2276</v>
      </c>
      <c r="AB1756" s="3" t="s">
        <v>2276</v>
      </c>
      <c r="AC1756" s="3"/>
      <c r="AD1756" s="3"/>
    </row>
    <row r="1757" spans="1:30" ht="45.5" customHeight="1">
      <c r="A1757" s="3" t="s">
        <v>5236</v>
      </c>
      <c r="B1757" s="3" t="s">
        <v>5271</v>
      </c>
      <c r="C1757" s="3" t="s">
        <v>2458</v>
      </c>
      <c r="D1757" s="3" t="s">
        <v>406</v>
      </c>
      <c r="E1757" s="3" t="s">
        <v>1105</v>
      </c>
      <c r="F1757" s="4" t="s">
        <v>2276</v>
      </c>
      <c r="G1757" s="4" t="s">
        <v>74</v>
      </c>
      <c r="H1757" s="3" t="s">
        <v>523</v>
      </c>
      <c r="I1757" s="3"/>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t="s">
        <v>2276</v>
      </c>
      <c r="AB1757" s="3" t="s">
        <v>2276</v>
      </c>
      <c r="AC1757" s="3"/>
      <c r="AD1757" s="3"/>
    </row>
    <row r="1758" spans="1:30" ht="45.5" customHeight="1">
      <c r="A1758" s="3" t="s">
        <v>5236</v>
      </c>
      <c r="B1758" s="3" t="s">
        <v>5272</v>
      </c>
      <c r="C1758" s="3" t="s">
        <v>2458</v>
      </c>
      <c r="D1758" s="3" t="s">
        <v>2994</v>
      </c>
      <c r="E1758" s="3" t="s">
        <v>1105</v>
      </c>
      <c r="F1758" s="4" t="s">
        <v>2276</v>
      </c>
      <c r="G1758" s="4" t="s">
        <v>74</v>
      </c>
      <c r="H1758" s="3" t="s">
        <v>523</v>
      </c>
      <c r="I1758" s="3"/>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t="s">
        <v>2276</v>
      </c>
      <c r="AB1758" s="3" t="s">
        <v>2276</v>
      </c>
      <c r="AC1758" s="3"/>
      <c r="AD1758" s="3"/>
    </row>
    <row r="1759" spans="1:30" ht="45.5" customHeight="1">
      <c r="A1759" s="3" t="s">
        <v>5237</v>
      </c>
      <c r="B1759" s="3" t="s">
        <v>5273</v>
      </c>
      <c r="C1759" s="4" t="s">
        <v>24</v>
      </c>
      <c r="D1759" s="3" t="s">
        <v>25</v>
      </c>
      <c r="E1759" s="3" t="s">
        <v>5005</v>
      </c>
      <c r="F1759" s="4" t="s">
        <v>74</v>
      </c>
      <c r="G1759" s="4" t="s">
        <v>74</v>
      </c>
      <c r="H1759" s="3" t="s">
        <v>523</v>
      </c>
      <c r="I1759" s="3"/>
      <c r="J1759" s="3" t="s">
        <v>2276</v>
      </c>
      <c r="K1759" s="3" t="s">
        <v>2276</v>
      </c>
      <c r="L1759" s="3" t="s">
        <v>2276</v>
      </c>
      <c r="M1759" s="3" t="s">
        <v>2276</v>
      </c>
      <c r="N1759" s="3" t="s">
        <v>2276</v>
      </c>
      <c r="O1759" s="3" t="s">
        <v>2276</v>
      </c>
      <c r="P1759" s="3" t="s">
        <v>2276</v>
      </c>
      <c r="Q1759" s="3" t="s">
        <v>2276</v>
      </c>
      <c r="R1759" s="3" t="s">
        <v>2276</v>
      </c>
      <c r="S1759" s="3" t="s">
        <v>2276</v>
      </c>
      <c r="T1759" s="3" t="s">
        <v>2276</v>
      </c>
      <c r="U1759" s="3" t="s">
        <v>2276</v>
      </c>
      <c r="V1759" s="3" t="s">
        <v>2276</v>
      </c>
      <c r="W1759" s="3" t="s">
        <v>2276</v>
      </c>
      <c r="X1759" s="3" t="s">
        <v>2276</v>
      </c>
      <c r="Y1759" s="3" t="s">
        <v>2276</v>
      </c>
      <c r="Z1759" s="3" t="s">
        <v>2276</v>
      </c>
      <c r="AA1759" s="3" t="s">
        <v>2276</v>
      </c>
      <c r="AB1759" s="3" t="s">
        <v>2276</v>
      </c>
      <c r="AC1759" s="3"/>
      <c r="AD1759" s="4" t="s">
        <v>5336</v>
      </c>
    </row>
    <row r="1760" spans="1:30" ht="45.5" customHeight="1">
      <c r="A1760" s="3" t="s">
        <v>5237</v>
      </c>
      <c r="B1760" s="3" t="s">
        <v>5274</v>
      </c>
      <c r="C1760" s="4" t="s">
        <v>24</v>
      </c>
      <c r="D1760" s="3" t="s">
        <v>3480</v>
      </c>
      <c r="E1760" s="3" t="s">
        <v>116</v>
      </c>
      <c r="F1760" s="4" t="s">
        <v>74</v>
      </c>
      <c r="G1760" s="4" t="s">
        <v>74</v>
      </c>
      <c r="H1760" s="3" t="s">
        <v>523</v>
      </c>
      <c r="I1760" s="3"/>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t="s">
        <v>2276</v>
      </c>
      <c r="AB1760" s="3" t="s">
        <v>2276</v>
      </c>
      <c r="AC1760" s="3"/>
      <c r="AD1760" s="3"/>
    </row>
    <row r="1761" spans="1:30" ht="45.5" customHeight="1">
      <c r="A1761" s="3" t="s">
        <v>5237</v>
      </c>
      <c r="B1761" s="3" t="s">
        <v>5275</v>
      </c>
      <c r="C1761" s="4" t="s">
        <v>24</v>
      </c>
      <c r="D1761" s="3" t="s">
        <v>1245</v>
      </c>
      <c r="E1761" s="3" t="s">
        <v>116</v>
      </c>
      <c r="F1761" s="4" t="s">
        <v>74</v>
      </c>
      <c r="G1761" s="4" t="s">
        <v>74</v>
      </c>
      <c r="H1761" s="3" t="s">
        <v>523</v>
      </c>
      <c r="I1761" s="3"/>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t="s">
        <v>2276</v>
      </c>
      <c r="AB1761" s="3" t="s">
        <v>2276</v>
      </c>
      <c r="AC1761" s="3"/>
      <c r="AD1761" s="3"/>
    </row>
    <row r="1762" spans="1:30" ht="45.5" customHeight="1">
      <c r="A1762" s="3" t="s">
        <v>5237</v>
      </c>
      <c r="B1762" s="3" t="s">
        <v>5276</v>
      </c>
      <c r="C1762" s="4" t="s">
        <v>24</v>
      </c>
      <c r="D1762" s="3" t="s">
        <v>4162</v>
      </c>
      <c r="E1762" s="3" t="s">
        <v>863</v>
      </c>
      <c r="F1762" s="4" t="s">
        <v>74</v>
      </c>
      <c r="G1762" s="4" t="s">
        <v>74</v>
      </c>
      <c r="H1762" s="3" t="s">
        <v>523</v>
      </c>
      <c r="I1762" s="3"/>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t="s">
        <v>2276</v>
      </c>
      <c r="AB1762" s="3" t="s">
        <v>2276</v>
      </c>
      <c r="AC1762" s="3"/>
      <c r="AD1762" s="3"/>
    </row>
    <row r="1763" spans="1:30" ht="45.5" customHeight="1">
      <c r="A1763" s="3" t="s">
        <v>5237</v>
      </c>
      <c r="B1763" s="3" t="s">
        <v>5277</v>
      </c>
      <c r="C1763" s="4" t="s">
        <v>24</v>
      </c>
      <c r="D1763" s="3" t="s">
        <v>2346</v>
      </c>
      <c r="E1763" s="3" t="s">
        <v>2276</v>
      </c>
      <c r="F1763" s="4" t="s">
        <v>2276</v>
      </c>
      <c r="G1763" s="4" t="s">
        <v>74</v>
      </c>
      <c r="H1763" s="3" t="s">
        <v>523</v>
      </c>
      <c r="I1763" s="3"/>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t="s">
        <v>2276</v>
      </c>
      <c r="AB1763" s="3" t="s">
        <v>2276</v>
      </c>
      <c r="AC1763" s="3"/>
      <c r="AD1763" s="3"/>
    </row>
    <row r="1764" spans="1:30" ht="45.5" customHeight="1">
      <c r="A1764" s="3" t="s">
        <v>5237</v>
      </c>
      <c r="B1764" s="3" t="s">
        <v>5278</v>
      </c>
      <c r="C1764" s="4" t="s">
        <v>24</v>
      </c>
      <c r="D1764" s="3" t="s">
        <v>27</v>
      </c>
      <c r="E1764" s="3" t="s">
        <v>130</v>
      </c>
      <c r="F1764" s="4" t="s">
        <v>74</v>
      </c>
      <c r="G1764" s="3" t="s">
        <v>2276</v>
      </c>
      <c r="H1764" s="3" t="s">
        <v>523</v>
      </c>
      <c r="I1764" s="3"/>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t="s">
        <v>2276</v>
      </c>
      <c r="AB1764" s="3" t="s">
        <v>2276</v>
      </c>
      <c r="AC1764" s="3"/>
      <c r="AD1764" s="3"/>
    </row>
    <row r="1765" spans="1:30" ht="45.5" customHeight="1">
      <c r="A1765" s="3" t="s">
        <v>5237</v>
      </c>
      <c r="B1765" s="3" t="s">
        <v>5279</v>
      </c>
      <c r="C1765" s="3" t="s">
        <v>2458</v>
      </c>
      <c r="D1765" s="3" t="s">
        <v>3476</v>
      </c>
      <c r="E1765" s="3" t="s">
        <v>2276</v>
      </c>
      <c r="F1765" s="4" t="s">
        <v>2276</v>
      </c>
      <c r="G1765" s="4" t="s">
        <v>74</v>
      </c>
      <c r="H1765" s="3" t="s">
        <v>523</v>
      </c>
      <c r="I1765" s="3"/>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t="s">
        <v>2276</v>
      </c>
      <c r="AB1765" s="3" t="s">
        <v>2276</v>
      </c>
      <c r="AC1765" s="3"/>
      <c r="AD1765" s="3"/>
    </row>
    <row r="1766" spans="1:30" ht="45.5" customHeight="1">
      <c r="A1766" s="3" t="s">
        <v>5237</v>
      </c>
      <c r="B1766" s="3" t="s">
        <v>5280</v>
      </c>
      <c r="C1766" s="3" t="s">
        <v>31</v>
      </c>
      <c r="D1766" s="3" t="s">
        <v>2276</v>
      </c>
      <c r="E1766" s="3" t="s">
        <v>1105</v>
      </c>
      <c r="F1766" s="4" t="s">
        <v>2276</v>
      </c>
      <c r="G1766" s="4" t="s">
        <v>74</v>
      </c>
      <c r="H1766" s="3" t="s">
        <v>523</v>
      </c>
      <c r="I1766" s="3"/>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t="s">
        <v>2276</v>
      </c>
      <c r="AB1766" s="3" t="s">
        <v>2276</v>
      </c>
      <c r="AC1766" s="3"/>
      <c r="AD1766" s="3"/>
    </row>
    <row r="1767" spans="1:30" ht="45.5" customHeight="1">
      <c r="A1767" s="3" t="s">
        <v>5237</v>
      </c>
      <c r="B1767" s="3" t="s">
        <v>5281</v>
      </c>
      <c r="C1767" s="3" t="s">
        <v>2458</v>
      </c>
      <c r="D1767" s="3" t="s">
        <v>406</v>
      </c>
      <c r="E1767" s="3" t="s">
        <v>1105</v>
      </c>
      <c r="F1767" s="4" t="s">
        <v>2276</v>
      </c>
      <c r="G1767" s="4" t="s">
        <v>74</v>
      </c>
      <c r="H1767" s="3" t="s">
        <v>523</v>
      </c>
      <c r="I1767" s="3"/>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t="s">
        <v>2276</v>
      </c>
      <c r="AB1767" s="3" t="s">
        <v>2276</v>
      </c>
      <c r="AC1767" s="3"/>
      <c r="AD1767" s="3"/>
    </row>
    <row r="1768" spans="1:30" ht="45.5" customHeight="1">
      <c r="A1768" s="3" t="s">
        <v>5237</v>
      </c>
      <c r="B1768" s="3" t="s">
        <v>5282</v>
      </c>
      <c r="C1768" s="3" t="s">
        <v>2458</v>
      </c>
      <c r="D1768" s="3" t="s">
        <v>2994</v>
      </c>
      <c r="E1768" s="3" t="s">
        <v>1105</v>
      </c>
      <c r="F1768" s="4" t="s">
        <v>2276</v>
      </c>
      <c r="G1768" s="4" t="s">
        <v>74</v>
      </c>
      <c r="H1768" s="3" t="s">
        <v>523</v>
      </c>
      <c r="I1768" s="3"/>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t="s">
        <v>2276</v>
      </c>
      <c r="AB1768" s="3" t="s">
        <v>2276</v>
      </c>
      <c r="AC1768" s="3"/>
      <c r="AD1768" s="3"/>
    </row>
    <row r="1769" spans="1:30" ht="45.5" customHeight="1">
      <c r="A1769" s="3" t="s">
        <v>5238</v>
      </c>
      <c r="B1769" s="3" t="s">
        <v>5283</v>
      </c>
      <c r="C1769" s="4" t="s">
        <v>24</v>
      </c>
      <c r="D1769" s="3" t="s">
        <v>25</v>
      </c>
      <c r="E1769" s="3" t="s">
        <v>5005</v>
      </c>
      <c r="F1769" s="4" t="s">
        <v>74</v>
      </c>
      <c r="G1769" s="4" t="s">
        <v>74</v>
      </c>
      <c r="H1769" s="3" t="s">
        <v>523</v>
      </c>
      <c r="I1769" s="3"/>
      <c r="J1769" s="3" t="s">
        <v>2276</v>
      </c>
      <c r="K1769" s="3" t="s">
        <v>2276</v>
      </c>
      <c r="L1769" s="3" t="s">
        <v>2276</v>
      </c>
      <c r="M1769" s="3" t="s">
        <v>2276</v>
      </c>
      <c r="N1769" s="3" t="s">
        <v>2276</v>
      </c>
      <c r="O1769" s="3" t="s">
        <v>2276</v>
      </c>
      <c r="P1769" s="3" t="s">
        <v>2276</v>
      </c>
      <c r="Q1769" s="3" t="s">
        <v>2276</v>
      </c>
      <c r="R1769" s="3" t="s">
        <v>2276</v>
      </c>
      <c r="S1769" s="3" t="s">
        <v>2276</v>
      </c>
      <c r="T1769" s="3" t="s">
        <v>2276</v>
      </c>
      <c r="U1769" s="3" t="s">
        <v>2276</v>
      </c>
      <c r="V1769" s="3" t="s">
        <v>2276</v>
      </c>
      <c r="W1769" s="3" t="s">
        <v>2276</v>
      </c>
      <c r="X1769" s="3" t="s">
        <v>2276</v>
      </c>
      <c r="Y1769" s="3" t="s">
        <v>2276</v>
      </c>
      <c r="Z1769" s="3" t="s">
        <v>2276</v>
      </c>
      <c r="AA1769" s="3" t="s">
        <v>2276</v>
      </c>
      <c r="AB1769" s="3" t="s">
        <v>2276</v>
      </c>
      <c r="AC1769" s="3"/>
      <c r="AD1769" s="4" t="s">
        <v>5336</v>
      </c>
    </row>
    <row r="1770" spans="1:30" ht="45.5" customHeight="1">
      <c r="A1770" s="3" t="s">
        <v>5238</v>
      </c>
      <c r="B1770" s="3" t="s">
        <v>5284</v>
      </c>
      <c r="C1770" s="4" t="s">
        <v>24</v>
      </c>
      <c r="D1770" s="3" t="s">
        <v>3480</v>
      </c>
      <c r="E1770" s="3" t="s">
        <v>116</v>
      </c>
      <c r="F1770" s="4" t="s">
        <v>74</v>
      </c>
      <c r="G1770" s="4" t="s">
        <v>74</v>
      </c>
      <c r="H1770" s="3" t="s">
        <v>523</v>
      </c>
      <c r="I1770" s="3"/>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t="s">
        <v>2276</v>
      </c>
      <c r="AB1770" s="3" t="s">
        <v>2276</v>
      </c>
      <c r="AC1770" s="3"/>
      <c r="AD1770" s="3"/>
    </row>
    <row r="1771" spans="1:30" ht="45.5" customHeight="1">
      <c r="A1771" s="3" t="s">
        <v>5238</v>
      </c>
      <c r="B1771" s="3" t="s">
        <v>5285</v>
      </c>
      <c r="C1771" s="4" t="s">
        <v>24</v>
      </c>
      <c r="D1771" s="3" t="s">
        <v>1245</v>
      </c>
      <c r="E1771" s="3" t="s">
        <v>116</v>
      </c>
      <c r="F1771" s="4" t="s">
        <v>74</v>
      </c>
      <c r="G1771" s="4" t="s">
        <v>74</v>
      </c>
      <c r="H1771" s="3" t="s">
        <v>523</v>
      </c>
      <c r="I1771" s="3"/>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t="s">
        <v>2276</v>
      </c>
      <c r="AB1771" s="3" t="s">
        <v>2276</v>
      </c>
      <c r="AC1771" s="3"/>
      <c r="AD1771" s="3"/>
    </row>
    <row r="1772" spans="1:30" ht="45.5" customHeight="1">
      <c r="A1772" s="3" t="s">
        <v>5238</v>
      </c>
      <c r="B1772" s="3" t="s">
        <v>5286</v>
      </c>
      <c r="C1772" s="4" t="s">
        <v>24</v>
      </c>
      <c r="D1772" s="3" t="s">
        <v>4162</v>
      </c>
      <c r="E1772" s="3" t="s">
        <v>863</v>
      </c>
      <c r="F1772" s="4" t="s">
        <v>74</v>
      </c>
      <c r="G1772" s="4" t="s">
        <v>74</v>
      </c>
      <c r="H1772" s="3" t="s">
        <v>523</v>
      </c>
      <c r="I1772" s="3"/>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t="s">
        <v>2276</v>
      </c>
      <c r="AB1772" s="3" t="s">
        <v>2276</v>
      </c>
      <c r="AC1772" s="3"/>
      <c r="AD1772" s="3"/>
    </row>
    <row r="1773" spans="1:30" ht="45.5" customHeight="1">
      <c r="A1773" s="3" t="s">
        <v>5238</v>
      </c>
      <c r="B1773" s="3" t="s">
        <v>5287</v>
      </c>
      <c r="C1773" s="4" t="s">
        <v>24</v>
      </c>
      <c r="D1773" s="3" t="s">
        <v>2346</v>
      </c>
      <c r="E1773" s="3" t="s">
        <v>2276</v>
      </c>
      <c r="F1773" s="4" t="s">
        <v>2276</v>
      </c>
      <c r="G1773" s="4" t="s">
        <v>74</v>
      </c>
      <c r="H1773" s="3" t="s">
        <v>523</v>
      </c>
      <c r="I1773" s="3"/>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t="s">
        <v>2276</v>
      </c>
      <c r="AB1773" s="3" t="s">
        <v>2276</v>
      </c>
      <c r="AC1773" s="3"/>
      <c r="AD1773" s="3"/>
    </row>
    <row r="1774" spans="1:30" ht="45.5" customHeight="1">
      <c r="A1774" s="3" t="s">
        <v>5238</v>
      </c>
      <c r="B1774" s="3" t="s">
        <v>5288</v>
      </c>
      <c r="C1774" s="4" t="s">
        <v>24</v>
      </c>
      <c r="D1774" s="3" t="s">
        <v>27</v>
      </c>
      <c r="E1774" s="3" t="s">
        <v>130</v>
      </c>
      <c r="F1774" s="4" t="s">
        <v>74</v>
      </c>
      <c r="G1774" s="3" t="s">
        <v>2276</v>
      </c>
      <c r="H1774" s="3" t="s">
        <v>523</v>
      </c>
      <c r="I1774" s="3"/>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t="s">
        <v>2276</v>
      </c>
      <c r="AB1774" s="3" t="s">
        <v>2276</v>
      </c>
      <c r="AC1774" s="3"/>
      <c r="AD1774" s="3"/>
    </row>
    <row r="1775" spans="1:30" ht="45.5" customHeight="1">
      <c r="A1775" s="3" t="s">
        <v>5238</v>
      </c>
      <c r="B1775" s="3" t="s">
        <v>5289</v>
      </c>
      <c r="C1775" s="3" t="s">
        <v>2458</v>
      </c>
      <c r="D1775" s="3" t="s">
        <v>3476</v>
      </c>
      <c r="E1775" s="3" t="s">
        <v>2276</v>
      </c>
      <c r="F1775" s="4" t="s">
        <v>2276</v>
      </c>
      <c r="G1775" s="4" t="s">
        <v>74</v>
      </c>
      <c r="H1775" s="3" t="s">
        <v>523</v>
      </c>
      <c r="I1775" s="3"/>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t="s">
        <v>2276</v>
      </c>
      <c r="AB1775" s="3" t="s">
        <v>2276</v>
      </c>
      <c r="AC1775" s="3"/>
      <c r="AD1775" s="3"/>
    </row>
    <row r="1776" spans="1:30" ht="45.5" customHeight="1">
      <c r="A1776" s="3" t="s">
        <v>5238</v>
      </c>
      <c r="B1776" s="3" t="s">
        <v>5290</v>
      </c>
      <c r="C1776" s="3" t="s">
        <v>31</v>
      </c>
      <c r="D1776" s="3" t="s">
        <v>2276</v>
      </c>
      <c r="E1776" s="3" t="s">
        <v>1105</v>
      </c>
      <c r="F1776" s="4" t="s">
        <v>2276</v>
      </c>
      <c r="G1776" s="4" t="s">
        <v>74</v>
      </c>
      <c r="H1776" s="3" t="s">
        <v>523</v>
      </c>
      <c r="I1776" s="3"/>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t="s">
        <v>2276</v>
      </c>
      <c r="AB1776" s="3" t="s">
        <v>2276</v>
      </c>
      <c r="AC1776" s="3"/>
      <c r="AD1776" s="3"/>
    </row>
    <row r="1777" spans="1:30" ht="45.5" customHeight="1">
      <c r="A1777" s="3" t="s">
        <v>5238</v>
      </c>
      <c r="B1777" s="3" t="s">
        <v>5291</v>
      </c>
      <c r="C1777" s="3" t="s">
        <v>2458</v>
      </c>
      <c r="D1777" s="3" t="s">
        <v>406</v>
      </c>
      <c r="E1777" s="3" t="s">
        <v>1105</v>
      </c>
      <c r="F1777" s="4" t="s">
        <v>2276</v>
      </c>
      <c r="G1777" s="4" t="s">
        <v>74</v>
      </c>
      <c r="H1777" s="3" t="s">
        <v>523</v>
      </c>
      <c r="I1777" s="3"/>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t="s">
        <v>2276</v>
      </c>
      <c r="AB1777" s="3" t="s">
        <v>2276</v>
      </c>
      <c r="AC1777" s="3"/>
      <c r="AD1777" s="3"/>
    </row>
    <row r="1778" spans="1:30" ht="45.5" customHeight="1">
      <c r="A1778" s="3" t="s">
        <v>5238</v>
      </c>
      <c r="B1778" s="3" t="s">
        <v>5292</v>
      </c>
      <c r="C1778" s="3" t="s">
        <v>2458</v>
      </c>
      <c r="D1778" s="3" t="s">
        <v>2994</v>
      </c>
      <c r="E1778" s="3" t="s">
        <v>1105</v>
      </c>
      <c r="F1778" s="4" t="s">
        <v>2276</v>
      </c>
      <c r="G1778" s="4" t="s">
        <v>74</v>
      </c>
      <c r="H1778" s="3" t="s">
        <v>523</v>
      </c>
      <c r="I1778" s="3"/>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t="s">
        <v>2276</v>
      </c>
      <c r="AB1778" s="3" t="s">
        <v>2276</v>
      </c>
      <c r="AC1778" s="3"/>
      <c r="AD1778" s="3"/>
    </row>
    <row r="1779" spans="1:30" ht="45.5" customHeight="1">
      <c r="A1779" s="3" t="s">
        <v>5239</v>
      </c>
      <c r="B1779" s="3" t="s">
        <v>5293</v>
      </c>
      <c r="C1779" s="4" t="s">
        <v>24</v>
      </c>
      <c r="D1779" s="3" t="s">
        <v>25</v>
      </c>
      <c r="E1779" s="3" t="s">
        <v>5005</v>
      </c>
      <c r="F1779" s="4" t="s">
        <v>74</v>
      </c>
      <c r="G1779" s="4" t="s">
        <v>74</v>
      </c>
      <c r="H1779" s="3" t="s">
        <v>523</v>
      </c>
      <c r="I1779" s="3"/>
      <c r="J1779" s="3" t="s">
        <v>2276</v>
      </c>
      <c r="K1779" s="3" t="s">
        <v>2276</v>
      </c>
      <c r="L1779" s="3" t="s">
        <v>2276</v>
      </c>
      <c r="M1779" s="3" t="s">
        <v>2276</v>
      </c>
      <c r="N1779" s="3" t="s">
        <v>2276</v>
      </c>
      <c r="O1779" s="3" t="s">
        <v>2276</v>
      </c>
      <c r="P1779" s="3" t="s">
        <v>2276</v>
      </c>
      <c r="Q1779" s="3" t="s">
        <v>2276</v>
      </c>
      <c r="R1779" s="3" t="s">
        <v>2276</v>
      </c>
      <c r="S1779" s="3" t="s">
        <v>2276</v>
      </c>
      <c r="T1779" s="3" t="s">
        <v>2276</v>
      </c>
      <c r="U1779" s="3" t="s">
        <v>2276</v>
      </c>
      <c r="V1779" s="3" t="s">
        <v>2276</v>
      </c>
      <c r="W1779" s="3" t="s">
        <v>2276</v>
      </c>
      <c r="X1779" s="3" t="s">
        <v>2276</v>
      </c>
      <c r="Y1779" s="3" t="s">
        <v>2276</v>
      </c>
      <c r="Z1779" s="3" t="s">
        <v>2276</v>
      </c>
      <c r="AA1779" s="3" t="s">
        <v>2276</v>
      </c>
      <c r="AB1779" s="3" t="s">
        <v>2276</v>
      </c>
      <c r="AC1779" s="3"/>
      <c r="AD1779" s="4" t="s">
        <v>5336</v>
      </c>
    </row>
    <row r="1780" spans="1:30" ht="45.5" customHeight="1">
      <c r="A1780" s="3" t="s">
        <v>5239</v>
      </c>
      <c r="B1780" s="3" t="s">
        <v>5294</v>
      </c>
      <c r="C1780" s="4" t="s">
        <v>24</v>
      </c>
      <c r="D1780" s="3" t="s">
        <v>3480</v>
      </c>
      <c r="E1780" s="3" t="s">
        <v>116</v>
      </c>
      <c r="F1780" s="4" t="s">
        <v>74</v>
      </c>
      <c r="G1780" s="4" t="s">
        <v>74</v>
      </c>
      <c r="H1780" s="3" t="s">
        <v>523</v>
      </c>
      <c r="I1780" s="3"/>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t="s">
        <v>2276</v>
      </c>
      <c r="AB1780" s="3" t="s">
        <v>2276</v>
      </c>
      <c r="AC1780" s="3"/>
      <c r="AD1780" s="3"/>
    </row>
    <row r="1781" spans="1:30" ht="45.5" customHeight="1">
      <c r="A1781" s="3" t="s">
        <v>5239</v>
      </c>
      <c r="B1781" s="3" t="s">
        <v>5295</v>
      </c>
      <c r="C1781" s="4" t="s">
        <v>24</v>
      </c>
      <c r="D1781" s="3" t="s">
        <v>1245</v>
      </c>
      <c r="E1781" s="3" t="s">
        <v>116</v>
      </c>
      <c r="F1781" s="4" t="s">
        <v>74</v>
      </c>
      <c r="G1781" s="4" t="s">
        <v>74</v>
      </c>
      <c r="H1781" s="3" t="s">
        <v>523</v>
      </c>
      <c r="I1781" s="3"/>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t="s">
        <v>2276</v>
      </c>
      <c r="AB1781" s="3" t="s">
        <v>2276</v>
      </c>
      <c r="AC1781" s="3"/>
      <c r="AD1781" s="3"/>
    </row>
    <row r="1782" spans="1:30" ht="45.5" customHeight="1">
      <c r="A1782" s="3" t="s">
        <v>5239</v>
      </c>
      <c r="B1782" s="3" t="s">
        <v>5296</v>
      </c>
      <c r="C1782" s="4" t="s">
        <v>24</v>
      </c>
      <c r="D1782" s="3" t="s">
        <v>4162</v>
      </c>
      <c r="E1782" s="3" t="s">
        <v>863</v>
      </c>
      <c r="F1782" s="4" t="s">
        <v>74</v>
      </c>
      <c r="G1782" s="4" t="s">
        <v>74</v>
      </c>
      <c r="H1782" s="3" t="s">
        <v>523</v>
      </c>
      <c r="I1782" s="3"/>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t="s">
        <v>2276</v>
      </c>
      <c r="AB1782" s="3" t="s">
        <v>2276</v>
      </c>
      <c r="AC1782" s="3"/>
      <c r="AD1782" s="3"/>
    </row>
    <row r="1783" spans="1:30" ht="45.5" customHeight="1">
      <c r="A1783" s="3" t="s">
        <v>5239</v>
      </c>
      <c r="B1783" s="3" t="s">
        <v>5297</v>
      </c>
      <c r="C1783" s="4" t="s">
        <v>24</v>
      </c>
      <c r="D1783" s="3" t="s">
        <v>2346</v>
      </c>
      <c r="E1783" s="3" t="s">
        <v>2276</v>
      </c>
      <c r="F1783" s="4" t="s">
        <v>2276</v>
      </c>
      <c r="G1783" s="4" t="s">
        <v>74</v>
      </c>
      <c r="H1783" s="3" t="s">
        <v>523</v>
      </c>
      <c r="I1783" s="3"/>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t="s">
        <v>2276</v>
      </c>
      <c r="AB1783" s="3" t="s">
        <v>2276</v>
      </c>
      <c r="AC1783" s="3"/>
      <c r="AD1783" s="3"/>
    </row>
    <row r="1784" spans="1:30" ht="45.5" customHeight="1">
      <c r="A1784" s="3" t="s">
        <v>5239</v>
      </c>
      <c r="B1784" s="3" t="s">
        <v>5298</v>
      </c>
      <c r="C1784" s="4" t="s">
        <v>24</v>
      </c>
      <c r="D1784" s="3" t="s">
        <v>27</v>
      </c>
      <c r="E1784" s="3" t="s">
        <v>130</v>
      </c>
      <c r="F1784" s="4" t="s">
        <v>74</v>
      </c>
      <c r="G1784" s="3" t="s">
        <v>2276</v>
      </c>
      <c r="H1784" s="3" t="s">
        <v>523</v>
      </c>
      <c r="I1784" s="3"/>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t="s">
        <v>2276</v>
      </c>
      <c r="AB1784" s="3" t="s">
        <v>2276</v>
      </c>
      <c r="AC1784" s="3"/>
      <c r="AD1784" s="3"/>
    </row>
    <row r="1785" spans="1:30" ht="45.5" customHeight="1">
      <c r="A1785" s="3" t="s">
        <v>5239</v>
      </c>
      <c r="B1785" s="3" t="s">
        <v>5299</v>
      </c>
      <c r="C1785" s="3" t="s">
        <v>2458</v>
      </c>
      <c r="D1785" s="3" t="s">
        <v>3476</v>
      </c>
      <c r="E1785" s="3" t="s">
        <v>2276</v>
      </c>
      <c r="F1785" s="4" t="s">
        <v>2276</v>
      </c>
      <c r="G1785" s="4" t="s">
        <v>74</v>
      </c>
      <c r="H1785" s="3" t="s">
        <v>523</v>
      </c>
      <c r="I1785" s="3"/>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t="s">
        <v>2276</v>
      </c>
      <c r="AB1785" s="3" t="s">
        <v>2276</v>
      </c>
      <c r="AC1785" s="3"/>
      <c r="AD1785" s="3"/>
    </row>
    <row r="1786" spans="1:30" ht="45.5" customHeight="1">
      <c r="A1786" s="3" t="s">
        <v>5239</v>
      </c>
      <c r="B1786" s="3" t="s">
        <v>5300</v>
      </c>
      <c r="C1786" s="3" t="s">
        <v>31</v>
      </c>
      <c r="D1786" s="3" t="s">
        <v>2276</v>
      </c>
      <c r="E1786" s="3" t="s">
        <v>1105</v>
      </c>
      <c r="F1786" s="4" t="s">
        <v>2276</v>
      </c>
      <c r="G1786" s="4" t="s">
        <v>74</v>
      </c>
      <c r="H1786" s="3" t="s">
        <v>523</v>
      </c>
      <c r="I1786" s="3"/>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t="s">
        <v>2276</v>
      </c>
      <c r="AB1786" s="3" t="s">
        <v>2276</v>
      </c>
      <c r="AC1786" s="3"/>
      <c r="AD1786" s="3"/>
    </row>
    <row r="1787" spans="1:30" ht="45.5" customHeight="1">
      <c r="A1787" s="3" t="s">
        <v>5239</v>
      </c>
      <c r="B1787" s="3" t="s">
        <v>5301</v>
      </c>
      <c r="C1787" s="3" t="s">
        <v>2458</v>
      </c>
      <c r="D1787" s="3" t="s">
        <v>406</v>
      </c>
      <c r="E1787" s="3" t="s">
        <v>1105</v>
      </c>
      <c r="F1787" s="4" t="s">
        <v>2276</v>
      </c>
      <c r="G1787" s="4" t="s">
        <v>74</v>
      </c>
      <c r="H1787" s="3" t="s">
        <v>523</v>
      </c>
      <c r="I1787" s="3"/>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t="s">
        <v>2276</v>
      </c>
      <c r="AB1787" s="3" t="s">
        <v>2276</v>
      </c>
      <c r="AC1787" s="3"/>
      <c r="AD1787" s="3"/>
    </row>
    <row r="1788" spans="1:30" ht="45.5" customHeight="1">
      <c r="A1788" s="3" t="s">
        <v>5239</v>
      </c>
      <c r="B1788" s="3" t="s">
        <v>5302</v>
      </c>
      <c r="C1788" s="3" t="s">
        <v>2458</v>
      </c>
      <c r="D1788" s="3" t="s">
        <v>2994</v>
      </c>
      <c r="E1788" s="3" t="s">
        <v>1105</v>
      </c>
      <c r="F1788" s="4" t="s">
        <v>2276</v>
      </c>
      <c r="G1788" s="4" t="s">
        <v>74</v>
      </c>
      <c r="H1788" s="3" t="s">
        <v>523</v>
      </c>
      <c r="I1788" s="3"/>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t="s">
        <v>2276</v>
      </c>
      <c r="AB1788" s="3" t="s">
        <v>2276</v>
      </c>
      <c r="AC1788" s="3"/>
      <c r="AD1788" s="3"/>
    </row>
    <row r="1789" spans="1:30" ht="45.5" customHeight="1">
      <c r="A1789" s="3" t="s">
        <v>5240</v>
      </c>
      <c r="B1789" s="3" t="s">
        <v>5303</v>
      </c>
      <c r="C1789" s="4" t="s">
        <v>24</v>
      </c>
      <c r="D1789" s="3" t="s">
        <v>25</v>
      </c>
      <c r="E1789" s="3" t="s">
        <v>5005</v>
      </c>
      <c r="F1789" s="4" t="s">
        <v>74</v>
      </c>
      <c r="G1789" s="4" t="s">
        <v>74</v>
      </c>
      <c r="H1789" s="3" t="s">
        <v>523</v>
      </c>
      <c r="I1789" s="3"/>
      <c r="J1789" s="3" t="s">
        <v>2276</v>
      </c>
      <c r="K1789" s="3" t="s">
        <v>2276</v>
      </c>
      <c r="L1789" s="3" t="s">
        <v>2276</v>
      </c>
      <c r="M1789" s="3" t="s">
        <v>2276</v>
      </c>
      <c r="N1789" s="3" t="s">
        <v>2276</v>
      </c>
      <c r="O1789" s="3" t="s">
        <v>2276</v>
      </c>
      <c r="P1789" s="3" t="s">
        <v>2276</v>
      </c>
      <c r="Q1789" s="3" t="s">
        <v>2276</v>
      </c>
      <c r="R1789" s="3" t="s">
        <v>2276</v>
      </c>
      <c r="S1789" s="3" t="s">
        <v>2276</v>
      </c>
      <c r="T1789" s="3" t="s">
        <v>2276</v>
      </c>
      <c r="U1789" s="3" t="s">
        <v>2276</v>
      </c>
      <c r="V1789" s="3" t="s">
        <v>2276</v>
      </c>
      <c r="W1789" s="3" t="s">
        <v>2276</v>
      </c>
      <c r="X1789" s="3" t="s">
        <v>2276</v>
      </c>
      <c r="Y1789" s="3" t="s">
        <v>2276</v>
      </c>
      <c r="Z1789" s="3" t="s">
        <v>2276</v>
      </c>
      <c r="AA1789" s="3" t="s">
        <v>2276</v>
      </c>
      <c r="AB1789" s="3" t="s">
        <v>2276</v>
      </c>
      <c r="AC1789" s="3"/>
      <c r="AD1789" s="4" t="s">
        <v>5336</v>
      </c>
    </row>
    <row r="1790" spans="1:30" ht="45.5" customHeight="1">
      <c r="A1790" s="3" t="s">
        <v>5240</v>
      </c>
      <c r="B1790" s="3" t="s">
        <v>5304</v>
      </c>
      <c r="C1790" s="4" t="s">
        <v>24</v>
      </c>
      <c r="D1790" s="3" t="s">
        <v>3480</v>
      </c>
      <c r="E1790" s="3" t="s">
        <v>116</v>
      </c>
      <c r="F1790" s="4" t="s">
        <v>74</v>
      </c>
      <c r="G1790" s="4" t="s">
        <v>74</v>
      </c>
      <c r="H1790" s="3" t="s">
        <v>523</v>
      </c>
      <c r="I1790" s="3"/>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t="s">
        <v>2276</v>
      </c>
      <c r="AB1790" s="3" t="s">
        <v>2276</v>
      </c>
      <c r="AC1790" s="3"/>
      <c r="AD1790" s="3"/>
    </row>
    <row r="1791" spans="1:30" ht="45.5" customHeight="1">
      <c r="A1791" s="3" t="s">
        <v>5240</v>
      </c>
      <c r="B1791" s="3" t="s">
        <v>5305</v>
      </c>
      <c r="C1791" s="4" t="s">
        <v>24</v>
      </c>
      <c r="D1791" s="3" t="s">
        <v>1245</v>
      </c>
      <c r="E1791" s="3" t="s">
        <v>116</v>
      </c>
      <c r="F1791" s="4" t="s">
        <v>74</v>
      </c>
      <c r="G1791" s="4" t="s">
        <v>74</v>
      </c>
      <c r="H1791" s="3" t="s">
        <v>523</v>
      </c>
      <c r="I1791" s="3"/>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t="s">
        <v>2276</v>
      </c>
      <c r="AB1791" s="3" t="s">
        <v>2276</v>
      </c>
      <c r="AC1791" s="3"/>
      <c r="AD1791" s="3"/>
    </row>
    <row r="1792" spans="1:30" ht="45.5" customHeight="1">
      <c r="A1792" s="3" t="s">
        <v>5240</v>
      </c>
      <c r="B1792" s="3" t="s">
        <v>5306</v>
      </c>
      <c r="C1792" s="4" t="s">
        <v>24</v>
      </c>
      <c r="D1792" s="3" t="s">
        <v>4162</v>
      </c>
      <c r="E1792" s="3" t="s">
        <v>863</v>
      </c>
      <c r="F1792" s="4" t="s">
        <v>74</v>
      </c>
      <c r="G1792" s="4" t="s">
        <v>74</v>
      </c>
      <c r="H1792" s="3" t="s">
        <v>523</v>
      </c>
      <c r="I1792" s="3"/>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t="s">
        <v>2276</v>
      </c>
      <c r="AB1792" s="3" t="s">
        <v>2276</v>
      </c>
      <c r="AC1792" s="3"/>
      <c r="AD1792" s="3"/>
    </row>
    <row r="1793" spans="1:30" ht="45.5" customHeight="1">
      <c r="A1793" s="3" t="s">
        <v>5240</v>
      </c>
      <c r="B1793" s="3" t="s">
        <v>5307</v>
      </c>
      <c r="C1793" s="4" t="s">
        <v>24</v>
      </c>
      <c r="D1793" s="3" t="s">
        <v>2346</v>
      </c>
      <c r="E1793" s="3" t="s">
        <v>2276</v>
      </c>
      <c r="F1793" s="4" t="s">
        <v>2276</v>
      </c>
      <c r="G1793" s="4" t="s">
        <v>74</v>
      </c>
      <c r="H1793" s="3" t="s">
        <v>523</v>
      </c>
      <c r="I1793" s="3"/>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t="s">
        <v>2276</v>
      </c>
      <c r="AB1793" s="3" t="s">
        <v>2276</v>
      </c>
      <c r="AC1793" s="3"/>
      <c r="AD1793" s="3"/>
    </row>
    <row r="1794" spans="1:30" ht="45.5" customHeight="1">
      <c r="A1794" s="3" t="s">
        <v>5240</v>
      </c>
      <c r="B1794" s="3" t="s">
        <v>5308</v>
      </c>
      <c r="C1794" s="4" t="s">
        <v>24</v>
      </c>
      <c r="D1794" s="3" t="s">
        <v>27</v>
      </c>
      <c r="E1794" s="3" t="s">
        <v>130</v>
      </c>
      <c r="F1794" s="4" t="s">
        <v>74</v>
      </c>
      <c r="G1794" s="3" t="s">
        <v>2276</v>
      </c>
      <c r="H1794" s="3" t="s">
        <v>523</v>
      </c>
      <c r="I1794" s="3"/>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t="s">
        <v>2276</v>
      </c>
      <c r="AB1794" s="3" t="s">
        <v>2276</v>
      </c>
      <c r="AC1794" s="3"/>
      <c r="AD1794" s="3"/>
    </row>
    <row r="1795" spans="1:30" ht="45.5" customHeight="1">
      <c r="A1795" s="3" t="s">
        <v>5240</v>
      </c>
      <c r="B1795" s="3" t="s">
        <v>5309</v>
      </c>
      <c r="C1795" s="3" t="s">
        <v>2458</v>
      </c>
      <c r="D1795" s="3" t="s">
        <v>3476</v>
      </c>
      <c r="E1795" s="3" t="s">
        <v>2276</v>
      </c>
      <c r="F1795" s="4" t="s">
        <v>2276</v>
      </c>
      <c r="G1795" s="4" t="s">
        <v>74</v>
      </c>
      <c r="H1795" s="3" t="s">
        <v>523</v>
      </c>
      <c r="I1795" s="3"/>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t="s">
        <v>2276</v>
      </c>
      <c r="AB1795" s="3" t="s">
        <v>2276</v>
      </c>
      <c r="AC1795" s="3"/>
      <c r="AD1795" s="3"/>
    </row>
    <row r="1796" spans="1:30" ht="45.5" customHeight="1">
      <c r="A1796" s="3" t="s">
        <v>5240</v>
      </c>
      <c r="B1796" s="3" t="s">
        <v>5310</v>
      </c>
      <c r="C1796" s="3" t="s">
        <v>31</v>
      </c>
      <c r="D1796" s="3" t="s">
        <v>2276</v>
      </c>
      <c r="E1796" s="3" t="s">
        <v>1105</v>
      </c>
      <c r="F1796" s="4" t="s">
        <v>2276</v>
      </c>
      <c r="G1796" s="4" t="s">
        <v>74</v>
      </c>
      <c r="H1796" s="3" t="s">
        <v>523</v>
      </c>
      <c r="I1796" s="3"/>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t="s">
        <v>2276</v>
      </c>
      <c r="AB1796" s="3" t="s">
        <v>2276</v>
      </c>
      <c r="AC1796" s="3"/>
      <c r="AD1796" s="3"/>
    </row>
    <row r="1797" spans="1:30" ht="45.5" customHeight="1">
      <c r="A1797" s="3" t="s">
        <v>5240</v>
      </c>
      <c r="B1797" s="3" t="s">
        <v>5311</v>
      </c>
      <c r="C1797" s="3" t="s">
        <v>2458</v>
      </c>
      <c r="D1797" s="3" t="s">
        <v>406</v>
      </c>
      <c r="E1797" s="3" t="s">
        <v>1105</v>
      </c>
      <c r="F1797" s="4" t="s">
        <v>2276</v>
      </c>
      <c r="G1797" s="4" t="s">
        <v>74</v>
      </c>
      <c r="H1797" s="3" t="s">
        <v>523</v>
      </c>
      <c r="I1797" s="3"/>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t="s">
        <v>2276</v>
      </c>
      <c r="AB1797" s="3" t="s">
        <v>2276</v>
      </c>
      <c r="AC1797" s="3"/>
      <c r="AD1797" s="3"/>
    </row>
    <row r="1798" spans="1:30" ht="45.5" customHeight="1">
      <c r="A1798" s="3" t="s">
        <v>5240</v>
      </c>
      <c r="B1798" s="3" t="s">
        <v>5312</v>
      </c>
      <c r="C1798" s="3" t="s">
        <v>2458</v>
      </c>
      <c r="D1798" s="3" t="s">
        <v>2994</v>
      </c>
      <c r="E1798" s="3" t="s">
        <v>1105</v>
      </c>
      <c r="F1798" s="4" t="s">
        <v>2276</v>
      </c>
      <c r="G1798" s="4" t="s">
        <v>74</v>
      </c>
      <c r="H1798" s="3" t="s">
        <v>523</v>
      </c>
      <c r="I1798" s="3"/>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t="s">
        <v>2276</v>
      </c>
      <c r="AB1798" s="3" t="s">
        <v>2276</v>
      </c>
      <c r="AC1798" s="3"/>
      <c r="AD1798" s="3"/>
    </row>
    <row r="1799" spans="1:30" ht="45.5" customHeight="1">
      <c r="A1799" s="3" t="s">
        <v>5241</v>
      </c>
      <c r="B1799" s="3" t="s">
        <v>5313</v>
      </c>
      <c r="C1799" s="4" t="s">
        <v>24</v>
      </c>
      <c r="D1799" s="3" t="s">
        <v>25</v>
      </c>
      <c r="E1799" s="3" t="s">
        <v>5005</v>
      </c>
      <c r="F1799" s="4" t="s">
        <v>74</v>
      </c>
      <c r="G1799" s="4" t="s">
        <v>74</v>
      </c>
      <c r="H1799" s="3" t="s">
        <v>523</v>
      </c>
      <c r="I1799" s="3"/>
      <c r="J1799" s="3" t="s">
        <v>2276</v>
      </c>
      <c r="K1799" s="3" t="s">
        <v>2276</v>
      </c>
      <c r="L1799" s="3" t="s">
        <v>2276</v>
      </c>
      <c r="M1799" s="3" t="s">
        <v>2276</v>
      </c>
      <c r="N1799" s="3" t="s">
        <v>2276</v>
      </c>
      <c r="O1799" s="3" t="s">
        <v>2276</v>
      </c>
      <c r="P1799" s="3" t="s">
        <v>2276</v>
      </c>
      <c r="Q1799" s="3" t="s">
        <v>2276</v>
      </c>
      <c r="R1799" s="3" t="s">
        <v>2276</v>
      </c>
      <c r="S1799" s="3" t="s">
        <v>2276</v>
      </c>
      <c r="T1799" s="3" t="s">
        <v>2276</v>
      </c>
      <c r="U1799" s="3" t="s">
        <v>2276</v>
      </c>
      <c r="V1799" s="3" t="s">
        <v>2276</v>
      </c>
      <c r="W1799" s="3" t="s">
        <v>2276</v>
      </c>
      <c r="X1799" s="3" t="s">
        <v>2276</v>
      </c>
      <c r="Y1799" s="3" t="s">
        <v>2276</v>
      </c>
      <c r="Z1799" s="3" t="s">
        <v>2276</v>
      </c>
      <c r="AA1799" s="3" t="s">
        <v>2276</v>
      </c>
      <c r="AB1799" s="3" t="s">
        <v>2276</v>
      </c>
      <c r="AC1799" s="3"/>
      <c r="AD1799" s="4" t="s">
        <v>5336</v>
      </c>
    </row>
    <row r="1800" spans="1:30" ht="45.5" customHeight="1">
      <c r="A1800" s="3" t="s">
        <v>5241</v>
      </c>
      <c r="B1800" s="3" t="s">
        <v>5314</v>
      </c>
      <c r="C1800" s="4" t="s">
        <v>24</v>
      </c>
      <c r="D1800" s="3" t="s">
        <v>3480</v>
      </c>
      <c r="E1800" s="3" t="s">
        <v>116</v>
      </c>
      <c r="F1800" s="4" t="s">
        <v>74</v>
      </c>
      <c r="G1800" s="4" t="s">
        <v>74</v>
      </c>
      <c r="H1800" s="3" t="s">
        <v>523</v>
      </c>
      <c r="I1800" s="3"/>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t="s">
        <v>2276</v>
      </c>
      <c r="AB1800" s="3" t="s">
        <v>2276</v>
      </c>
      <c r="AC1800" s="3"/>
      <c r="AD1800" s="3"/>
    </row>
    <row r="1801" spans="1:30" ht="45.5" customHeight="1">
      <c r="A1801" s="3" t="s">
        <v>5241</v>
      </c>
      <c r="B1801" s="3" t="s">
        <v>5315</v>
      </c>
      <c r="C1801" s="4" t="s">
        <v>24</v>
      </c>
      <c r="D1801" s="3" t="s">
        <v>1245</v>
      </c>
      <c r="E1801" s="3" t="s">
        <v>116</v>
      </c>
      <c r="F1801" s="4" t="s">
        <v>74</v>
      </c>
      <c r="G1801" s="4" t="s">
        <v>74</v>
      </c>
      <c r="H1801" s="3" t="s">
        <v>523</v>
      </c>
      <c r="I1801" s="3"/>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t="s">
        <v>2276</v>
      </c>
      <c r="AB1801" s="3" t="s">
        <v>2276</v>
      </c>
      <c r="AC1801" s="3"/>
      <c r="AD1801" s="3"/>
    </row>
    <row r="1802" spans="1:30" ht="45.5" customHeight="1">
      <c r="A1802" s="3" t="s">
        <v>5241</v>
      </c>
      <c r="B1802" s="3" t="s">
        <v>5316</v>
      </c>
      <c r="C1802" s="4" t="s">
        <v>24</v>
      </c>
      <c r="D1802" s="3" t="s">
        <v>4162</v>
      </c>
      <c r="E1802" s="3" t="s">
        <v>863</v>
      </c>
      <c r="F1802" s="4" t="s">
        <v>74</v>
      </c>
      <c r="G1802" s="4" t="s">
        <v>74</v>
      </c>
      <c r="H1802" s="3" t="s">
        <v>523</v>
      </c>
      <c r="I1802" s="3"/>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t="s">
        <v>2276</v>
      </c>
      <c r="AB1802" s="3" t="s">
        <v>2276</v>
      </c>
      <c r="AC1802" s="3"/>
      <c r="AD1802" s="3"/>
    </row>
    <row r="1803" spans="1:30" ht="45.5" customHeight="1">
      <c r="A1803" s="3" t="s">
        <v>5241</v>
      </c>
      <c r="B1803" s="3" t="s">
        <v>5317</v>
      </c>
      <c r="C1803" s="4" t="s">
        <v>24</v>
      </c>
      <c r="D1803" s="3" t="s">
        <v>2346</v>
      </c>
      <c r="E1803" s="3" t="s">
        <v>2276</v>
      </c>
      <c r="F1803" s="4" t="s">
        <v>2276</v>
      </c>
      <c r="G1803" s="4" t="s">
        <v>74</v>
      </c>
      <c r="H1803" s="3" t="s">
        <v>523</v>
      </c>
      <c r="I1803" s="3"/>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t="s">
        <v>2276</v>
      </c>
      <c r="AB1803" s="3" t="s">
        <v>2276</v>
      </c>
      <c r="AC1803" s="3"/>
      <c r="AD1803" s="3"/>
    </row>
    <row r="1804" spans="1:30" ht="45.5" customHeight="1">
      <c r="A1804" s="3" t="s">
        <v>5241</v>
      </c>
      <c r="B1804" s="3" t="s">
        <v>5318</v>
      </c>
      <c r="C1804" s="4" t="s">
        <v>24</v>
      </c>
      <c r="D1804" s="3" t="s">
        <v>27</v>
      </c>
      <c r="E1804" s="3" t="s">
        <v>130</v>
      </c>
      <c r="F1804" s="4" t="s">
        <v>74</v>
      </c>
      <c r="G1804" s="3" t="s">
        <v>2276</v>
      </c>
      <c r="H1804" s="3" t="s">
        <v>523</v>
      </c>
      <c r="I1804" s="3"/>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t="s">
        <v>2276</v>
      </c>
      <c r="AB1804" s="3" t="s">
        <v>2276</v>
      </c>
      <c r="AC1804" s="3"/>
      <c r="AD1804" s="3"/>
    </row>
    <row r="1805" spans="1:30" ht="45.5" customHeight="1">
      <c r="A1805" s="3" t="s">
        <v>5241</v>
      </c>
      <c r="B1805" s="3" t="s">
        <v>5319</v>
      </c>
      <c r="C1805" s="3" t="s">
        <v>2458</v>
      </c>
      <c r="D1805" s="3" t="s">
        <v>3476</v>
      </c>
      <c r="E1805" s="3" t="s">
        <v>2276</v>
      </c>
      <c r="F1805" s="4" t="s">
        <v>2276</v>
      </c>
      <c r="G1805" s="4" t="s">
        <v>74</v>
      </c>
      <c r="H1805" s="3" t="s">
        <v>523</v>
      </c>
      <c r="I1805" s="3"/>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t="s">
        <v>2276</v>
      </c>
      <c r="AB1805" s="3" t="s">
        <v>2276</v>
      </c>
      <c r="AC1805" s="3"/>
      <c r="AD1805" s="3"/>
    </row>
    <row r="1806" spans="1:30" ht="45.5" customHeight="1">
      <c r="A1806" s="3" t="s">
        <v>5241</v>
      </c>
      <c r="B1806" s="3" t="s">
        <v>5320</v>
      </c>
      <c r="C1806" s="3" t="s">
        <v>31</v>
      </c>
      <c r="D1806" s="3" t="s">
        <v>2276</v>
      </c>
      <c r="E1806" s="3" t="s">
        <v>1105</v>
      </c>
      <c r="F1806" s="4" t="s">
        <v>2276</v>
      </c>
      <c r="G1806" s="4" t="s">
        <v>74</v>
      </c>
      <c r="H1806" s="3" t="s">
        <v>523</v>
      </c>
      <c r="I1806" s="3"/>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t="s">
        <v>2276</v>
      </c>
      <c r="AB1806" s="3" t="s">
        <v>2276</v>
      </c>
      <c r="AC1806" s="3"/>
      <c r="AD1806" s="3"/>
    </row>
    <row r="1807" spans="1:30" ht="45.5" customHeight="1">
      <c r="A1807" s="3" t="s">
        <v>5241</v>
      </c>
      <c r="B1807" s="3" t="s">
        <v>5321</v>
      </c>
      <c r="C1807" s="3" t="s">
        <v>2458</v>
      </c>
      <c r="D1807" s="3" t="s">
        <v>406</v>
      </c>
      <c r="E1807" s="3" t="s">
        <v>1105</v>
      </c>
      <c r="F1807" s="4" t="s">
        <v>2276</v>
      </c>
      <c r="G1807" s="4" t="s">
        <v>74</v>
      </c>
      <c r="H1807" s="3" t="s">
        <v>523</v>
      </c>
      <c r="I1807" s="3"/>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t="s">
        <v>2276</v>
      </c>
      <c r="AB1807" s="3" t="s">
        <v>2276</v>
      </c>
      <c r="AC1807" s="3"/>
      <c r="AD1807" s="3"/>
    </row>
    <row r="1808" spans="1:30" ht="45.5" customHeight="1">
      <c r="A1808" s="3" t="s">
        <v>5241</v>
      </c>
      <c r="B1808" s="3" t="s">
        <v>5322</v>
      </c>
      <c r="C1808" s="3" t="s">
        <v>2458</v>
      </c>
      <c r="D1808" s="3" t="s">
        <v>2994</v>
      </c>
      <c r="E1808" s="3" t="s">
        <v>1105</v>
      </c>
      <c r="F1808" s="4" t="s">
        <v>2276</v>
      </c>
      <c r="G1808" s="4" t="s">
        <v>74</v>
      </c>
      <c r="H1808" s="3" t="s">
        <v>523</v>
      </c>
      <c r="I1808" s="3"/>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t="s">
        <v>2276</v>
      </c>
      <c r="AB1808" s="3" t="s">
        <v>2276</v>
      </c>
      <c r="AC1808" s="3"/>
      <c r="AD1808" s="3"/>
    </row>
    <row r="1809" spans="1:30" ht="45.5" customHeight="1">
      <c r="A1809" s="11" t="s">
        <v>5234</v>
      </c>
      <c r="B1809" s="11" t="s">
        <v>5261</v>
      </c>
      <c r="C1809" s="3" t="s">
        <v>1105</v>
      </c>
      <c r="D1809" s="3" t="s">
        <v>2276</v>
      </c>
      <c r="E1809" s="3" t="s">
        <v>1105</v>
      </c>
      <c r="F1809" s="4" t="s">
        <v>2276</v>
      </c>
      <c r="G1809" s="4" t="s">
        <v>74</v>
      </c>
      <c r="H1809" s="3" t="s">
        <v>523</v>
      </c>
      <c r="I1809" s="3">
        <v>2003</v>
      </c>
      <c r="J1809" s="3" t="s">
        <v>2276</v>
      </c>
      <c r="K1809" s="3" t="s">
        <v>2276</v>
      </c>
      <c r="L1809" s="3" t="s">
        <v>2276</v>
      </c>
      <c r="M1809" s="3" t="s">
        <v>2276</v>
      </c>
      <c r="N1809" s="3" t="s">
        <v>2276</v>
      </c>
      <c r="O1809" s="3" t="s">
        <v>2276</v>
      </c>
      <c r="P1809" s="3" t="s">
        <v>2276</v>
      </c>
      <c r="Q1809" s="3" t="s">
        <v>2276</v>
      </c>
      <c r="R1809" s="3" t="s">
        <v>2276</v>
      </c>
      <c r="S1809" s="3" t="s">
        <v>2276</v>
      </c>
      <c r="T1809" s="21">
        <v>279</v>
      </c>
      <c r="U1809" s="3" t="s">
        <v>2276</v>
      </c>
      <c r="V1809" s="21">
        <v>17</v>
      </c>
      <c r="W1809" s="3" t="s">
        <v>2276</v>
      </c>
      <c r="X1809" s="3" t="s">
        <v>2276</v>
      </c>
      <c r="Y1809" s="3" t="s">
        <v>2276</v>
      </c>
      <c r="Z1809" s="3" t="s">
        <v>399</v>
      </c>
      <c r="AA1809" s="3" t="s">
        <v>86</v>
      </c>
      <c r="AB1809" s="3" t="s">
        <v>76</v>
      </c>
      <c r="AC1809" s="3"/>
      <c r="AD1809" s="3" t="s">
        <v>5335</v>
      </c>
    </row>
    <row r="1810" spans="1:30" ht="45.5" customHeight="1">
      <c r="A1810" s="11" t="s">
        <v>5234</v>
      </c>
      <c r="B1810" s="11" t="s">
        <v>5262</v>
      </c>
      <c r="C1810" s="3" t="s">
        <v>1105</v>
      </c>
      <c r="D1810" s="3" t="s">
        <v>2276</v>
      </c>
      <c r="E1810" s="3" t="s">
        <v>1105</v>
      </c>
      <c r="F1810" s="4" t="s">
        <v>2276</v>
      </c>
      <c r="G1810" s="4" t="s">
        <v>74</v>
      </c>
      <c r="H1810" s="3" t="s">
        <v>523</v>
      </c>
      <c r="I1810" s="3">
        <v>2004</v>
      </c>
      <c r="J1810" s="3" t="s">
        <v>2276</v>
      </c>
      <c r="K1810" s="3" t="s">
        <v>2276</v>
      </c>
      <c r="L1810" s="3" t="s">
        <v>2276</v>
      </c>
      <c r="M1810" s="3" t="s">
        <v>2276</v>
      </c>
      <c r="N1810" s="3" t="s">
        <v>2276</v>
      </c>
      <c r="O1810" s="3" t="s">
        <v>2276</v>
      </c>
      <c r="P1810" s="3" t="s">
        <v>2276</v>
      </c>
      <c r="Q1810" s="3" t="s">
        <v>2276</v>
      </c>
      <c r="R1810" s="3" t="s">
        <v>2276</v>
      </c>
      <c r="S1810" s="3" t="s">
        <v>2276</v>
      </c>
      <c r="T1810" s="21">
        <v>199</v>
      </c>
      <c r="U1810" s="3" t="s">
        <v>2276</v>
      </c>
      <c r="V1810" s="21">
        <v>12</v>
      </c>
      <c r="W1810" s="3" t="s">
        <v>2276</v>
      </c>
      <c r="X1810" s="3" t="s">
        <v>2276</v>
      </c>
      <c r="Y1810" s="3" t="s">
        <v>2276</v>
      </c>
      <c r="Z1810" s="3" t="s">
        <v>399</v>
      </c>
      <c r="AA1810" s="3" t="s">
        <v>86</v>
      </c>
      <c r="AB1810" s="3" t="s">
        <v>76</v>
      </c>
      <c r="AC1810" s="3"/>
      <c r="AD1810" s="3" t="s">
        <v>5335</v>
      </c>
    </row>
    <row r="1811" spans="1:30" ht="45.5" customHeight="1">
      <c r="A1811" s="11" t="s">
        <v>5236</v>
      </c>
      <c r="B1811" s="11" t="s">
        <v>5323</v>
      </c>
      <c r="C1811" s="3" t="s">
        <v>1105</v>
      </c>
      <c r="D1811" s="3" t="s">
        <v>2276</v>
      </c>
      <c r="E1811" s="3" t="s">
        <v>1105</v>
      </c>
      <c r="F1811" s="4" t="s">
        <v>2276</v>
      </c>
      <c r="G1811" s="4" t="s">
        <v>74</v>
      </c>
      <c r="H1811" s="3" t="s">
        <v>523</v>
      </c>
      <c r="I1811" s="3">
        <v>2003</v>
      </c>
      <c r="J1811" s="3" t="s">
        <v>2276</v>
      </c>
      <c r="K1811" s="3" t="s">
        <v>2276</v>
      </c>
      <c r="L1811" s="3" t="s">
        <v>2276</v>
      </c>
      <c r="M1811" s="3" t="s">
        <v>2276</v>
      </c>
      <c r="N1811" s="3" t="s">
        <v>2276</v>
      </c>
      <c r="O1811" s="3" t="s">
        <v>2276</v>
      </c>
      <c r="P1811" s="3" t="s">
        <v>2276</v>
      </c>
      <c r="Q1811" s="3" t="s">
        <v>2276</v>
      </c>
      <c r="R1811" s="3" t="s">
        <v>2276</v>
      </c>
      <c r="S1811" s="3" t="s">
        <v>2276</v>
      </c>
      <c r="T1811" s="3" t="s">
        <v>2276</v>
      </c>
      <c r="U1811" s="3" t="s">
        <v>2276</v>
      </c>
      <c r="V1811" s="3" t="s">
        <v>2276</v>
      </c>
      <c r="W1811" s="3" t="s">
        <v>2276</v>
      </c>
      <c r="X1811" s="3" t="s">
        <v>2276</v>
      </c>
      <c r="Y1811" s="3" t="s">
        <v>2276</v>
      </c>
      <c r="Z1811" s="3" t="s">
        <v>399</v>
      </c>
      <c r="AA1811" s="3" t="s">
        <v>86</v>
      </c>
      <c r="AB1811" s="3" t="s">
        <v>76</v>
      </c>
      <c r="AC1811" s="3"/>
      <c r="AD1811" s="3" t="s">
        <v>5335</v>
      </c>
    </row>
    <row r="1812" spans="1:30" ht="45.5" customHeight="1">
      <c r="A1812" s="11" t="s">
        <v>5236</v>
      </c>
      <c r="B1812" s="11" t="s">
        <v>5324</v>
      </c>
      <c r="C1812" s="3" t="s">
        <v>1105</v>
      </c>
      <c r="D1812" s="3" t="s">
        <v>2276</v>
      </c>
      <c r="E1812" s="3" t="s">
        <v>1105</v>
      </c>
      <c r="F1812" s="4" t="s">
        <v>2276</v>
      </c>
      <c r="G1812" s="4" t="s">
        <v>74</v>
      </c>
      <c r="H1812" s="3" t="s">
        <v>523</v>
      </c>
      <c r="I1812" s="3">
        <v>2004</v>
      </c>
      <c r="J1812" s="3" t="s">
        <v>2276</v>
      </c>
      <c r="K1812" s="3" t="s">
        <v>2276</v>
      </c>
      <c r="L1812" s="3" t="s">
        <v>2276</v>
      </c>
      <c r="M1812" s="3" t="s">
        <v>2276</v>
      </c>
      <c r="N1812" s="3" t="s">
        <v>2276</v>
      </c>
      <c r="O1812" s="3" t="s">
        <v>2276</v>
      </c>
      <c r="P1812" s="3" t="s">
        <v>2276</v>
      </c>
      <c r="Q1812" s="3" t="s">
        <v>2276</v>
      </c>
      <c r="R1812" s="3" t="s">
        <v>2276</v>
      </c>
      <c r="S1812" s="3" t="s">
        <v>2276</v>
      </c>
      <c r="T1812" s="3" t="s">
        <v>2276</v>
      </c>
      <c r="U1812" s="3" t="s">
        <v>2276</v>
      </c>
      <c r="V1812" s="3" t="s">
        <v>2276</v>
      </c>
      <c r="W1812" s="3" t="s">
        <v>2276</v>
      </c>
      <c r="X1812" s="3" t="s">
        <v>2276</v>
      </c>
      <c r="Y1812" s="3" t="s">
        <v>2276</v>
      </c>
      <c r="Z1812" s="3" t="s">
        <v>399</v>
      </c>
      <c r="AA1812" s="3" t="s">
        <v>86</v>
      </c>
      <c r="AB1812" s="3" t="s">
        <v>76</v>
      </c>
      <c r="AC1812" s="3"/>
      <c r="AD1812" s="3" t="s">
        <v>5335</v>
      </c>
    </row>
    <row r="1813" spans="1:30" ht="45.5" customHeight="1">
      <c r="A1813" s="11" t="s">
        <v>5237</v>
      </c>
      <c r="B1813" s="11" t="s">
        <v>5325</v>
      </c>
      <c r="C1813" s="3" t="s">
        <v>1105</v>
      </c>
      <c r="D1813" s="3" t="s">
        <v>2276</v>
      </c>
      <c r="E1813" s="3" t="s">
        <v>1105</v>
      </c>
      <c r="F1813" s="4" t="s">
        <v>2276</v>
      </c>
      <c r="G1813" s="4" t="s">
        <v>74</v>
      </c>
      <c r="H1813" s="3" t="s">
        <v>523</v>
      </c>
      <c r="I1813" s="3">
        <v>2003</v>
      </c>
      <c r="J1813" s="3" t="s">
        <v>2276</v>
      </c>
      <c r="K1813" s="3" t="s">
        <v>2276</v>
      </c>
      <c r="L1813" s="3" t="s">
        <v>2276</v>
      </c>
      <c r="M1813" s="3" t="s">
        <v>2276</v>
      </c>
      <c r="N1813" s="3" t="s">
        <v>2276</v>
      </c>
      <c r="O1813" s="3" t="s">
        <v>2276</v>
      </c>
      <c r="P1813" s="3" t="s">
        <v>2276</v>
      </c>
      <c r="Q1813" s="3" t="s">
        <v>2276</v>
      </c>
      <c r="R1813" s="3" t="s">
        <v>2276</v>
      </c>
      <c r="S1813" s="3" t="s">
        <v>2276</v>
      </c>
      <c r="T1813" s="21">
        <v>30</v>
      </c>
      <c r="U1813" s="3" t="s">
        <v>2276</v>
      </c>
      <c r="V1813" s="21">
        <v>2</v>
      </c>
      <c r="W1813" s="3" t="s">
        <v>2276</v>
      </c>
      <c r="X1813" s="3" t="s">
        <v>2276</v>
      </c>
      <c r="Y1813" s="3" t="s">
        <v>2276</v>
      </c>
      <c r="Z1813" s="3" t="s">
        <v>399</v>
      </c>
      <c r="AA1813" s="3" t="s">
        <v>86</v>
      </c>
      <c r="AB1813" s="3" t="s">
        <v>76</v>
      </c>
      <c r="AC1813" s="3"/>
      <c r="AD1813" s="3" t="s">
        <v>5335</v>
      </c>
    </row>
    <row r="1814" spans="1:30" ht="45.5" customHeight="1">
      <c r="A1814" s="11" t="s">
        <v>5237</v>
      </c>
      <c r="B1814" s="11" t="s">
        <v>5326</v>
      </c>
      <c r="C1814" s="3" t="s">
        <v>1105</v>
      </c>
      <c r="D1814" s="3" t="s">
        <v>2276</v>
      </c>
      <c r="E1814" s="3" t="s">
        <v>1105</v>
      </c>
      <c r="F1814" s="4" t="s">
        <v>2276</v>
      </c>
      <c r="G1814" s="4" t="s">
        <v>74</v>
      </c>
      <c r="H1814" s="3" t="s">
        <v>523</v>
      </c>
      <c r="I1814" s="3">
        <v>2004</v>
      </c>
      <c r="J1814" s="3" t="s">
        <v>2276</v>
      </c>
      <c r="K1814" s="3" t="s">
        <v>2276</v>
      </c>
      <c r="L1814" s="3" t="s">
        <v>2276</v>
      </c>
      <c r="M1814" s="3" t="s">
        <v>2276</v>
      </c>
      <c r="N1814" s="3" t="s">
        <v>2276</v>
      </c>
      <c r="O1814" s="3" t="s">
        <v>2276</v>
      </c>
      <c r="P1814" s="3" t="s">
        <v>2276</v>
      </c>
      <c r="Q1814" s="3" t="s">
        <v>2276</v>
      </c>
      <c r="R1814" s="3" t="s">
        <v>2276</v>
      </c>
      <c r="S1814" s="3" t="s">
        <v>2276</v>
      </c>
      <c r="T1814" s="21">
        <v>30</v>
      </c>
      <c r="U1814" s="3" t="s">
        <v>2276</v>
      </c>
      <c r="V1814" s="21">
        <v>2</v>
      </c>
      <c r="W1814" s="3" t="s">
        <v>2276</v>
      </c>
      <c r="X1814" s="3" t="s">
        <v>2276</v>
      </c>
      <c r="Y1814" s="3" t="s">
        <v>2276</v>
      </c>
      <c r="Z1814" s="3" t="s">
        <v>399</v>
      </c>
      <c r="AA1814" s="3" t="s">
        <v>86</v>
      </c>
      <c r="AB1814" s="3" t="s">
        <v>76</v>
      </c>
      <c r="AC1814" s="3"/>
      <c r="AD1814" s="3" t="s">
        <v>5335</v>
      </c>
    </row>
    <row r="1815" spans="1:30" ht="45.5" customHeight="1">
      <c r="A1815" s="11" t="s">
        <v>5238</v>
      </c>
      <c r="B1815" s="11" t="s">
        <v>5327</v>
      </c>
      <c r="C1815" s="3" t="s">
        <v>1105</v>
      </c>
      <c r="D1815" s="3" t="s">
        <v>2276</v>
      </c>
      <c r="E1815" s="3" t="s">
        <v>1105</v>
      </c>
      <c r="F1815" s="4" t="s">
        <v>2276</v>
      </c>
      <c r="G1815" s="4" t="s">
        <v>74</v>
      </c>
      <c r="H1815" s="3" t="s">
        <v>523</v>
      </c>
      <c r="I1815" s="3">
        <v>2003</v>
      </c>
      <c r="J1815" s="3" t="s">
        <v>2276</v>
      </c>
      <c r="K1815" s="3" t="s">
        <v>2276</v>
      </c>
      <c r="L1815" s="3" t="s">
        <v>2276</v>
      </c>
      <c r="M1815" s="3" t="s">
        <v>2276</v>
      </c>
      <c r="N1815" s="3" t="s">
        <v>2276</v>
      </c>
      <c r="O1815" s="3" t="s">
        <v>2276</v>
      </c>
      <c r="P1815" s="3" t="s">
        <v>2276</v>
      </c>
      <c r="Q1815" s="3" t="s">
        <v>2276</v>
      </c>
      <c r="R1815" s="3" t="s">
        <v>2276</v>
      </c>
      <c r="S1815" s="3" t="s">
        <v>2276</v>
      </c>
      <c r="T1815" s="21">
        <v>195</v>
      </c>
      <c r="U1815" s="3" t="s">
        <v>2276</v>
      </c>
      <c r="V1815" s="21">
        <v>7</v>
      </c>
      <c r="W1815" s="3" t="s">
        <v>2276</v>
      </c>
      <c r="X1815" s="3" t="s">
        <v>2276</v>
      </c>
      <c r="Y1815" s="3" t="s">
        <v>2276</v>
      </c>
      <c r="Z1815" s="3" t="s">
        <v>399</v>
      </c>
      <c r="AA1815" s="3" t="s">
        <v>86</v>
      </c>
      <c r="AB1815" s="3" t="s">
        <v>76</v>
      </c>
      <c r="AC1815" s="3"/>
      <c r="AD1815" s="3" t="s">
        <v>5335</v>
      </c>
    </row>
    <row r="1816" spans="1:30" ht="45.5" customHeight="1">
      <c r="A1816" s="11" t="s">
        <v>5238</v>
      </c>
      <c r="B1816" s="11" t="s">
        <v>5328</v>
      </c>
      <c r="C1816" s="3" t="s">
        <v>1105</v>
      </c>
      <c r="D1816" s="3" t="s">
        <v>2276</v>
      </c>
      <c r="E1816" s="3" t="s">
        <v>1105</v>
      </c>
      <c r="F1816" s="4" t="s">
        <v>2276</v>
      </c>
      <c r="G1816" s="4" t="s">
        <v>74</v>
      </c>
      <c r="H1816" s="3" t="s">
        <v>523</v>
      </c>
      <c r="I1816" s="3">
        <v>2004</v>
      </c>
      <c r="J1816" s="3" t="s">
        <v>2276</v>
      </c>
      <c r="K1816" s="3" t="s">
        <v>2276</v>
      </c>
      <c r="L1816" s="3" t="s">
        <v>2276</v>
      </c>
      <c r="M1816" s="3" t="s">
        <v>2276</v>
      </c>
      <c r="N1816" s="3" t="s">
        <v>2276</v>
      </c>
      <c r="O1816" s="3" t="s">
        <v>2276</v>
      </c>
      <c r="P1816" s="3" t="s">
        <v>2276</v>
      </c>
      <c r="Q1816" s="3" t="s">
        <v>2276</v>
      </c>
      <c r="R1816" s="3" t="s">
        <v>2276</v>
      </c>
      <c r="S1816" s="3" t="s">
        <v>2276</v>
      </c>
      <c r="T1816" s="21">
        <v>800</v>
      </c>
      <c r="U1816" s="3" t="s">
        <v>2276</v>
      </c>
      <c r="V1816" s="21">
        <v>30</v>
      </c>
      <c r="W1816" s="3" t="s">
        <v>2276</v>
      </c>
      <c r="X1816" s="3" t="s">
        <v>2276</v>
      </c>
      <c r="Y1816" s="3" t="s">
        <v>2276</v>
      </c>
      <c r="Z1816" s="3" t="s">
        <v>399</v>
      </c>
      <c r="AA1816" s="3" t="s">
        <v>86</v>
      </c>
      <c r="AB1816" s="3" t="s">
        <v>76</v>
      </c>
      <c r="AC1816" s="3"/>
      <c r="AD1816" s="3" t="s">
        <v>5335</v>
      </c>
    </row>
    <row r="1817" spans="1:30" ht="45.5" customHeight="1">
      <c r="A1817" s="11" t="s">
        <v>5239</v>
      </c>
      <c r="B1817" s="11" t="s">
        <v>5329</v>
      </c>
      <c r="C1817" s="3" t="s">
        <v>1105</v>
      </c>
      <c r="D1817" s="3" t="s">
        <v>2276</v>
      </c>
      <c r="E1817" s="3" t="s">
        <v>1105</v>
      </c>
      <c r="F1817" s="4" t="s">
        <v>2276</v>
      </c>
      <c r="G1817" s="4" t="s">
        <v>74</v>
      </c>
      <c r="H1817" s="3" t="s">
        <v>523</v>
      </c>
      <c r="I1817" s="3">
        <v>2003</v>
      </c>
      <c r="J1817" s="3" t="s">
        <v>2276</v>
      </c>
      <c r="K1817" s="3" t="s">
        <v>2276</v>
      </c>
      <c r="L1817" s="3" t="s">
        <v>2276</v>
      </c>
      <c r="M1817" s="3" t="s">
        <v>2276</v>
      </c>
      <c r="N1817" s="3" t="s">
        <v>2276</v>
      </c>
      <c r="O1817" s="3" t="s">
        <v>2276</v>
      </c>
      <c r="P1817" s="3" t="s">
        <v>2276</v>
      </c>
      <c r="Q1817" s="3" t="s">
        <v>2276</v>
      </c>
      <c r="R1817" s="3" t="s">
        <v>2276</v>
      </c>
      <c r="S1817" s="3" t="s">
        <v>2276</v>
      </c>
      <c r="T1817" s="21">
        <v>75</v>
      </c>
      <c r="U1817" s="3" t="s">
        <v>2276</v>
      </c>
      <c r="V1817" s="21">
        <v>8</v>
      </c>
      <c r="W1817" s="3" t="s">
        <v>2276</v>
      </c>
      <c r="X1817" s="3" t="s">
        <v>2276</v>
      </c>
      <c r="Y1817" s="3" t="s">
        <v>2276</v>
      </c>
      <c r="Z1817" s="3" t="s">
        <v>399</v>
      </c>
      <c r="AA1817" s="3" t="s">
        <v>86</v>
      </c>
      <c r="AB1817" s="3" t="s">
        <v>76</v>
      </c>
      <c r="AC1817" s="3"/>
      <c r="AD1817" s="3" t="s">
        <v>5335</v>
      </c>
    </row>
    <row r="1818" spans="1:30" ht="45.5" customHeight="1">
      <c r="A1818" s="11" t="s">
        <v>5239</v>
      </c>
      <c r="B1818" s="11" t="s">
        <v>5330</v>
      </c>
      <c r="C1818" s="3" t="s">
        <v>1105</v>
      </c>
      <c r="D1818" s="3" t="s">
        <v>2276</v>
      </c>
      <c r="E1818" s="3" t="s">
        <v>1105</v>
      </c>
      <c r="F1818" s="4" t="s">
        <v>2276</v>
      </c>
      <c r="G1818" s="4" t="s">
        <v>74</v>
      </c>
      <c r="H1818" s="3" t="s">
        <v>523</v>
      </c>
      <c r="I1818" s="3">
        <v>2004</v>
      </c>
      <c r="J1818" s="3" t="s">
        <v>2276</v>
      </c>
      <c r="K1818" s="3" t="s">
        <v>2276</v>
      </c>
      <c r="L1818" s="3" t="s">
        <v>2276</v>
      </c>
      <c r="M1818" s="3" t="s">
        <v>2276</v>
      </c>
      <c r="N1818" s="3" t="s">
        <v>2276</v>
      </c>
      <c r="O1818" s="3" t="s">
        <v>2276</v>
      </c>
      <c r="P1818" s="3" t="s">
        <v>2276</v>
      </c>
      <c r="Q1818" s="3" t="s">
        <v>2276</v>
      </c>
      <c r="R1818" s="3" t="s">
        <v>2276</v>
      </c>
      <c r="S1818" s="3" t="s">
        <v>2276</v>
      </c>
      <c r="T1818" s="21">
        <v>135</v>
      </c>
      <c r="U1818" s="3" t="s">
        <v>2276</v>
      </c>
      <c r="V1818" s="21">
        <v>15</v>
      </c>
      <c r="W1818" s="3" t="s">
        <v>2276</v>
      </c>
      <c r="X1818" s="3" t="s">
        <v>2276</v>
      </c>
      <c r="Y1818" s="3" t="s">
        <v>2276</v>
      </c>
      <c r="Z1818" s="3" t="s">
        <v>399</v>
      </c>
      <c r="AA1818" s="3" t="s">
        <v>86</v>
      </c>
      <c r="AB1818" s="3" t="s">
        <v>76</v>
      </c>
      <c r="AC1818" s="3"/>
      <c r="AD1818" s="3" t="s">
        <v>5335</v>
      </c>
    </row>
    <row r="1819" spans="1:30" ht="45.5" customHeight="1">
      <c r="A1819" s="11" t="s">
        <v>5240</v>
      </c>
      <c r="B1819" s="11" t="s">
        <v>5331</v>
      </c>
      <c r="C1819" s="3" t="s">
        <v>1105</v>
      </c>
      <c r="D1819" s="3" t="s">
        <v>2276</v>
      </c>
      <c r="E1819" s="3" t="s">
        <v>1105</v>
      </c>
      <c r="F1819" s="4" t="s">
        <v>2276</v>
      </c>
      <c r="G1819" s="4" t="s">
        <v>74</v>
      </c>
      <c r="H1819" s="3" t="s">
        <v>523</v>
      </c>
      <c r="I1819" s="3">
        <v>2003</v>
      </c>
      <c r="J1819" s="3" t="s">
        <v>2276</v>
      </c>
      <c r="K1819" s="3" t="s">
        <v>2276</v>
      </c>
      <c r="L1819" s="3" t="s">
        <v>2276</v>
      </c>
      <c r="M1819" s="3" t="s">
        <v>2276</v>
      </c>
      <c r="N1819" s="3" t="s">
        <v>2276</v>
      </c>
      <c r="O1819" s="3" t="s">
        <v>2276</v>
      </c>
      <c r="P1819" s="3" t="s">
        <v>2276</v>
      </c>
      <c r="Q1819" s="3" t="s">
        <v>2276</v>
      </c>
      <c r="R1819" s="3" t="s">
        <v>2276</v>
      </c>
      <c r="S1819" s="3" t="s">
        <v>2276</v>
      </c>
      <c r="T1819" s="21">
        <v>924</v>
      </c>
      <c r="U1819" s="3" t="s">
        <v>2276</v>
      </c>
      <c r="V1819" s="21">
        <v>19</v>
      </c>
      <c r="W1819" s="3" t="s">
        <v>2276</v>
      </c>
      <c r="X1819" s="3" t="s">
        <v>2276</v>
      </c>
      <c r="Y1819" s="3" t="s">
        <v>2276</v>
      </c>
      <c r="Z1819" s="3" t="s">
        <v>399</v>
      </c>
      <c r="AA1819" s="3" t="s">
        <v>86</v>
      </c>
      <c r="AB1819" s="3" t="s">
        <v>76</v>
      </c>
      <c r="AC1819" s="3"/>
      <c r="AD1819" s="3" t="s">
        <v>5335</v>
      </c>
    </row>
    <row r="1820" spans="1:30" ht="45.5" customHeight="1">
      <c r="A1820" s="11" t="s">
        <v>5240</v>
      </c>
      <c r="B1820" s="11" t="s">
        <v>5332</v>
      </c>
      <c r="C1820" s="3" t="s">
        <v>1105</v>
      </c>
      <c r="D1820" s="3" t="s">
        <v>2276</v>
      </c>
      <c r="E1820" s="3" t="s">
        <v>1105</v>
      </c>
      <c r="F1820" s="4" t="s">
        <v>2276</v>
      </c>
      <c r="G1820" s="4" t="s">
        <v>74</v>
      </c>
      <c r="H1820" s="3" t="s">
        <v>523</v>
      </c>
      <c r="I1820" s="3">
        <v>2004</v>
      </c>
      <c r="J1820" s="3" t="s">
        <v>2276</v>
      </c>
      <c r="K1820" s="3" t="s">
        <v>2276</v>
      </c>
      <c r="L1820" s="3" t="s">
        <v>2276</v>
      </c>
      <c r="M1820" s="3" t="s">
        <v>2276</v>
      </c>
      <c r="N1820" s="3" t="s">
        <v>2276</v>
      </c>
      <c r="O1820" s="3" t="s">
        <v>2276</v>
      </c>
      <c r="P1820" s="3" t="s">
        <v>2276</v>
      </c>
      <c r="Q1820" s="3" t="s">
        <v>2276</v>
      </c>
      <c r="R1820" s="3" t="s">
        <v>2276</v>
      </c>
      <c r="S1820" s="3" t="s">
        <v>2276</v>
      </c>
      <c r="T1820" s="21">
        <v>1644</v>
      </c>
      <c r="U1820" s="3" t="s">
        <v>2276</v>
      </c>
      <c r="V1820" s="21">
        <v>34</v>
      </c>
      <c r="W1820" s="3" t="s">
        <v>2276</v>
      </c>
      <c r="X1820" s="3" t="s">
        <v>2276</v>
      </c>
      <c r="Y1820" s="3" t="s">
        <v>2276</v>
      </c>
      <c r="Z1820" s="3" t="s">
        <v>399</v>
      </c>
      <c r="AA1820" s="3" t="s">
        <v>86</v>
      </c>
      <c r="AB1820" s="3" t="s">
        <v>76</v>
      </c>
      <c r="AC1820" s="3"/>
      <c r="AD1820" s="3" t="s">
        <v>5335</v>
      </c>
    </row>
    <row r="1821" spans="1:30" ht="45.5" customHeight="1">
      <c r="A1821" s="11" t="s">
        <v>5241</v>
      </c>
      <c r="B1821" s="11" t="s">
        <v>5333</v>
      </c>
      <c r="C1821" s="3" t="s">
        <v>1105</v>
      </c>
      <c r="D1821" s="3" t="s">
        <v>2276</v>
      </c>
      <c r="E1821" s="3" t="s">
        <v>1105</v>
      </c>
      <c r="F1821" s="4" t="s">
        <v>2276</v>
      </c>
      <c r="G1821" s="4" t="s">
        <v>74</v>
      </c>
      <c r="H1821" s="3" t="s">
        <v>523</v>
      </c>
      <c r="I1821" s="3">
        <v>2003</v>
      </c>
      <c r="J1821" s="3" t="s">
        <v>2276</v>
      </c>
      <c r="K1821" s="3" t="s">
        <v>2276</v>
      </c>
      <c r="L1821" s="3" t="s">
        <v>2276</v>
      </c>
      <c r="M1821" s="3" t="s">
        <v>2276</v>
      </c>
      <c r="N1821" s="3" t="s">
        <v>2276</v>
      </c>
      <c r="O1821" s="3" t="s">
        <v>2276</v>
      </c>
      <c r="P1821" s="3" t="s">
        <v>2276</v>
      </c>
      <c r="Q1821" s="3" t="s">
        <v>2276</v>
      </c>
      <c r="R1821" s="3" t="s">
        <v>2276</v>
      </c>
      <c r="S1821" s="3" t="s">
        <v>2276</v>
      </c>
      <c r="T1821" s="21">
        <v>130</v>
      </c>
      <c r="U1821" s="3" t="s">
        <v>2276</v>
      </c>
      <c r="V1821" s="21">
        <v>16</v>
      </c>
      <c r="W1821" s="3" t="s">
        <v>2276</v>
      </c>
      <c r="X1821" s="3" t="s">
        <v>2276</v>
      </c>
      <c r="Y1821" s="3" t="s">
        <v>2276</v>
      </c>
      <c r="Z1821" s="3" t="s">
        <v>399</v>
      </c>
      <c r="AA1821" s="3" t="s">
        <v>86</v>
      </c>
      <c r="AB1821" s="3" t="s">
        <v>76</v>
      </c>
      <c r="AC1821" s="3"/>
      <c r="AD1821" s="3" t="s">
        <v>5335</v>
      </c>
    </row>
    <row r="1822" spans="1:30" ht="45.5" customHeight="1">
      <c r="A1822" s="11" t="s">
        <v>5241</v>
      </c>
      <c r="B1822" s="11" t="s">
        <v>5334</v>
      </c>
      <c r="C1822" s="3" t="s">
        <v>1105</v>
      </c>
      <c r="D1822" s="3" t="s">
        <v>2276</v>
      </c>
      <c r="E1822" s="3" t="s">
        <v>1105</v>
      </c>
      <c r="F1822" s="4" t="s">
        <v>2276</v>
      </c>
      <c r="G1822" s="4" t="s">
        <v>74</v>
      </c>
      <c r="H1822" s="3" t="s">
        <v>523</v>
      </c>
      <c r="I1822" s="3">
        <v>2004</v>
      </c>
      <c r="J1822" s="3" t="s">
        <v>2276</v>
      </c>
      <c r="K1822" s="3" t="s">
        <v>2276</v>
      </c>
      <c r="L1822" s="3" t="s">
        <v>2276</v>
      </c>
      <c r="M1822" s="3" t="s">
        <v>2276</v>
      </c>
      <c r="N1822" s="3" t="s">
        <v>2276</v>
      </c>
      <c r="O1822" s="3" t="s">
        <v>2276</v>
      </c>
      <c r="P1822" s="3" t="s">
        <v>2276</v>
      </c>
      <c r="Q1822" s="3" t="s">
        <v>2276</v>
      </c>
      <c r="R1822" s="3" t="s">
        <v>2276</v>
      </c>
      <c r="S1822" s="3" t="s">
        <v>2276</v>
      </c>
      <c r="T1822" s="21">
        <v>46</v>
      </c>
      <c r="U1822" s="3" t="s">
        <v>2276</v>
      </c>
      <c r="V1822" s="21">
        <v>6</v>
      </c>
      <c r="W1822" s="3" t="s">
        <v>2276</v>
      </c>
      <c r="X1822" s="3" t="s">
        <v>2276</v>
      </c>
      <c r="Y1822" s="3" t="s">
        <v>2276</v>
      </c>
      <c r="Z1822" s="3" t="s">
        <v>399</v>
      </c>
      <c r="AA1822" s="3" t="s">
        <v>86</v>
      </c>
      <c r="AB1822" s="3" t="s">
        <v>76</v>
      </c>
      <c r="AC1822" s="3"/>
      <c r="AD1822" s="3" t="s">
        <v>5335</v>
      </c>
    </row>
    <row r="1823" spans="1:30" ht="44.5" customHeight="1">
      <c r="A1823" s="11" t="s">
        <v>5337</v>
      </c>
      <c r="B1823" s="11" t="s">
        <v>5346</v>
      </c>
      <c r="C1823" s="3" t="s">
        <v>24</v>
      </c>
      <c r="D1823" s="3" t="s">
        <v>27</v>
      </c>
      <c r="E1823" s="3" t="s">
        <v>130</v>
      </c>
      <c r="F1823" s="4" t="s">
        <v>74</v>
      </c>
      <c r="G1823" s="4" t="s">
        <v>2276</v>
      </c>
      <c r="H1823" s="3"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3"/>
      <c r="AD1823" s="3"/>
    </row>
    <row r="1824" spans="1:30" ht="44.5" customHeight="1">
      <c r="A1824" s="11" t="s">
        <v>5337</v>
      </c>
      <c r="B1824" s="11" t="s">
        <v>5347</v>
      </c>
      <c r="C1824" s="3" t="s">
        <v>24</v>
      </c>
      <c r="D1824" s="3" t="s">
        <v>2231</v>
      </c>
      <c r="E1824" s="3" t="s">
        <v>130</v>
      </c>
      <c r="F1824" s="4" t="s">
        <v>74</v>
      </c>
      <c r="G1824" s="4" t="s">
        <v>2276</v>
      </c>
      <c r="H1824" s="3"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3"/>
      <c r="AD1824" s="3"/>
    </row>
    <row r="1825" spans="1:30" ht="44.5" customHeight="1">
      <c r="A1825" s="11" t="s">
        <v>5337</v>
      </c>
      <c r="B1825" s="11" t="s">
        <v>5348</v>
      </c>
      <c r="C1825" s="3" t="s">
        <v>24</v>
      </c>
      <c r="D1825" s="3" t="s">
        <v>2231</v>
      </c>
      <c r="E1825" s="4" t="s">
        <v>396</v>
      </c>
      <c r="F1825" s="4" t="s">
        <v>74</v>
      </c>
      <c r="G1825" s="4" t="s">
        <v>2276</v>
      </c>
      <c r="H1825" s="3"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3"/>
      <c r="AD1825" s="3"/>
    </row>
    <row r="1826" spans="1:30" ht="44.5" customHeight="1">
      <c r="A1826" s="11" t="s">
        <v>5338</v>
      </c>
      <c r="B1826" s="11" t="s">
        <v>5349</v>
      </c>
      <c r="C1826" s="3" t="s">
        <v>24</v>
      </c>
      <c r="D1826" s="3" t="s">
        <v>27</v>
      </c>
      <c r="E1826" s="3" t="s">
        <v>130</v>
      </c>
      <c r="F1826" s="4" t="s">
        <v>74</v>
      </c>
      <c r="G1826" s="4" t="s">
        <v>2276</v>
      </c>
      <c r="H1826" s="3" t="s">
        <v>524</v>
      </c>
      <c r="I1826" s="3"/>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4" t="s">
        <v>2276</v>
      </c>
      <c r="Z1826" s="4" t="s">
        <v>2276</v>
      </c>
      <c r="AA1826" s="4" t="s">
        <v>2276</v>
      </c>
      <c r="AB1826" s="4" t="s">
        <v>2276</v>
      </c>
      <c r="AC1826" s="4" t="s">
        <v>5352</v>
      </c>
      <c r="AD1826" s="3"/>
    </row>
    <row r="1827" spans="1:30" ht="44.5" customHeight="1">
      <c r="A1827" s="11" t="s">
        <v>5338</v>
      </c>
      <c r="B1827" s="11" t="s">
        <v>5350</v>
      </c>
      <c r="C1827" s="3" t="s">
        <v>24</v>
      </c>
      <c r="D1827" s="3" t="s">
        <v>2231</v>
      </c>
      <c r="E1827" s="3" t="s">
        <v>130</v>
      </c>
      <c r="F1827" s="4" t="s">
        <v>74</v>
      </c>
      <c r="G1827" s="4" t="s">
        <v>2276</v>
      </c>
      <c r="H1827" s="3" t="s">
        <v>524</v>
      </c>
      <c r="I1827" s="3"/>
      <c r="J1827" s="3">
        <v>0</v>
      </c>
      <c r="K1827" s="3">
        <v>0</v>
      </c>
      <c r="L1827" s="3">
        <v>0</v>
      </c>
      <c r="M1827" s="3">
        <v>0</v>
      </c>
      <c r="N1827" s="3">
        <v>0</v>
      </c>
      <c r="O1827" s="3">
        <v>0</v>
      </c>
      <c r="P1827" s="3">
        <v>0</v>
      </c>
      <c r="Q1827" s="3">
        <v>0</v>
      </c>
      <c r="R1827" s="3">
        <v>0</v>
      </c>
      <c r="S1827" s="3">
        <v>0</v>
      </c>
      <c r="T1827" s="3">
        <v>0</v>
      </c>
      <c r="U1827" s="3">
        <v>0</v>
      </c>
      <c r="V1827" s="3">
        <v>0</v>
      </c>
      <c r="W1827" s="3">
        <v>0</v>
      </c>
      <c r="X1827" s="3">
        <v>0</v>
      </c>
      <c r="Y1827" s="4" t="s">
        <v>2276</v>
      </c>
      <c r="Z1827" s="4" t="s">
        <v>2276</v>
      </c>
      <c r="AA1827" s="4" t="s">
        <v>2276</v>
      </c>
      <c r="AB1827" s="4" t="s">
        <v>2276</v>
      </c>
      <c r="AC1827" s="4" t="s">
        <v>5352</v>
      </c>
      <c r="AD1827" s="3"/>
    </row>
    <row r="1828" spans="1:30" ht="44.5" customHeight="1">
      <c r="A1828" s="11" t="s">
        <v>5338</v>
      </c>
      <c r="B1828" s="11" t="s">
        <v>5351</v>
      </c>
      <c r="C1828" s="3" t="s">
        <v>24</v>
      </c>
      <c r="D1828" s="3" t="s">
        <v>2231</v>
      </c>
      <c r="E1828" s="4" t="s">
        <v>396</v>
      </c>
      <c r="F1828" s="4" t="s">
        <v>74</v>
      </c>
      <c r="G1828" s="4" t="s">
        <v>2276</v>
      </c>
      <c r="H1828" s="3" t="s">
        <v>524</v>
      </c>
      <c r="I1828" s="3"/>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4" t="s">
        <v>2276</v>
      </c>
      <c r="Z1828" s="4" t="s">
        <v>2276</v>
      </c>
      <c r="AA1828" s="4" t="s">
        <v>2276</v>
      </c>
      <c r="AB1828" s="4" t="s">
        <v>2276</v>
      </c>
      <c r="AC1828" s="4" t="s">
        <v>5352</v>
      </c>
      <c r="AD1828" s="3"/>
    </row>
    <row r="1829" spans="1:30" ht="29" customHeight="1">
      <c r="A1829" s="11" t="s">
        <v>5339</v>
      </c>
      <c r="B1829" s="11" t="s">
        <v>5353</v>
      </c>
      <c r="C1829" s="3" t="s">
        <v>24</v>
      </c>
      <c r="D1829" s="3" t="s">
        <v>27</v>
      </c>
      <c r="E1829" s="3" t="s">
        <v>130</v>
      </c>
      <c r="F1829" s="4" t="s">
        <v>74</v>
      </c>
      <c r="G1829" s="4" t="s">
        <v>2276</v>
      </c>
      <c r="H1829" s="3"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3"/>
      <c r="AD1829" s="3"/>
    </row>
    <row r="1830" spans="1:30" ht="28" customHeight="1">
      <c r="A1830" s="11" t="s">
        <v>5339</v>
      </c>
      <c r="B1830" s="11" t="s">
        <v>5354</v>
      </c>
      <c r="C1830" s="3" t="s">
        <v>24</v>
      </c>
      <c r="D1830" s="3" t="s">
        <v>2231</v>
      </c>
      <c r="E1830" s="3" t="s">
        <v>130</v>
      </c>
      <c r="F1830" s="4" t="s">
        <v>74</v>
      </c>
      <c r="G1830" s="4" t="s">
        <v>2276</v>
      </c>
      <c r="H1830" s="3"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3"/>
      <c r="AD1830" s="3"/>
    </row>
    <row r="1831" spans="1:30" ht="29">
      <c r="A1831" s="11" t="s">
        <v>5339</v>
      </c>
      <c r="B1831" s="11" t="s">
        <v>5355</v>
      </c>
      <c r="C1831" s="3" t="s">
        <v>24</v>
      </c>
      <c r="D1831" s="3" t="s">
        <v>2231</v>
      </c>
      <c r="E1831" s="4" t="s">
        <v>396</v>
      </c>
      <c r="F1831" s="4" t="s">
        <v>74</v>
      </c>
      <c r="G1831" s="4" t="s">
        <v>2276</v>
      </c>
      <c r="H1831" s="3"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3"/>
      <c r="AD1831" s="3"/>
    </row>
    <row r="1832" spans="1:30" ht="30" customHeight="1">
      <c r="A1832" s="11" t="s">
        <v>5361</v>
      </c>
      <c r="B1832" s="11" t="s">
        <v>5365</v>
      </c>
      <c r="C1832" s="3" t="s">
        <v>24</v>
      </c>
      <c r="D1832" s="52" t="s">
        <v>1245</v>
      </c>
      <c r="E1832" s="3" t="s">
        <v>116</v>
      </c>
      <c r="F1832" s="4" t="s">
        <v>2662</v>
      </c>
      <c r="G1832" s="4" t="s">
        <v>2276</v>
      </c>
      <c r="H1832" s="3"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3"/>
      <c r="AD1832" s="3"/>
    </row>
    <row r="1833" spans="1:30" ht="34.5" customHeight="1">
      <c r="A1833" s="11" t="s">
        <v>5361</v>
      </c>
      <c r="B1833" s="11" t="s">
        <v>5366</v>
      </c>
      <c r="C1833" s="3" t="s">
        <v>24</v>
      </c>
      <c r="D1833" s="52" t="s">
        <v>27</v>
      </c>
      <c r="E1833" s="3" t="s">
        <v>130</v>
      </c>
      <c r="F1833" s="4" t="s">
        <v>160</v>
      </c>
      <c r="G1833" s="4" t="s">
        <v>2276</v>
      </c>
      <c r="H1833" s="3"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3"/>
      <c r="AD1833" s="3"/>
    </row>
    <row r="1834" spans="1:30" ht="28" customHeight="1">
      <c r="A1834" s="11" t="s">
        <v>5370</v>
      </c>
      <c r="B1834" s="11" t="s">
        <v>5374</v>
      </c>
      <c r="C1834" s="3" t="s">
        <v>24</v>
      </c>
      <c r="D1834" s="3" t="s">
        <v>1242</v>
      </c>
      <c r="E1834" s="3" t="s">
        <v>116</v>
      </c>
      <c r="F1834" s="4" t="s">
        <v>74</v>
      </c>
      <c r="G1834" s="4" t="s">
        <v>2276</v>
      </c>
      <c r="H1834" s="3"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3"/>
      <c r="AD1834" s="3"/>
    </row>
    <row r="1835" spans="1:30" ht="30" customHeight="1">
      <c r="A1835" s="11" t="s">
        <v>5370</v>
      </c>
      <c r="B1835" s="11" t="s">
        <v>5375</v>
      </c>
      <c r="C1835" s="3" t="s">
        <v>24</v>
      </c>
      <c r="D1835" s="3" t="s">
        <v>25</v>
      </c>
      <c r="E1835" s="3" t="s">
        <v>45</v>
      </c>
      <c r="F1835" s="4" t="s">
        <v>55</v>
      </c>
      <c r="G1835" s="4" t="s">
        <v>2276</v>
      </c>
      <c r="H1835" s="3"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5377</v>
      </c>
      <c r="AD1835" s="3"/>
    </row>
    <row r="1836" spans="1:30" ht="28" customHeight="1">
      <c r="A1836" s="11" t="s">
        <v>5370</v>
      </c>
      <c r="B1836" s="11" t="s">
        <v>5376</v>
      </c>
      <c r="C1836" s="3" t="s">
        <v>24</v>
      </c>
      <c r="D1836" s="3" t="s">
        <v>3480</v>
      </c>
      <c r="E1836" s="3" t="s">
        <v>116</v>
      </c>
      <c r="F1836" s="4" t="s">
        <v>74</v>
      </c>
      <c r="G1836" s="4" t="s">
        <v>2276</v>
      </c>
      <c r="H1836" s="3" t="s">
        <v>523</v>
      </c>
      <c r="I1836" s="3"/>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3" t="s">
        <v>189</v>
      </c>
      <c r="AA1836" s="3" t="s">
        <v>405</v>
      </c>
      <c r="AB1836" s="3" t="s">
        <v>2655</v>
      </c>
      <c r="AC1836" s="3"/>
      <c r="AD1836" s="3"/>
    </row>
    <row r="1837" spans="1:30" ht="51.5" customHeight="1">
      <c r="A1837" s="11" t="s">
        <v>5385</v>
      </c>
      <c r="B1837" s="11" t="s">
        <v>5388</v>
      </c>
      <c r="C1837" s="3" t="s">
        <v>24</v>
      </c>
      <c r="D1837" s="3" t="s">
        <v>1242</v>
      </c>
      <c r="E1837" s="3" t="s">
        <v>137</v>
      </c>
      <c r="F1837" s="4" t="s">
        <v>2662</v>
      </c>
      <c r="G1837" s="4" t="s">
        <v>2276</v>
      </c>
      <c r="H1837" s="3" t="s">
        <v>523</v>
      </c>
      <c r="I1837" s="3"/>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3" t="s">
        <v>405</v>
      </c>
      <c r="AA1837" s="3" t="s">
        <v>68</v>
      </c>
      <c r="AB1837" s="4" t="s">
        <v>2276</v>
      </c>
      <c r="AC1837" s="4" t="s">
        <v>5396</v>
      </c>
      <c r="AD1837" s="4" t="s">
        <v>5392</v>
      </c>
    </row>
    <row r="1838" spans="1:30" ht="50.5" customHeight="1">
      <c r="A1838" s="11" t="s">
        <v>5385</v>
      </c>
      <c r="B1838" s="11" t="s">
        <v>5389</v>
      </c>
      <c r="C1838" s="3" t="s">
        <v>24</v>
      </c>
      <c r="D1838" s="3" t="s">
        <v>1242</v>
      </c>
      <c r="E1838" s="3" t="s">
        <v>116</v>
      </c>
      <c r="F1838" s="4" t="s">
        <v>2662</v>
      </c>
      <c r="G1838" s="4" t="s">
        <v>2276</v>
      </c>
      <c r="H1838" s="3" t="s">
        <v>523</v>
      </c>
      <c r="I1838" s="3"/>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3" t="s">
        <v>405</v>
      </c>
      <c r="AA1838" s="3" t="s">
        <v>68</v>
      </c>
      <c r="AB1838" s="3" t="s">
        <v>2655</v>
      </c>
      <c r="AC1838" s="4" t="s">
        <v>5397</v>
      </c>
      <c r="AD1838" s="4" t="s">
        <v>5391</v>
      </c>
    </row>
    <row r="1839" spans="1:30" ht="59" customHeight="1">
      <c r="A1839" s="11" t="s">
        <v>5385</v>
      </c>
      <c r="B1839" s="11" t="s">
        <v>5390</v>
      </c>
      <c r="C1839" s="3" t="s">
        <v>2458</v>
      </c>
      <c r="D1839" s="3" t="s">
        <v>1242</v>
      </c>
      <c r="E1839" s="3" t="s">
        <v>137</v>
      </c>
      <c r="F1839" s="4" t="s">
        <v>2662</v>
      </c>
      <c r="G1839" s="4" t="s">
        <v>2276</v>
      </c>
      <c r="H1839" s="3" t="s">
        <v>523</v>
      </c>
      <c r="I1839" s="3"/>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3" t="s">
        <v>405</v>
      </c>
      <c r="AA1839" s="3" t="s">
        <v>68</v>
      </c>
      <c r="AB1839" s="4" t="s">
        <v>2276</v>
      </c>
      <c r="AC1839" s="4"/>
      <c r="AD1839" s="3"/>
    </row>
    <row r="1840" spans="1:30" ht="37" customHeight="1">
      <c r="A1840" s="11" t="s">
        <v>5403</v>
      </c>
      <c r="B1840" s="11" t="s">
        <v>5407</v>
      </c>
      <c r="C1840" s="3" t="s">
        <v>24</v>
      </c>
      <c r="D1840" s="3" t="s">
        <v>1242</v>
      </c>
      <c r="E1840" s="3" t="s">
        <v>116</v>
      </c>
      <c r="F1840" s="4" t="s">
        <v>2662</v>
      </c>
      <c r="G1840" s="4" t="s">
        <v>2276</v>
      </c>
      <c r="H1840" s="3" t="s">
        <v>523</v>
      </c>
      <c r="I1840" s="3"/>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3" t="s">
        <v>38</v>
      </c>
      <c r="AA1840" s="3" t="s">
        <v>68</v>
      </c>
      <c r="AB1840" s="4" t="s">
        <v>2276</v>
      </c>
      <c r="AC1840" s="3"/>
      <c r="AD1840" s="3"/>
    </row>
    <row r="1841" spans="1:30" ht="29">
      <c r="A1841" s="11" t="s">
        <v>5403</v>
      </c>
      <c r="B1841" s="11" t="s">
        <v>5408</v>
      </c>
      <c r="C1841" s="3" t="s">
        <v>24</v>
      </c>
      <c r="D1841" s="3" t="s">
        <v>1245</v>
      </c>
      <c r="E1841" s="3" t="s">
        <v>116</v>
      </c>
      <c r="F1841" s="4" t="s">
        <v>2662</v>
      </c>
      <c r="G1841" s="4" t="s">
        <v>2276</v>
      </c>
      <c r="H1841" s="3" t="s">
        <v>523</v>
      </c>
      <c r="I1841" s="3"/>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3" t="s">
        <v>38</v>
      </c>
      <c r="AA1841" s="3" t="s">
        <v>68</v>
      </c>
      <c r="AB1841" s="4" t="s">
        <v>2276</v>
      </c>
      <c r="AC1841" s="3"/>
      <c r="AD1841" s="3"/>
    </row>
    <row r="1842" spans="1:30" ht="29">
      <c r="A1842" s="11" t="s">
        <v>5403</v>
      </c>
      <c r="B1842" s="11" t="s">
        <v>5409</v>
      </c>
      <c r="C1842" s="3" t="s">
        <v>24</v>
      </c>
      <c r="D1842" s="3" t="s">
        <v>2276</v>
      </c>
      <c r="E1842" s="3" t="s">
        <v>116</v>
      </c>
      <c r="F1842" s="4" t="s">
        <v>2662</v>
      </c>
      <c r="G1842" s="4" t="s">
        <v>2276</v>
      </c>
      <c r="H1842" s="3" t="s">
        <v>523</v>
      </c>
      <c r="I1842" s="3"/>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3" t="s">
        <v>38</v>
      </c>
      <c r="AA1842" s="3" t="s">
        <v>68</v>
      </c>
      <c r="AB1842" s="4" t="s">
        <v>2276</v>
      </c>
      <c r="AC1842" s="3"/>
      <c r="AD1842" s="3"/>
    </row>
    <row r="1843" spans="1:30" ht="37" customHeight="1">
      <c r="A1843" s="11" t="s">
        <v>5403</v>
      </c>
      <c r="B1843" s="11" t="s">
        <v>5410</v>
      </c>
      <c r="C1843" s="3" t="s">
        <v>24</v>
      </c>
      <c r="D1843" s="3" t="s">
        <v>25</v>
      </c>
      <c r="E1843" s="3" t="s">
        <v>2647</v>
      </c>
      <c r="F1843" s="4" t="s">
        <v>29</v>
      </c>
      <c r="G1843" s="4" t="s">
        <v>2276</v>
      </c>
      <c r="H1843" s="3" t="s">
        <v>523</v>
      </c>
      <c r="I1843" s="3"/>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3" t="s">
        <v>38</v>
      </c>
      <c r="AA1843" s="3" t="s">
        <v>68</v>
      </c>
      <c r="AB1843" s="4" t="s">
        <v>2276</v>
      </c>
      <c r="AC1843" s="3"/>
      <c r="AD1843" s="3"/>
    </row>
    <row r="1844" spans="1:30" ht="37" customHeight="1">
      <c r="A1844" s="11" t="s">
        <v>5403</v>
      </c>
      <c r="B1844" s="11" t="s">
        <v>5411</v>
      </c>
      <c r="C1844" s="3" t="s">
        <v>24</v>
      </c>
      <c r="D1844" s="3" t="s">
        <v>1242</v>
      </c>
      <c r="E1844" s="3" t="s">
        <v>2647</v>
      </c>
      <c r="F1844" s="4" t="s">
        <v>29</v>
      </c>
      <c r="G1844" s="4" t="s">
        <v>2276</v>
      </c>
      <c r="H1844" s="3" t="s">
        <v>523</v>
      </c>
      <c r="I1844" s="3"/>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3" t="s">
        <v>38</v>
      </c>
      <c r="AA1844" s="3" t="s">
        <v>68</v>
      </c>
      <c r="AB1844" s="4" t="s">
        <v>2276</v>
      </c>
      <c r="AC1844" s="3"/>
      <c r="AD1844" s="3"/>
    </row>
    <row r="1845" spans="1:30" ht="28" customHeight="1">
      <c r="A1845" s="11" t="s">
        <v>5414</v>
      </c>
      <c r="B1845" s="11" t="s">
        <v>5416</v>
      </c>
      <c r="C1845" s="3" t="s">
        <v>24</v>
      </c>
      <c r="D1845" s="3" t="s">
        <v>1242</v>
      </c>
      <c r="E1845" s="3" t="s">
        <v>137</v>
      </c>
      <c r="F1845" s="4" t="s">
        <v>74</v>
      </c>
      <c r="G1845" s="4" t="s">
        <v>2276</v>
      </c>
      <c r="H1845" s="3" t="s">
        <v>523</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3"/>
      <c r="AD1845" s="3"/>
    </row>
    <row r="1846" spans="1:30" ht="32" customHeight="1">
      <c r="A1846" s="11" t="s">
        <v>5414</v>
      </c>
      <c r="B1846" s="11" t="s">
        <v>5417</v>
      </c>
      <c r="C1846" s="3" t="s">
        <v>24</v>
      </c>
      <c r="D1846" s="3" t="s">
        <v>3480</v>
      </c>
      <c r="E1846" s="3" t="s">
        <v>116</v>
      </c>
      <c r="F1846" s="4" t="s">
        <v>55</v>
      </c>
      <c r="G1846" s="4" t="s">
        <v>2276</v>
      </c>
      <c r="H1846" s="3" t="s">
        <v>523</v>
      </c>
      <c r="I1846" s="3"/>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5418</v>
      </c>
      <c r="AD1846" s="3"/>
    </row>
    <row r="1847" spans="1:30" ht="37" customHeight="1">
      <c r="A1847" s="11" t="s">
        <v>5421</v>
      </c>
      <c r="B1847" s="11" t="s">
        <v>5423</v>
      </c>
      <c r="C1847" s="3" t="s">
        <v>24</v>
      </c>
      <c r="D1847" s="3" t="s">
        <v>1242</v>
      </c>
      <c r="E1847" s="3" t="s">
        <v>137</v>
      </c>
      <c r="F1847" s="4" t="s">
        <v>2662</v>
      </c>
      <c r="G1847" s="4" t="s">
        <v>2276</v>
      </c>
      <c r="H1847" s="3" t="s">
        <v>523</v>
      </c>
      <c r="I1847" s="3"/>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3" t="s">
        <v>38</v>
      </c>
      <c r="AA1847" s="3" t="s">
        <v>404</v>
      </c>
      <c r="AB1847" s="3" t="s">
        <v>2655</v>
      </c>
      <c r="AC1847" s="3"/>
      <c r="AD1847" s="3"/>
    </row>
    <row r="1848" spans="1:30" ht="35.5" customHeight="1">
      <c r="A1848" s="11" t="s">
        <v>5421</v>
      </c>
      <c r="B1848" s="11" t="s">
        <v>5424</v>
      </c>
      <c r="C1848" s="3" t="s">
        <v>24</v>
      </c>
      <c r="D1848" s="3" t="s">
        <v>1242</v>
      </c>
      <c r="E1848" s="3" t="s">
        <v>116</v>
      </c>
      <c r="F1848" s="4" t="s">
        <v>2662</v>
      </c>
      <c r="G1848" s="4" t="s">
        <v>2276</v>
      </c>
      <c r="H1848" s="3" t="s">
        <v>523</v>
      </c>
      <c r="I1848" s="3"/>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3" t="s">
        <v>38</v>
      </c>
      <c r="AA1848" s="3" t="s">
        <v>404</v>
      </c>
      <c r="AB1848" s="3" t="s">
        <v>2655</v>
      </c>
      <c r="AC1848" s="3"/>
      <c r="AD1848" s="3"/>
    </row>
    <row r="1849" spans="1:30" ht="45.5" customHeight="1">
      <c r="A1849" s="11" t="s">
        <v>5427</v>
      </c>
      <c r="B1849" s="11" t="s">
        <v>5430</v>
      </c>
      <c r="C1849" s="3" t="s">
        <v>24</v>
      </c>
      <c r="D1849" s="3" t="s">
        <v>1242</v>
      </c>
      <c r="E1849" s="3" t="s">
        <v>137</v>
      </c>
      <c r="F1849" s="4" t="s">
        <v>74</v>
      </c>
      <c r="G1849" s="4" t="s">
        <v>2276</v>
      </c>
      <c r="H1849" s="3" t="s">
        <v>524</v>
      </c>
      <c r="I1849" s="3">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5435</v>
      </c>
      <c r="AD1849" s="3"/>
    </row>
    <row r="1850" spans="1:30" ht="45.5" customHeight="1">
      <c r="A1850" s="11" t="s">
        <v>5427</v>
      </c>
      <c r="B1850" s="11" t="s">
        <v>5431</v>
      </c>
      <c r="C1850" s="3" t="s">
        <v>24</v>
      </c>
      <c r="D1850" s="3" t="s">
        <v>1242</v>
      </c>
      <c r="E1850" s="3" t="s">
        <v>116</v>
      </c>
      <c r="F1850" s="4" t="s">
        <v>74</v>
      </c>
      <c r="G1850" s="4" t="s">
        <v>2276</v>
      </c>
      <c r="H1850" s="3" t="s">
        <v>524</v>
      </c>
      <c r="I1850" s="3">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5435</v>
      </c>
      <c r="AD1850" s="3"/>
    </row>
    <row r="1851" spans="1:30" ht="45.5" customHeight="1">
      <c r="A1851" s="11" t="s">
        <v>5427</v>
      </c>
      <c r="B1851" s="11" t="s">
        <v>5432</v>
      </c>
      <c r="C1851" s="3" t="s">
        <v>2656</v>
      </c>
      <c r="D1851" s="3" t="s">
        <v>2276</v>
      </c>
      <c r="E1851" s="3" t="s">
        <v>2276</v>
      </c>
      <c r="F1851" s="4" t="s">
        <v>2276</v>
      </c>
      <c r="G1851" s="3" t="s">
        <v>74</v>
      </c>
      <c r="H1851" s="3" t="s">
        <v>523</v>
      </c>
      <c r="I1851" s="3">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3" t="s">
        <v>405</v>
      </c>
      <c r="AA1851" s="4" t="s">
        <v>2276</v>
      </c>
      <c r="AB1851" s="4" t="s">
        <v>2276</v>
      </c>
      <c r="AC1851" s="4" t="s">
        <v>5436</v>
      </c>
      <c r="AD1851" s="3"/>
    </row>
    <row r="1852" spans="1:30" ht="45.5" customHeight="1">
      <c r="A1852" s="45" t="s">
        <v>5427</v>
      </c>
      <c r="B1852" s="45" t="s">
        <v>5433</v>
      </c>
      <c r="C1852" s="3" t="s">
        <v>24</v>
      </c>
      <c r="D1852" s="3" t="s">
        <v>1242</v>
      </c>
      <c r="E1852" s="3" t="s">
        <v>137</v>
      </c>
      <c r="F1852" s="4" t="s">
        <v>74</v>
      </c>
      <c r="G1852" s="4" t="s">
        <v>2276</v>
      </c>
      <c r="H1852" s="3"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5435</v>
      </c>
      <c r="AD1852" s="3"/>
    </row>
    <row r="1853" spans="1:30" ht="45.5" customHeight="1">
      <c r="A1853" s="11" t="s">
        <v>5427</v>
      </c>
      <c r="B1853" s="11" t="s">
        <v>5434</v>
      </c>
      <c r="C1853" s="3" t="s">
        <v>24</v>
      </c>
      <c r="D1853" s="3" t="s">
        <v>1242</v>
      </c>
      <c r="E1853" s="3" t="s">
        <v>116</v>
      </c>
      <c r="F1853" s="4" t="s">
        <v>74</v>
      </c>
      <c r="G1853" s="4" t="s">
        <v>2276</v>
      </c>
      <c r="H1853" s="3"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5435</v>
      </c>
      <c r="AD1853" s="3"/>
    </row>
    <row r="1854" spans="1:30" ht="47" customHeight="1">
      <c r="A1854" s="11" t="s">
        <v>5440</v>
      </c>
      <c r="B1854" s="11" t="s">
        <v>5456</v>
      </c>
      <c r="C1854" s="3" t="s">
        <v>24</v>
      </c>
      <c r="D1854" s="3" t="s">
        <v>27</v>
      </c>
      <c r="E1854" s="3" t="s">
        <v>130</v>
      </c>
      <c r="F1854" s="4" t="s">
        <v>160</v>
      </c>
      <c r="G1854" s="4" t="s">
        <v>2276</v>
      </c>
      <c r="H1854" s="3" t="s">
        <v>523</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3" t="s">
        <v>86</v>
      </c>
      <c r="AA1854" s="3" t="s">
        <v>86</v>
      </c>
      <c r="AB1854" s="4" t="s">
        <v>2276</v>
      </c>
      <c r="AC1854" s="3"/>
      <c r="AD1854" s="19"/>
    </row>
    <row r="1855" spans="1:30" ht="40" customHeight="1">
      <c r="A1855" s="11" t="s">
        <v>5440</v>
      </c>
      <c r="B1855" s="11" t="s">
        <v>5457</v>
      </c>
      <c r="C1855" s="3" t="s">
        <v>24</v>
      </c>
      <c r="D1855" s="3" t="s">
        <v>27</v>
      </c>
      <c r="E1855" s="3" t="s">
        <v>130</v>
      </c>
      <c r="F1855" s="4" t="s">
        <v>28</v>
      </c>
      <c r="G1855" s="4" t="s">
        <v>2276</v>
      </c>
      <c r="H1855" s="3" t="s">
        <v>523</v>
      </c>
      <c r="I1855" s="3"/>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3" t="s">
        <v>86</v>
      </c>
      <c r="AA1855" s="3" t="s">
        <v>86</v>
      </c>
      <c r="AB1855" s="4" t="s">
        <v>2276</v>
      </c>
      <c r="AC1855" s="3"/>
      <c r="AD1855" s="3"/>
    </row>
    <row r="1856" spans="1:30" ht="40" customHeight="1">
      <c r="A1856" s="11" t="s">
        <v>5440</v>
      </c>
      <c r="B1856" s="11" t="s">
        <v>5458</v>
      </c>
      <c r="C1856" s="3" t="s">
        <v>24</v>
      </c>
      <c r="D1856" s="3" t="s">
        <v>2659</v>
      </c>
      <c r="E1856" s="3" t="s">
        <v>130</v>
      </c>
      <c r="F1856" s="4" t="s">
        <v>28</v>
      </c>
      <c r="G1856" s="4" t="s">
        <v>2276</v>
      </c>
      <c r="H1856" s="3" t="s">
        <v>523</v>
      </c>
      <c r="I1856" s="3"/>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3" t="s">
        <v>35</v>
      </c>
      <c r="AA1856" s="3" t="s">
        <v>127</v>
      </c>
      <c r="AB1856" s="3" t="s">
        <v>2655</v>
      </c>
      <c r="AC1856" s="3" t="s">
        <v>5460</v>
      </c>
      <c r="AD1856" s="3"/>
    </row>
    <row r="1857" spans="1:30" ht="38.5" customHeight="1">
      <c r="A1857" s="11" t="s">
        <v>5440</v>
      </c>
      <c r="B1857" s="11" t="s">
        <v>5461</v>
      </c>
      <c r="C1857" s="3" t="s">
        <v>24</v>
      </c>
      <c r="D1857" s="3" t="s">
        <v>27</v>
      </c>
      <c r="E1857" s="4" t="s">
        <v>397</v>
      </c>
      <c r="F1857" s="4" t="s">
        <v>28</v>
      </c>
      <c r="G1857" s="4" t="s">
        <v>2276</v>
      </c>
      <c r="H1857" s="3" t="s">
        <v>523</v>
      </c>
      <c r="I1857" s="3"/>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3" t="s">
        <v>189</v>
      </c>
      <c r="AA1857" s="3" t="s">
        <v>86</v>
      </c>
      <c r="AB1857" s="3" t="s">
        <v>64</v>
      </c>
      <c r="AC1857" s="19" t="s">
        <v>5459</v>
      </c>
      <c r="AD1857" s="3"/>
    </row>
    <row r="1858" spans="1:30" ht="35.5" customHeight="1">
      <c r="A1858" s="11" t="s">
        <v>5440</v>
      </c>
      <c r="B1858" s="11" t="s">
        <v>5462</v>
      </c>
      <c r="C1858" s="3" t="s">
        <v>24</v>
      </c>
      <c r="D1858" s="3" t="s">
        <v>25</v>
      </c>
      <c r="E1858" s="3" t="s">
        <v>5005</v>
      </c>
      <c r="F1858" s="4" t="s">
        <v>2662</v>
      </c>
      <c r="G1858" s="4" t="s">
        <v>2276</v>
      </c>
      <c r="H1858" s="3" t="s">
        <v>523</v>
      </c>
      <c r="I1858" s="3"/>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3" t="s">
        <v>38</v>
      </c>
      <c r="AA1858" s="3" t="s">
        <v>86</v>
      </c>
      <c r="AB1858" s="4" t="s">
        <v>2276</v>
      </c>
      <c r="AC1858" s="3" t="s">
        <v>5460</v>
      </c>
      <c r="AD1858" s="3"/>
    </row>
    <row r="1859" spans="1:30" ht="37" customHeight="1">
      <c r="A1859" s="11" t="s">
        <v>5440</v>
      </c>
      <c r="B1859" s="11" t="s">
        <v>5464</v>
      </c>
      <c r="C1859" s="3" t="s">
        <v>24</v>
      </c>
      <c r="D1859" s="3" t="s">
        <v>2341</v>
      </c>
      <c r="E1859" s="3" t="s">
        <v>116</v>
      </c>
      <c r="F1859" s="4" t="s">
        <v>2662</v>
      </c>
      <c r="G1859" s="4" t="s">
        <v>2276</v>
      </c>
      <c r="H1859" s="3" t="s">
        <v>523</v>
      </c>
      <c r="I1859" s="3"/>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3" t="s">
        <v>2276</v>
      </c>
      <c r="AA1859" s="3" t="s">
        <v>2276</v>
      </c>
      <c r="AB1859" s="3" t="s">
        <v>2276</v>
      </c>
      <c r="AC1859" s="3"/>
      <c r="AD1859" s="3"/>
    </row>
    <row r="1860" spans="1:30" ht="37" customHeight="1">
      <c r="A1860" s="11" t="s">
        <v>5440</v>
      </c>
      <c r="B1860" s="11" t="s">
        <v>5465</v>
      </c>
      <c r="C1860" s="3" t="s">
        <v>24</v>
      </c>
      <c r="D1860" s="3" t="s">
        <v>1245</v>
      </c>
      <c r="E1860" s="3" t="s">
        <v>116</v>
      </c>
      <c r="F1860" s="4" t="s">
        <v>2662</v>
      </c>
      <c r="G1860" s="4" t="s">
        <v>2276</v>
      </c>
      <c r="H1860" s="3" t="s">
        <v>523</v>
      </c>
      <c r="I1860" s="3"/>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3" t="s">
        <v>2276</v>
      </c>
      <c r="AA1860" s="3" t="s">
        <v>2276</v>
      </c>
      <c r="AB1860" s="4" t="s">
        <v>2276</v>
      </c>
      <c r="AC1860" s="3"/>
      <c r="AD1860" s="3"/>
    </row>
    <row r="1861" spans="1:30" ht="32.5" customHeight="1">
      <c r="A1861" s="11" t="s">
        <v>5440</v>
      </c>
      <c r="B1861" s="11" t="s">
        <v>5466</v>
      </c>
      <c r="C1861" s="3" t="s">
        <v>24</v>
      </c>
      <c r="D1861" s="3" t="s">
        <v>3480</v>
      </c>
      <c r="E1861" s="3" t="s">
        <v>116</v>
      </c>
      <c r="F1861" s="4" t="s">
        <v>2662</v>
      </c>
      <c r="G1861" s="4" t="s">
        <v>2276</v>
      </c>
      <c r="H1861" s="3" t="s">
        <v>523</v>
      </c>
      <c r="I1861" s="3"/>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3" t="s">
        <v>2276</v>
      </c>
      <c r="AA1861" s="3" t="s">
        <v>2276</v>
      </c>
      <c r="AB1861" s="3" t="s">
        <v>2276</v>
      </c>
      <c r="AC1861" s="3"/>
      <c r="AD1861" s="3"/>
    </row>
    <row r="1862" spans="1:30" ht="32.5" customHeight="1">
      <c r="A1862" s="11" t="s">
        <v>5440</v>
      </c>
      <c r="B1862" s="11" t="s">
        <v>5467</v>
      </c>
      <c r="C1862" s="3" t="s">
        <v>24</v>
      </c>
      <c r="D1862" s="3" t="s">
        <v>26</v>
      </c>
      <c r="E1862" s="3" t="s">
        <v>5005</v>
      </c>
      <c r="F1862" s="4" t="s">
        <v>2662</v>
      </c>
      <c r="G1862" s="4" t="s">
        <v>2276</v>
      </c>
      <c r="H1862" s="3" t="s">
        <v>523</v>
      </c>
      <c r="I1862" s="3"/>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3"/>
      <c r="AD1862" s="3"/>
    </row>
    <row r="1863" spans="1:30" ht="30" customHeight="1">
      <c r="A1863" s="11" t="s">
        <v>5440</v>
      </c>
      <c r="B1863" s="11" t="s">
        <v>5468</v>
      </c>
      <c r="C1863" s="3" t="s">
        <v>2458</v>
      </c>
      <c r="D1863" s="3" t="s">
        <v>27</v>
      </c>
      <c r="E1863" s="3" t="s">
        <v>130</v>
      </c>
      <c r="F1863" s="4" t="s">
        <v>160</v>
      </c>
      <c r="G1863" s="4" t="s">
        <v>2276</v>
      </c>
      <c r="H1863" s="3" t="s">
        <v>523</v>
      </c>
      <c r="I1863" s="3"/>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3" t="s">
        <v>86</v>
      </c>
      <c r="AA1863" s="3" t="s">
        <v>86</v>
      </c>
      <c r="AB1863" s="4" t="s">
        <v>2276</v>
      </c>
      <c r="AC1863" s="3"/>
      <c r="AD1863" s="3"/>
    </row>
    <row r="1864" spans="1:30" ht="30" customHeight="1">
      <c r="A1864" s="11" t="s">
        <v>5440</v>
      </c>
      <c r="B1864" s="11" t="s">
        <v>5469</v>
      </c>
      <c r="C1864" s="3" t="s">
        <v>2458</v>
      </c>
      <c r="D1864" s="3" t="s">
        <v>27</v>
      </c>
      <c r="E1864" s="3" t="s">
        <v>130</v>
      </c>
      <c r="F1864" s="4" t="s">
        <v>28</v>
      </c>
      <c r="G1864" s="4" t="s">
        <v>2276</v>
      </c>
      <c r="H1864" s="3" t="s">
        <v>523</v>
      </c>
      <c r="I1864" s="3"/>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3" t="s">
        <v>86</v>
      </c>
      <c r="AA1864" s="3" t="s">
        <v>86</v>
      </c>
      <c r="AB1864" s="4" t="s">
        <v>2276</v>
      </c>
      <c r="AC1864" s="3"/>
      <c r="AD1864" s="3"/>
    </row>
    <row r="1865" spans="1:30" ht="30" customHeight="1">
      <c r="A1865" s="11" t="s">
        <v>5440</v>
      </c>
      <c r="B1865" s="11" t="s">
        <v>5470</v>
      </c>
      <c r="C1865" s="3" t="s">
        <v>2458</v>
      </c>
      <c r="D1865" s="3" t="s">
        <v>2659</v>
      </c>
      <c r="E1865" s="3" t="s">
        <v>130</v>
      </c>
      <c r="F1865" s="4" t="s">
        <v>28</v>
      </c>
      <c r="G1865" s="4" t="s">
        <v>2276</v>
      </c>
      <c r="H1865" s="3" t="s">
        <v>523</v>
      </c>
      <c r="I1865" s="3"/>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3" t="s">
        <v>35</v>
      </c>
      <c r="AA1865" s="3" t="s">
        <v>127</v>
      </c>
      <c r="AB1865" s="3" t="s">
        <v>2655</v>
      </c>
      <c r="AC1865" s="3" t="s">
        <v>5460</v>
      </c>
      <c r="AD1865" s="3"/>
    </row>
    <row r="1866" spans="1:30" ht="41" customHeight="1">
      <c r="A1866" s="11" t="s">
        <v>5440</v>
      </c>
      <c r="B1866" s="11" t="s">
        <v>5471</v>
      </c>
      <c r="C1866" s="3" t="s">
        <v>2458</v>
      </c>
      <c r="D1866" s="3" t="s">
        <v>2659</v>
      </c>
      <c r="E1866" s="3" t="s">
        <v>130</v>
      </c>
      <c r="F1866" s="4" t="s">
        <v>2662</v>
      </c>
      <c r="G1866" s="4" t="s">
        <v>2276</v>
      </c>
      <c r="H1866" s="3" t="s">
        <v>523</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3"/>
      <c r="AD1866" s="3"/>
    </row>
    <row r="1867" spans="1:30" ht="36.5" customHeight="1">
      <c r="A1867" s="11" t="s">
        <v>5440</v>
      </c>
      <c r="B1867" s="11" t="s">
        <v>5472</v>
      </c>
      <c r="C1867" s="3" t="s">
        <v>24</v>
      </c>
      <c r="D1867" s="3" t="s">
        <v>2231</v>
      </c>
      <c r="E1867" s="4" t="s">
        <v>396</v>
      </c>
      <c r="F1867" s="4" t="s">
        <v>28</v>
      </c>
      <c r="G1867" s="4" t="s">
        <v>2276</v>
      </c>
      <c r="H1867" s="3" t="s">
        <v>523</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3" t="s">
        <v>5475</v>
      </c>
      <c r="AD1867" s="3"/>
    </row>
    <row r="1868" spans="1:30" ht="29" customHeight="1">
      <c r="A1868" s="11" t="s">
        <v>5440</v>
      </c>
      <c r="B1868" s="11" t="s">
        <v>5473</v>
      </c>
      <c r="C1868" s="3" t="s">
        <v>24</v>
      </c>
      <c r="D1868" s="3" t="s">
        <v>1131</v>
      </c>
      <c r="E1868" s="4" t="s">
        <v>396</v>
      </c>
      <c r="F1868" s="4" t="s">
        <v>28</v>
      </c>
      <c r="G1868" s="4" t="s">
        <v>2276</v>
      </c>
      <c r="H1868" s="3" t="s">
        <v>523</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3" t="s">
        <v>189</v>
      </c>
      <c r="AA1868" s="3" t="s">
        <v>38</v>
      </c>
      <c r="AB1868" s="4" t="s">
        <v>2276</v>
      </c>
      <c r="AC1868" s="3" t="s">
        <v>5474</v>
      </c>
      <c r="AD1868" s="3"/>
    </row>
    <row r="1869" spans="1:30" ht="30" customHeight="1">
      <c r="A1869" s="11" t="s">
        <v>5440</v>
      </c>
      <c r="B1869" s="11" t="s">
        <v>5480</v>
      </c>
      <c r="C1869" s="3" t="s">
        <v>24</v>
      </c>
      <c r="D1869" s="3" t="s">
        <v>2346</v>
      </c>
      <c r="E1869" s="3" t="s">
        <v>130</v>
      </c>
      <c r="F1869" s="4" t="s">
        <v>28</v>
      </c>
      <c r="G1869" s="4" t="s">
        <v>2276</v>
      </c>
      <c r="H1869" s="3" t="s">
        <v>523</v>
      </c>
      <c r="I1869" s="3"/>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3"/>
      <c r="AD1869" s="3"/>
    </row>
    <row r="1870" spans="1:30" ht="35.5" customHeight="1">
      <c r="A1870" s="11" t="s">
        <v>5440</v>
      </c>
      <c r="B1870" s="11" t="s">
        <v>5481</v>
      </c>
      <c r="C1870" s="3" t="s">
        <v>24</v>
      </c>
      <c r="D1870" s="3" t="s">
        <v>1245</v>
      </c>
      <c r="E1870" s="3" t="s">
        <v>2652</v>
      </c>
      <c r="F1870" s="4" t="s">
        <v>2662</v>
      </c>
      <c r="G1870" s="4" t="s">
        <v>2276</v>
      </c>
      <c r="H1870" s="3" t="s">
        <v>523</v>
      </c>
      <c r="I1870" s="3"/>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3"/>
      <c r="AD1870" s="3"/>
    </row>
    <row r="1871" spans="1:30" ht="35.5" customHeight="1">
      <c r="A1871" s="11" t="s">
        <v>5440</v>
      </c>
      <c r="B1871" s="11" t="s">
        <v>5482</v>
      </c>
      <c r="C1871" s="3" t="s">
        <v>24</v>
      </c>
      <c r="D1871" s="3" t="s">
        <v>2341</v>
      </c>
      <c r="E1871" s="3" t="s">
        <v>2652</v>
      </c>
      <c r="F1871" s="4" t="s">
        <v>2662</v>
      </c>
      <c r="G1871" s="4" t="s">
        <v>2276</v>
      </c>
      <c r="H1871" s="3" t="s">
        <v>523</v>
      </c>
      <c r="I1871" s="3"/>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3"/>
      <c r="AD1871" s="3"/>
    </row>
    <row r="1872" spans="1:30" ht="46" customHeight="1">
      <c r="A1872" s="11" t="s">
        <v>5440</v>
      </c>
      <c r="B1872" s="11" t="s">
        <v>5503</v>
      </c>
      <c r="C1872" s="3" t="s">
        <v>24</v>
      </c>
      <c r="D1872" s="3" t="s">
        <v>4162</v>
      </c>
      <c r="E1872" s="3" t="s">
        <v>2649</v>
      </c>
      <c r="F1872" s="4" t="s">
        <v>74</v>
      </c>
      <c r="G1872" s="4" t="s">
        <v>2276</v>
      </c>
      <c r="H1872" s="3" t="s">
        <v>523</v>
      </c>
      <c r="I1872" s="3"/>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3"/>
      <c r="AD1872" s="3"/>
    </row>
    <row r="1873" spans="1:30" ht="34.5" customHeight="1">
      <c r="A1873" s="11" t="s">
        <v>5443</v>
      </c>
      <c r="B1873" s="11" t="s">
        <v>5483</v>
      </c>
      <c r="C1873" s="3" t="s">
        <v>24</v>
      </c>
      <c r="D1873" s="3" t="s">
        <v>27</v>
      </c>
      <c r="E1873" s="3" t="s">
        <v>130</v>
      </c>
      <c r="F1873" s="4" t="s">
        <v>160</v>
      </c>
      <c r="G1873" s="4" t="s">
        <v>2276</v>
      </c>
      <c r="H1873" s="3" t="s">
        <v>523</v>
      </c>
      <c r="I1873" s="3"/>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3" t="s">
        <v>86</v>
      </c>
      <c r="AA1873" s="3" t="s">
        <v>86</v>
      </c>
      <c r="AB1873" s="4" t="s">
        <v>2276</v>
      </c>
      <c r="AC1873" s="3"/>
      <c r="AD1873" s="3"/>
    </row>
    <row r="1874" spans="1:30" ht="29">
      <c r="A1874" s="11" t="s">
        <v>5443</v>
      </c>
      <c r="B1874" s="11" t="s">
        <v>5484</v>
      </c>
      <c r="C1874" s="3" t="s">
        <v>24</v>
      </c>
      <c r="D1874" s="3" t="s">
        <v>25</v>
      </c>
      <c r="E1874" s="3" t="s">
        <v>5005</v>
      </c>
      <c r="F1874" s="4" t="s">
        <v>2662</v>
      </c>
      <c r="G1874" s="4" t="s">
        <v>2276</v>
      </c>
      <c r="H1874" s="3" t="s">
        <v>523</v>
      </c>
      <c r="I1874" s="3"/>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3" t="s">
        <v>86</v>
      </c>
      <c r="AA1874" s="3" t="s">
        <v>86</v>
      </c>
      <c r="AB1874" s="4" t="s">
        <v>2276</v>
      </c>
      <c r="AC1874" s="3"/>
      <c r="AD1874" s="3"/>
    </row>
    <row r="1875" spans="1:30" ht="29">
      <c r="A1875" s="11" t="s">
        <v>5443</v>
      </c>
      <c r="B1875" s="11" t="s">
        <v>5485</v>
      </c>
      <c r="C1875" s="3" t="s">
        <v>24</v>
      </c>
      <c r="D1875" s="3" t="s">
        <v>2341</v>
      </c>
      <c r="E1875" s="3" t="s">
        <v>116</v>
      </c>
      <c r="F1875" s="4" t="s">
        <v>2662</v>
      </c>
      <c r="G1875" s="4" t="s">
        <v>2276</v>
      </c>
      <c r="H1875" s="3" t="s">
        <v>523</v>
      </c>
      <c r="I1875" s="3"/>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3" t="s">
        <v>2276</v>
      </c>
      <c r="AA1875" s="3" t="s">
        <v>2276</v>
      </c>
      <c r="AB1875" s="4" t="s">
        <v>2276</v>
      </c>
      <c r="AC1875" s="3"/>
      <c r="AD1875" s="3"/>
    </row>
    <row r="1876" spans="1:30" ht="29">
      <c r="A1876" s="11" t="s">
        <v>5443</v>
      </c>
      <c r="B1876" s="11" t="s">
        <v>5486</v>
      </c>
      <c r="C1876" s="3" t="s">
        <v>24</v>
      </c>
      <c r="D1876" s="3" t="s">
        <v>1245</v>
      </c>
      <c r="E1876" s="3" t="s">
        <v>116</v>
      </c>
      <c r="F1876" s="4" t="s">
        <v>2662</v>
      </c>
      <c r="G1876" s="4" t="s">
        <v>2276</v>
      </c>
      <c r="H1876" s="3" t="s">
        <v>523</v>
      </c>
      <c r="I1876" s="3"/>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3" t="s">
        <v>189</v>
      </c>
      <c r="AA1876" s="3" t="s">
        <v>86</v>
      </c>
      <c r="AB1876" s="4" t="s">
        <v>2276</v>
      </c>
      <c r="AC1876" s="3"/>
      <c r="AD1876" s="3"/>
    </row>
    <row r="1877" spans="1:30" ht="29">
      <c r="A1877" s="11" t="s">
        <v>5443</v>
      </c>
      <c r="B1877" s="11" t="s">
        <v>5487</v>
      </c>
      <c r="C1877" s="3" t="s">
        <v>24</v>
      </c>
      <c r="D1877" s="3" t="s">
        <v>3480</v>
      </c>
      <c r="E1877" s="3" t="s">
        <v>116</v>
      </c>
      <c r="F1877" s="4" t="s">
        <v>2662</v>
      </c>
      <c r="G1877" s="4" t="s">
        <v>2276</v>
      </c>
      <c r="H1877" s="3" t="s">
        <v>523</v>
      </c>
      <c r="I1877" s="3"/>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3" t="s">
        <v>188</v>
      </c>
      <c r="AA1877" s="3" t="s">
        <v>189</v>
      </c>
      <c r="AB1877" s="4" t="s">
        <v>2276</v>
      </c>
      <c r="AC1877" s="3"/>
      <c r="AD1877" s="3"/>
    </row>
    <row r="1878" spans="1:30" ht="29">
      <c r="A1878" s="11" t="s">
        <v>5443</v>
      </c>
      <c r="B1878" s="11" t="s">
        <v>5488</v>
      </c>
      <c r="C1878" s="3" t="s">
        <v>24</v>
      </c>
      <c r="D1878" s="3" t="s">
        <v>26</v>
      </c>
      <c r="E1878" s="3" t="s">
        <v>5005</v>
      </c>
      <c r="F1878" s="4" t="s">
        <v>2662</v>
      </c>
      <c r="G1878" s="4" t="s">
        <v>2276</v>
      </c>
      <c r="H1878" s="3" t="s">
        <v>523</v>
      </c>
      <c r="I1878" s="3"/>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3"/>
      <c r="AD1878" s="3"/>
    </row>
    <row r="1879" spans="1:30" ht="34" customHeight="1">
      <c r="A1879" s="11" t="s">
        <v>5443</v>
      </c>
      <c r="B1879" s="11" t="s">
        <v>5489</v>
      </c>
      <c r="C1879" s="3" t="s">
        <v>2458</v>
      </c>
      <c r="D1879" s="3" t="s">
        <v>27</v>
      </c>
      <c r="E1879" s="3" t="s">
        <v>130</v>
      </c>
      <c r="F1879" s="4" t="s">
        <v>160</v>
      </c>
      <c r="G1879" s="4" t="s">
        <v>2276</v>
      </c>
      <c r="H1879" s="3" t="s">
        <v>523</v>
      </c>
      <c r="I1879" s="3"/>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3" t="s">
        <v>86</v>
      </c>
      <c r="AA1879" s="3" t="s">
        <v>86</v>
      </c>
      <c r="AB1879" s="4" t="s">
        <v>2276</v>
      </c>
      <c r="AC1879" s="3"/>
      <c r="AD1879" s="3"/>
    </row>
    <row r="1880" spans="1:30" ht="29">
      <c r="A1880" s="11" t="s">
        <v>5443</v>
      </c>
      <c r="B1880" s="11" t="s">
        <v>5490</v>
      </c>
      <c r="C1880" s="3" t="s">
        <v>24</v>
      </c>
      <c r="D1880" s="3" t="s">
        <v>2231</v>
      </c>
      <c r="E1880" s="4" t="s">
        <v>396</v>
      </c>
      <c r="F1880" s="4" t="s">
        <v>28</v>
      </c>
      <c r="G1880" s="4" t="s">
        <v>2276</v>
      </c>
      <c r="H1880" s="3" t="s">
        <v>523</v>
      </c>
      <c r="I1880" s="3"/>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3"/>
      <c r="AD1880" s="3"/>
    </row>
    <row r="1881" spans="1:30" ht="29">
      <c r="A1881" s="11" t="s">
        <v>5443</v>
      </c>
      <c r="B1881" s="11" t="s">
        <v>5491</v>
      </c>
      <c r="C1881" s="3" t="s">
        <v>24</v>
      </c>
      <c r="D1881" s="3" t="s">
        <v>1131</v>
      </c>
      <c r="E1881" s="4" t="s">
        <v>396</v>
      </c>
      <c r="F1881" s="4" t="s">
        <v>28</v>
      </c>
      <c r="G1881" s="4" t="s">
        <v>2276</v>
      </c>
      <c r="H1881" s="3" t="s">
        <v>523</v>
      </c>
      <c r="I1881" s="3"/>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3" t="s">
        <v>189</v>
      </c>
      <c r="AA1881" s="3" t="s">
        <v>38</v>
      </c>
      <c r="AB1881" s="4" t="s">
        <v>2276</v>
      </c>
      <c r="AC1881" s="3"/>
      <c r="AD1881" s="3"/>
    </row>
    <row r="1882" spans="1:30" ht="33.5" customHeight="1">
      <c r="A1882" s="11" t="s">
        <v>5443</v>
      </c>
      <c r="B1882" s="11" t="s">
        <v>5492</v>
      </c>
      <c r="C1882" s="3" t="s">
        <v>24</v>
      </c>
      <c r="D1882" s="3" t="s">
        <v>2346</v>
      </c>
      <c r="E1882" s="3" t="s">
        <v>130</v>
      </c>
      <c r="F1882" s="4" t="s">
        <v>28</v>
      </c>
      <c r="G1882" s="4" t="s">
        <v>2276</v>
      </c>
      <c r="H1882" s="3"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3"/>
      <c r="AD1882" s="3"/>
    </row>
    <row r="1883" spans="1:30" ht="29">
      <c r="A1883" s="11" t="s">
        <v>5443</v>
      </c>
      <c r="B1883" s="11" t="s">
        <v>5493</v>
      </c>
      <c r="C1883" s="3" t="s">
        <v>24</v>
      </c>
      <c r="D1883" s="3" t="s">
        <v>1245</v>
      </c>
      <c r="E1883" s="3" t="s">
        <v>2652</v>
      </c>
      <c r="F1883" s="4" t="s">
        <v>2662</v>
      </c>
      <c r="G1883" s="4" t="s">
        <v>2276</v>
      </c>
      <c r="H1883" s="3"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3"/>
      <c r="AD1883" s="3"/>
    </row>
    <row r="1884" spans="1:30" ht="29">
      <c r="A1884" s="11" t="s">
        <v>5443</v>
      </c>
      <c r="B1884" s="11" t="s">
        <v>5494</v>
      </c>
      <c r="C1884" s="3" t="s">
        <v>24</v>
      </c>
      <c r="D1884" s="3" t="s">
        <v>2341</v>
      </c>
      <c r="E1884" s="3" t="s">
        <v>2652</v>
      </c>
      <c r="F1884" s="4" t="s">
        <v>2662</v>
      </c>
      <c r="G1884" s="4" t="s">
        <v>2276</v>
      </c>
      <c r="H1884" s="3"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3"/>
      <c r="AD1884" s="3"/>
    </row>
    <row r="1885" spans="1:30" ht="33.5" customHeight="1">
      <c r="A1885" s="11" t="s">
        <v>5443</v>
      </c>
      <c r="B1885" s="11" t="s">
        <v>5504</v>
      </c>
      <c r="C1885" s="3" t="s">
        <v>24</v>
      </c>
      <c r="D1885" s="3" t="s">
        <v>4162</v>
      </c>
      <c r="E1885" s="3" t="s">
        <v>2649</v>
      </c>
      <c r="F1885" s="4" t="s">
        <v>74</v>
      </c>
      <c r="G1885" s="4" t="s">
        <v>2276</v>
      </c>
      <c r="H1885" s="3"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3"/>
      <c r="AD1885" s="3"/>
    </row>
    <row r="1886" spans="1:30" ht="38.5" customHeight="1">
      <c r="A1886" s="11" t="s">
        <v>5444</v>
      </c>
      <c r="B1886" s="11" t="s">
        <v>5495</v>
      </c>
      <c r="C1886" s="3" t="s">
        <v>24</v>
      </c>
      <c r="D1886" s="3" t="s">
        <v>27</v>
      </c>
      <c r="E1886" s="3" t="s">
        <v>130</v>
      </c>
      <c r="F1886" s="4" t="s">
        <v>160</v>
      </c>
      <c r="G1886" s="4" t="s">
        <v>2276</v>
      </c>
      <c r="H1886" s="3"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3"/>
      <c r="AD1886" s="3"/>
    </row>
    <row r="1887" spans="1:30" ht="38.5" customHeight="1">
      <c r="A1887" s="11" t="s">
        <v>5444</v>
      </c>
      <c r="B1887" s="11" t="s">
        <v>5496</v>
      </c>
      <c r="C1887" s="3" t="s">
        <v>24</v>
      </c>
      <c r="D1887" s="3" t="s">
        <v>25</v>
      </c>
      <c r="E1887" s="3" t="s">
        <v>5005</v>
      </c>
      <c r="F1887" s="4" t="s">
        <v>55</v>
      </c>
      <c r="G1887" s="4" t="s">
        <v>2276</v>
      </c>
      <c r="H1887" s="3"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3"/>
      <c r="AD1887" s="3"/>
    </row>
    <row r="1888" spans="1:30" ht="38.5" customHeight="1">
      <c r="A1888" s="11" t="s">
        <v>5444</v>
      </c>
      <c r="B1888" s="11" t="s">
        <v>5497</v>
      </c>
      <c r="C1888" s="3" t="s">
        <v>24</v>
      </c>
      <c r="D1888" s="3" t="s">
        <v>3480</v>
      </c>
      <c r="E1888" s="3" t="s">
        <v>116</v>
      </c>
      <c r="F1888" s="4" t="s">
        <v>55</v>
      </c>
      <c r="G1888" s="4" t="s">
        <v>2276</v>
      </c>
      <c r="H1888" s="3"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3"/>
      <c r="AD1888" s="3"/>
    </row>
    <row r="1889" spans="1:30" ht="38.5" customHeight="1">
      <c r="A1889" s="11" t="s">
        <v>5444</v>
      </c>
      <c r="B1889" s="11" t="s">
        <v>5498</v>
      </c>
      <c r="C1889" s="3" t="s">
        <v>24</v>
      </c>
      <c r="D1889" s="3" t="s">
        <v>1245</v>
      </c>
      <c r="E1889" s="3" t="s">
        <v>116</v>
      </c>
      <c r="F1889" s="4" t="s">
        <v>55</v>
      </c>
      <c r="G1889" s="4" t="s">
        <v>2276</v>
      </c>
      <c r="H1889" s="3"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3"/>
      <c r="AD1889" s="3"/>
    </row>
    <row r="1890" spans="1:30" ht="38.5" customHeight="1">
      <c r="A1890" s="11" t="s">
        <v>5444</v>
      </c>
      <c r="B1890" s="11" t="s">
        <v>5499</v>
      </c>
      <c r="C1890" s="3" t="s">
        <v>24</v>
      </c>
      <c r="D1890" s="3" t="s">
        <v>2231</v>
      </c>
      <c r="E1890" s="4" t="s">
        <v>396</v>
      </c>
      <c r="F1890" s="4" t="s">
        <v>28</v>
      </c>
      <c r="G1890" s="4" t="s">
        <v>2276</v>
      </c>
      <c r="H1890" s="3"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3"/>
      <c r="AD1890" s="3"/>
    </row>
    <row r="1891" spans="1:30" ht="38.5" customHeight="1">
      <c r="A1891" s="11" t="s">
        <v>5444</v>
      </c>
      <c r="B1891" s="11" t="s">
        <v>5500</v>
      </c>
      <c r="C1891" s="3" t="s">
        <v>24</v>
      </c>
      <c r="D1891" s="3" t="s">
        <v>1131</v>
      </c>
      <c r="E1891" s="4" t="s">
        <v>396</v>
      </c>
      <c r="F1891" s="4" t="s">
        <v>28</v>
      </c>
      <c r="G1891" s="4" t="s">
        <v>2276</v>
      </c>
      <c r="H1891" s="3" t="s">
        <v>523</v>
      </c>
      <c r="I1891" s="3"/>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3" t="s">
        <v>86</v>
      </c>
      <c r="AA1891" s="3" t="s">
        <v>86</v>
      </c>
      <c r="AB1891" s="4" t="s">
        <v>2276</v>
      </c>
      <c r="AC1891" s="3"/>
      <c r="AD1891" s="3"/>
    </row>
    <row r="1892" spans="1:30" ht="38.5" customHeight="1">
      <c r="A1892" s="11" t="s">
        <v>5444</v>
      </c>
      <c r="B1892" s="11" t="s">
        <v>5501</v>
      </c>
      <c r="C1892" s="3" t="s">
        <v>24</v>
      </c>
      <c r="D1892" s="3" t="s">
        <v>1245</v>
      </c>
      <c r="E1892" s="3" t="s">
        <v>2652</v>
      </c>
      <c r="F1892" s="4" t="s">
        <v>2662</v>
      </c>
      <c r="G1892" s="4" t="s">
        <v>2276</v>
      </c>
      <c r="H1892" s="3" t="s">
        <v>523</v>
      </c>
      <c r="I1892" s="3"/>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3"/>
      <c r="AD1892" s="3"/>
    </row>
    <row r="1893" spans="1:30" ht="38.5" customHeight="1">
      <c r="A1893" s="11" t="s">
        <v>5444</v>
      </c>
      <c r="B1893" s="11" t="s">
        <v>5502</v>
      </c>
      <c r="C1893" s="3" t="s">
        <v>24</v>
      </c>
      <c r="D1893" s="3" t="s">
        <v>2341</v>
      </c>
      <c r="E1893" s="3" t="s">
        <v>2652</v>
      </c>
      <c r="F1893" s="4" t="s">
        <v>2662</v>
      </c>
      <c r="G1893" s="4" t="s">
        <v>2276</v>
      </c>
      <c r="H1893" s="3" t="s">
        <v>523</v>
      </c>
      <c r="I1893" s="3"/>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3"/>
      <c r="AD1893" s="3"/>
    </row>
    <row r="1894" spans="1:30" ht="38.5" customHeight="1">
      <c r="A1894" s="11" t="s">
        <v>5444</v>
      </c>
      <c r="B1894" s="11" t="s">
        <v>5505</v>
      </c>
      <c r="C1894" s="3" t="s">
        <v>24</v>
      </c>
      <c r="D1894" s="3" t="s">
        <v>4162</v>
      </c>
      <c r="E1894" s="3" t="s">
        <v>2649</v>
      </c>
      <c r="F1894" s="4" t="s">
        <v>74</v>
      </c>
      <c r="G1894" s="4" t="s">
        <v>2276</v>
      </c>
      <c r="H1894" s="3" t="s">
        <v>523</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3"/>
      <c r="AD1894" s="3"/>
    </row>
    <row r="1895" spans="1:30" ht="38" customHeight="1">
      <c r="A1895" s="11" t="s">
        <v>5446</v>
      </c>
      <c r="B1895" s="11" t="s">
        <v>5507</v>
      </c>
      <c r="C1895" s="3" t="s">
        <v>24</v>
      </c>
      <c r="D1895" s="3" t="s">
        <v>27</v>
      </c>
      <c r="E1895" s="3" t="s">
        <v>130</v>
      </c>
      <c r="F1895" s="4" t="s">
        <v>160</v>
      </c>
      <c r="G1895" s="4" t="s">
        <v>2276</v>
      </c>
      <c r="H1895" s="3" t="s">
        <v>523</v>
      </c>
      <c r="I1895" s="3"/>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3" t="s">
        <v>86</v>
      </c>
      <c r="AA1895" s="3" t="s">
        <v>86</v>
      </c>
      <c r="AB1895" s="4" t="s">
        <v>2276</v>
      </c>
      <c r="AC1895" s="3"/>
      <c r="AD1895" s="3"/>
    </row>
    <row r="1896" spans="1:30" ht="29">
      <c r="A1896" s="11" t="s">
        <v>5446</v>
      </c>
      <c r="B1896" s="11" t="s">
        <v>5508</v>
      </c>
      <c r="C1896" s="3" t="s">
        <v>24</v>
      </c>
      <c r="D1896" s="3" t="s">
        <v>25</v>
      </c>
      <c r="E1896" s="3" t="s">
        <v>5005</v>
      </c>
      <c r="F1896" s="4" t="s">
        <v>2662</v>
      </c>
      <c r="G1896" s="4" t="s">
        <v>2276</v>
      </c>
      <c r="H1896" s="3" t="s">
        <v>523</v>
      </c>
      <c r="I1896" s="3"/>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5446</v>
      </c>
      <c r="B1897" s="11" t="s">
        <v>5509</v>
      </c>
      <c r="C1897" s="3" t="s">
        <v>24</v>
      </c>
      <c r="D1897" s="3" t="s">
        <v>3480</v>
      </c>
      <c r="E1897" s="3" t="s">
        <v>116</v>
      </c>
      <c r="F1897" s="4" t="s">
        <v>2662</v>
      </c>
      <c r="G1897" s="4" t="s">
        <v>2276</v>
      </c>
      <c r="H1897" s="3"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3"/>
    </row>
    <row r="1898" spans="1:30" ht="29">
      <c r="A1898" s="11" t="s">
        <v>5446</v>
      </c>
      <c r="B1898" s="11" t="s">
        <v>5510</v>
      </c>
      <c r="C1898" s="3" t="s">
        <v>24</v>
      </c>
      <c r="D1898" s="3" t="s">
        <v>1245</v>
      </c>
      <c r="E1898" s="3" t="s">
        <v>116</v>
      </c>
      <c r="F1898" s="4" t="s">
        <v>2662</v>
      </c>
      <c r="G1898" s="4" t="s">
        <v>2276</v>
      </c>
      <c r="H1898" s="3"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3"/>
    </row>
    <row r="1899" spans="1:30" ht="30" customHeight="1">
      <c r="A1899" s="11" t="s">
        <v>5446</v>
      </c>
      <c r="B1899" s="11" t="s">
        <v>5511</v>
      </c>
      <c r="C1899" s="3" t="s">
        <v>2458</v>
      </c>
      <c r="D1899" s="3" t="s">
        <v>27</v>
      </c>
      <c r="E1899" s="3" t="s">
        <v>130</v>
      </c>
      <c r="F1899" s="4" t="s">
        <v>160</v>
      </c>
      <c r="G1899" s="4" t="s">
        <v>2276</v>
      </c>
      <c r="H1899" s="3"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3"/>
      <c r="AD1899" s="3"/>
    </row>
    <row r="1900" spans="1:30" ht="30" customHeight="1">
      <c r="A1900" s="11" t="s">
        <v>5446</v>
      </c>
      <c r="B1900" s="11" t="s">
        <v>5512</v>
      </c>
      <c r="C1900" s="3" t="s">
        <v>24</v>
      </c>
      <c r="D1900" s="3" t="s">
        <v>2231</v>
      </c>
      <c r="E1900" s="4" t="s">
        <v>396</v>
      </c>
      <c r="F1900" s="4" t="s">
        <v>28</v>
      </c>
      <c r="G1900" s="4" t="s">
        <v>2276</v>
      </c>
      <c r="H1900" s="3" t="s">
        <v>523</v>
      </c>
      <c r="I1900" s="3"/>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3"/>
      <c r="AD1900" s="3"/>
    </row>
    <row r="1901" spans="1:30" ht="29">
      <c r="A1901" s="11" t="s">
        <v>5446</v>
      </c>
      <c r="B1901" s="11" t="s">
        <v>5513</v>
      </c>
      <c r="C1901" s="3" t="s">
        <v>24</v>
      </c>
      <c r="D1901" s="3" t="s">
        <v>1131</v>
      </c>
      <c r="E1901" s="4" t="s">
        <v>396</v>
      </c>
      <c r="F1901" s="4" t="s">
        <v>28</v>
      </c>
      <c r="G1901" s="4" t="s">
        <v>2276</v>
      </c>
      <c r="H1901" s="3"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3"/>
      <c r="AD1901" s="3"/>
    </row>
    <row r="1902" spans="1:30" ht="29">
      <c r="A1902" s="11" t="s">
        <v>5446</v>
      </c>
      <c r="B1902" s="11" t="s">
        <v>5514</v>
      </c>
      <c r="C1902" s="3" t="s">
        <v>24</v>
      </c>
      <c r="D1902" s="3" t="s">
        <v>1245</v>
      </c>
      <c r="E1902" s="3" t="s">
        <v>2652</v>
      </c>
      <c r="F1902" s="4" t="s">
        <v>2662</v>
      </c>
      <c r="G1902" s="4" t="s">
        <v>2276</v>
      </c>
      <c r="H1902" s="3"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3"/>
      <c r="AD1902" s="3"/>
    </row>
    <row r="1903" spans="1:30" ht="29">
      <c r="A1903" s="11" t="s">
        <v>5446</v>
      </c>
      <c r="B1903" s="11" t="s">
        <v>5515</v>
      </c>
      <c r="C1903" s="3" t="s">
        <v>24</v>
      </c>
      <c r="D1903" s="3" t="s">
        <v>2341</v>
      </c>
      <c r="E1903" s="3" t="s">
        <v>2652</v>
      </c>
      <c r="F1903" s="4" t="s">
        <v>2662</v>
      </c>
      <c r="G1903" s="4" t="s">
        <v>2276</v>
      </c>
      <c r="H1903" s="3"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3"/>
      <c r="AD1903" s="3"/>
    </row>
    <row r="1904" spans="1:30" ht="42" customHeight="1">
      <c r="A1904" s="11" t="s">
        <v>5446</v>
      </c>
      <c r="B1904" s="11" t="s">
        <v>5516</v>
      </c>
      <c r="C1904" s="3" t="s">
        <v>24</v>
      </c>
      <c r="D1904" s="3" t="s">
        <v>4162</v>
      </c>
      <c r="E1904" s="3" t="s">
        <v>2649</v>
      </c>
      <c r="F1904" s="4" t="s">
        <v>74</v>
      </c>
      <c r="G1904" s="4" t="s">
        <v>2276</v>
      </c>
      <c r="H1904" s="3"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3"/>
      <c r="AD1904" s="3"/>
    </row>
    <row r="1905" spans="1:30" ht="50" customHeight="1">
      <c r="A1905" s="11" t="s">
        <v>5445</v>
      </c>
      <c r="B1905" s="11" t="s">
        <v>5517</v>
      </c>
      <c r="C1905" s="3" t="s">
        <v>24</v>
      </c>
      <c r="D1905" s="3" t="s">
        <v>27</v>
      </c>
      <c r="E1905" s="3" t="s">
        <v>130</v>
      </c>
      <c r="F1905" s="4" t="s">
        <v>160</v>
      </c>
      <c r="G1905" s="4" t="s">
        <v>2276</v>
      </c>
      <c r="H1905" s="3"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4">
        <v>6</v>
      </c>
      <c r="Z1905" s="3" t="s">
        <v>86</v>
      </c>
      <c r="AA1905" s="3" t="s">
        <v>86</v>
      </c>
      <c r="AB1905" s="4" t="s">
        <v>2276</v>
      </c>
      <c r="AC1905" s="3"/>
      <c r="AD1905" s="3"/>
    </row>
    <row r="1906" spans="1:30" ht="50" customHeight="1">
      <c r="A1906" s="11" t="s">
        <v>5445</v>
      </c>
      <c r="B1906" s="11" t="s">
        <v>5518</v>
      </c>
      <c r="C1906" s="3" t="s">
        <v>24</v>
      </c>
      <c r="D1906" s="3" t="s">
        <v>25</v>
      </c>
      <c r="E1906" s="3" t="s">
        <v>5005</v>
      </c>
      <c r="F1906" s="4" t="s">
        <v>55</v>
      </c>
      <c r="G1906" s="4" t="s">
        <v>2276</v>
      </c>
      <c r="H1906" s="3"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5445</v>
      </c>
      <c r="B1907" s="11" t="s">
        <v>5519</v>
      </c>
      <c r="C1907" s="3" t="s">
        <v>24</v>
      </c>
      <c r="D1907" s="3" t="s">
        <v>3480</v>
      </c>
      <c r="E1907" s="3" t="s">
        <v>116</v>
      </c>
      <c r="F1907" s="4" t="s">
        <v>55</v>
      </c>
      <c r="G1907" s="4" t="s">
        <v>2276</v>
      </c>
      <c r="H1907" s="3"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3"/>
      <c r="AD1907" s="3"/>
    </row>
    <row r="1908" spans="1:30" ht="50" customHeight="1">
      <c r="A1908" s="11" t="s">
        <v>5445</v>
      </c>
      <c r="B1908" s="11" t="s">
        <v>5520</v>
      </c>
      <c r="C1908" s="3" t="s">
        <v>24</v>
      </c>
      <c r="D1908" s="3" t="s">
        <v>1245</v>
      </c>
      <c r="E1908" s="3" t="s">
        <v>116</v>
      </c>
      <c r="F1908" s="4" t="s">
        <v>55</v>
      </c>
      <c r="G1908" s="4" t="s">
        <v>2276</v>
      </c>
      <c r="H1908" s="3"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3"/>
      <c r="AD1908" s="3"/>
    </row>
    <row r="1909" spans="1:30" ht="50" customHeight="1">
      <c r="A1909" s="11" t="s">
        <v>5445</v>
      </c>
      <c r="B1909" s="11" t="s">
        <v>5521</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3"/>
    </row>
    <row r="1910" spans="1:30" ht="50" customHeight="1">
      <c r="A1910" s="11" t="s">
        <v>5445</v>
      </c>
      <c r="B1910" s="11" t="s">
        <v>5522</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3"/>
      <c r="AD1910" s="3"/>
    </row>
    <row r="1911" spans="1:30" ht="50" customHeight="1">
      <c r="A1911" s="11" t="s">
        <v>5445</v>
      </c>
      <c r="B1911" s="11" t="s">
        <v>5523</v>
      </c>
      <c r="C1911" s="3" t="s">
        <v>24</v>
      </c>
      <c r="D1911" s="3" t="s">
        <v>1245</v>
      </c>
      <c r="E1911" s="3" t="s">
        <v>2652</v>
      </c>
      <c r="F1911" s="4" t="s">
        <v>2662</v>
      </c>
      <c r="G1911" s="4" t="s">
        <v>2276</v>
      </c>
      <c r="H1911" s="3"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3"/>
      <c r="AD1911" s="3"/>
    </row>
    <row r="1912" spans="1:30" ht="50" customHeight="1">
      <c r="A1912" s="11" t="s">
        <v>5445</v>
      </c>
      <c r="B1912" s="11" t="s">
        <v>5524</v>
      </c>
      <c r="C1912" s="3" t="s">
        <v>24</v>
      </c>
      <c r="D1912" s="3" t="s">
        <v>2341</v>
      </c>
      <c r="E1912" s="3" t="s">
        <v>2652</v>
      </c>
      <c r="F1912" s="4" t="s">
        <v>2662</v>
      </c>
      <c r="G1912" s="4" t="s">
        <v>2276</v>
      </c>
      <c r="H1912" s="3"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3"/>
      <c r="AD1912" s="3"/>
    </row>
    <row r="1913" spans="1:30" ht="50" customHeight="1">
      <c r="A1913" s="11" t="s">
        <v>5445</v>
      </c>
      <c r="B1913" s="11" t="s">
        <v>5525</v>
      </c>
      <c r="C1913" s="3" t="s">
        <v>24</v>
      </c>
      <c r="D1913" s="3" t="s">
        <v>4162</v>
      </c>
      <c r="E1913" s="3" t="s">
        <v>2649</v>
      </c>
      <c r="F1913" s="4" t="s">
        <v>74</v>
      </c>
      <c r="G1913" s="4" t="s">
        <v>2276</v>
      </c>
      <c r="H1913" s="3"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3"/>
    </row>
    <row r="1914" spans="1:30" ht="36.5" customHeight="1">
      <c r="A1914" s="11" t="s">
        <v>5527</v>
      </c>
      <c r="B1914" s="11" t="s">
        <v>5551</v>
      </c>
      <c r="C1914" s="3" t="s">
        <v>24</v>
      </c>
      <c r="D1914" s="3" t="s">
        <v>27</v>
      </c>
      <c r="E1914" s="3" t="s">
        <v>130</v>
      </c>
      <c r="F1914" s="4" t="s">
        <v>160</v>
      </c>
      <c r="G1914" s="4" t="s">
        <v>2276</v>
      </c>
      <c r="H1914" s="3"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3"/>
    </row>
    <row r="1915" spans="1:30" ht="36.5" customHeight="1">
      <c r="A1915" s="11" t="s">
        <v>5539</v>
      </c>
      <c r="B1915" s="11" t="s">
        <v>5552</v>
      </c>
      <c r="C1915" s="3" t="s">
        <v>24</v>
      </c>
      <c r="D1915" s="3" t="s">
        <v>27</v>
      </c>
      <c r="E1915" s="3" t="s">
        <v>130</v>
      </c>
      <c r="F1915" s="4" t="s">
        <v>160</v>
      </c>
      <c r="G1915" s="4" t="s">
        <v>2276</v>
      </c>
      <c r="H1915" s="3"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3"/>
    </row>
    <row r="1916" spans="1:30" ht="36.5" customHeight="1">
      <c r="A1916" s="11" t="s">
        <v>5540</v>
      </c>
      <c r="B1916" s="11" t="s">
        <v>5553</v>
      </c>
      <c r="C1916" s="3" t="s">
        <v>24</v>
      </c>
      <c r="D1916" s="3" t="s">
        <v>27</v>
      </c>
      <c r="E1916" s="3" t="s">
        <v>130</v>
      </c>
      <c r="F1916" s="4" t="s">
        <v>160</v>
      </c>
      <c r="G1916" s="4" t="s">
        <v>2276</v>
      </c>
      <c r="H1916" s="3"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3"/>
      <c r="AD1916" s="3"/>
    </row>
    <row r="1917" spans="1:30" ht="36.5" customHeight="1">
      <c r="A1917" s="11" t="s">
        <v>5541</v>
      </c>
      <c r="B1917" s="11" t="s">
        <v>5554</v>
      </c>
      <c r="C1917" s="3" t="s">
        <v>24</v>
      </c>
      <c r="D1917" s="3" t="s">
        <v>27</v>
      </c>
      <c r="E1917" s="3" t="s">
        <v>130</v>
      </c>
      <c r="F1917" s="4" t="s">
        <v>160</v>
      </c>
      <c r="G1917" s="4" t="s">
        <v>2276</v>
      </c>
      <c r="H1917" s="3"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3"/>
      <c r="AD1917" s="3"/>
    </row>
    <row r="1918" spans="1:30" ht="36.5" customHeight="1">
      <c r="A1918" s="11" t="s">
        <v>5542</v>
      </c>
      <c r="B1918" s="11" t="s">
        <v>5555</v>
      </c>
      <c r="C1918" s="3" t="s">
        <v>24</v>
      </c>
      <c r="D1918" s="3" t="s">
        <v>27</v>
      </c>
      <c r="E1918" s="3" t="s">
        <v>130</v>
      </c>
      <c r="F1918" s="4" t="s">
        <v>160</v>
      </c>
      <c r="G1918" s="4" t="s">
        <v>2276</v>
      </c>
      <c r="H1918" s="3"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3"/>
      <c r="AD1918" s="3"/>
    </row>
    <row r="1919" spans="1:30" ht="36.5" customHeight="1">
      <c r="A1919" s="11" t="s">
        <v>5543</v>
      </c>
      <c r="B1919" s="11" t="s">
        <v>5556</v>
      </c>
      <c r="C1919" s="3" t="s">
        <v>24</v>
      </c>
      <c r="D1919" s="3" t="s">
        <v>27</v>
      </c>
      <c r="E1919" s="3" t="s">
        <v>130</v>
      </c>
      <c r="F1919" s="4" t="s">
        <v>160</v>
      </c>
      <c r="G1919" s="4" t="s">
        <v>2276</v>
      </c>
      <c r="H1919" s="3"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3"/>
    </row>
    <row r="1920" spans="1:30" ht="36.5" customHeight="1">
      <c r="A1920" s="11" t="s">
        <v>5547</v>
      </c>
      <c r="B1920" s="11" t="s">
        <v>5557</v>
      </c>
      <c r="C1920" s="3" t="s">
        <v>24</v>
      </c>
      <c r="D1920" s="3" t="s">
        <v>27</v>
      </c>
      <c r="E1920" s="3" t="s">
        <v>130</v>
      </c>
      <c r="F1920" s="4" t="s">
        <v>160</v>
      </c>
      <c r="G1920" s="4" t="s">
        <v>2276</v>
      </c>
      <c r="H1920" s="3"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3"/>
    </row>
    <row r="1921" spans="1:30" ht="36.5" customHeight="1">
      <c r="A1921" s="11" t="s">
        <v>5548</v>
      </c>
      <c r="B1921" s="11" t="s">
        <v>5558</v>
      </c>
      <c r="C1921" s="3" t="s">
        <v>24</v>
      </c>
      <c r="D1921" s="3" t="s">
        <v>27</v>
      </c>
      <c r="E1921" s="3" t="s">
        <v>130</v>
      </c>
      <c r="F1921" s="4" t="s">
        <v>160</v>
      </c>
      <c r="G1921" s="4" t="s">
        <v>2276</v>
      </c>
      <c r="H1921" s="3"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3"/>
      <c r="AD1921" s="3"/>
    </row>
    <row r="1922" spans="1:30" ht="29" customHeight="1">
      <c r="A1922" s="11" t="s">
        <v>5527</v>
      </c>
      <c r="B1922" s="11" t="s">
        <v>5559</v>
      </c>
      <c r="C1922" s="3" t="s">
        <v>24</v>
      </c>
      <c r="D1922" s="3" t="s">
        <v>27</v>
      </c>
      <c r="E1922" s="4" t="s">
        <v>397</v>
      </c>
      <c r="F1922" s="4" t="s">
        <v>2276</v>
      </c>
      <c r="G1922" s="4" t="s">
        <v>2276</v>
      </c>
      <c r="H1922" s="3"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5575</v>
      </c>
      <c r="AD1922" s="3"/>
    </row>
    <row r="1923" spans="1:30" ht="29" customHeight="1">
      <c r="A1923" s="11" t="s">
        <v>5539</v>
      </c>
      <c r="B1923" s="11" t="s">
        <v>5560</v>
      </c>
      <c r="C1923" s="3" t="s">
        <v>24</v>
      </c>
      <c r="D1923" s="3" t="s">
        <v>27</v>
      </c>
      <c r="E1923" s="4" t="s">
        <v>397</v>
      </c>
      <c r="F1923" s="4" t="s">
        <v>2276</v>
      </c>
      <c r="G1923" s="4" t="s">
        <v>2276</v>
      </c>
      <c r="H1923" s="3"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5575</v>
      </c>
      <c r="AD1923" s="3"/>
    </row>
    <row r="1924" spans="1:30" ht="29" customHeight="1">
      <c r="A1924" s="11" t="s">
        <v>5540</v>
      </c>
      <c r="B1924" s="11" t="s">
        <v>5561</v>
      </c>
      <c r="C1924" s="3" t="s">
        <v>24</v>
      </c>
      <c r="D1924" s="3" t="s">
        <v>27</v>
      </c>
      <c r="E1924" s="4" t="s">
        <v>397</v>
      </c>
      <c r="F1924" s="4" t="s">
        <v>2276</v>
      </c>
      <c r="G1924" s="4" t="s">
        <v>2276</v>
      </c>
      <c r="H1924" s="3"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5575</v>
      </c>
      <c r="AD1924" s="3"/>
    </row>
    <row r="1925" spans="1:30" ht="29" customHeight="1">
      <c r="A1925" s="11" t="s">
        <v>5541</v>
      </c>
      <c r="B1925" s="11" t="s">
        <v>5562</v>
      </c>
      <c r="C1925" s="3" t="s">
        <v>24</v>
      </c>
      <c r="D1925" s="3" t="s">
        <v>27</v>
      </c>
      <c r="E1925" s="4" t="s">
        <v>397</v>
      </c>
      <c r="F1925" s="4" t="s">
        <v>2276</v>
      </c>
      <c r="G1925" s="4" t="s">
        <v>2276</v>
      </c>
      <c r="H1925" s="3"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5575</v>
      </c>
      <c r="AD1925" s="3"/>
    </row>
    <row r="1926" spans="1:30" ht="29" customHeight="1">
      <c r="A1926" s="11" t="s">
        <v>5542</v>
      </c>
      <c r="B1926" s="11" t="s">
        <v>5563</v>
      </c>
      <c r="C1926" s="3" t="s">
        <v>24</v>
      </c>
      <c r="D1926" s="3" t="s">
        <v>27</v>
      </c>
      <c r="E1926" s="4" t="s">
        <v>397</v>
      </c>
      <c r="F1926" s="4" t="s">
        <v>2276</v>
      </c>
      <c r="G1926" s="4" t="s">
        <v>2276</v>
      </c>
      <c r="H1926" s="3"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5575</v>
      </c>
      <c r="AD1926" s="3"/>
    </row>
    <row r="1927" spans="1:30" ht="29" customHeight="1">
      <c r="A1927" s="11" t="s">
        <v>5543</v>
      </c>
      <c r="B1927" s="11" t="s">
        <v>5564</v>
      </c>
      <c r="C1927" s="3" t="s">
        <v>24</v>
      </c>
      <c r="D1927" s="3" t="s">
        <v>27</v>
      </c>
      <c r="E1927" s="4" t="s">
        <v>397</v>
      </c>
      <c r="F1927" s="4" t="s">
        <v>2276</v>
      </c>
      <c r="G1927" s="4" t="s">
        <v>2276</v>
      </c>
      <c r="H1927" s="3"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5575</v>
      </c>
      <c r="AD1927" s="3"/>
    </row>
    <row r="1928" spans="1:30" ht="29" customHeight="1">
      <c r="A1928" s="11" t="s">
        <v>5547</v>
      </c>
      <c r="B1928" s="11" t="s">
        <v>5565</v>
      </c>
      <c r="C1928" s="3" t="s">
        <v>24</v>
      </c>
      <c r="D1928" s="3" t="s">
        <v>27</v>
      </c>
      <c r="E1928" s="4" t="s">
        <v>397</v>
      </c>
      <c r="F1928" s="4" t="s">
        <v>2276</v>
      </c>
      <c r="G1928" s="4" t="s">
        <v>2276</v>
      </c>
      <c r="H1928" s="3"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5575</v>
      </c>
      <c r="AD1928" s="3"/>
    </row>
    <row r="1929" spans="1:30" ht="29" customHeight="1">
      <c r="A1929" s="11" t="s">
        <v>5548</v>
      </c>
      <c r="B1929" s="11" t="s">
        <v>5566</v>
      </c>
      <c r="C1929" s="3" t="s">
        <v>24</v>
      </c>
      <c r="D1929" s="3" t="s">
        <v>27</v>
      </c>
      <c r="E1929" s="4" t="s">
        <v>397</v>
      </c>
      <c r="F1929" s="4" t="s">
        <v>2276</v>
      </c>
      <c r="G1929" s="4" t="s">
        <v>2276</v>
      </c>
      <c r="H1929" s="3"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5575</v>
      </c>
      <c r="AD1929" s="3"/>
    </row>
    <row r="1930" spans="1:30" ht="29" customHeight="1">
      <c r="A1930" s="11" t="s">
        <v>5527</v>
      </c>
      <c r="B1930" s="11" t="s">
        <v>5567</v>
      </c>
      <c r="C1930" s="3" t="s">
        <v>24</v>
      </c>
      <c r="D1930" s="3" t="s">
        <v>27</v>
      </c>
      <c r="E1930" s="4" t="s">
        <v>396</v>
      </c>
      <c r="F1930" s="4" t="s">
        <v>2276</v>
      </c>
      <c r="G1930" s="4" t="s">
        <v>2276</v>
      </c>
      <c r="H1930" s="3"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5575</v>
      </c>
      <c r="AD1930" s="3"/>
    </row>
    <row r="1931" spans="1:30" ht="29" customHeight="1">
      <c r="A1931" s="11" t="s">
        <v>5539</v>
      </c>
      <c r="B1931" s="11" t="s">
        <v>5568</v>
      </c>
      <c r="C1931" s="3" t="s">
        <v>24</v>
      </c>
      <c r="D1931" s="3" t="s">
        <v>27</v>
      </c>
      <c r="E1931" s="4" t="s">
        <v>396</v>
      </c>
      <c r="F1931" s="4" t="s">
        <v>2276</v>
      </c>
      <c r="G1931" s="4" t="s">
        <v>2276</v>
      </c>
      <c r="H1931" s="3"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5575</v>
      </c>
      <c r="AD1931" s="3"/>
    </row>
    <row r="1932" spans="1:30" ht="29" customHeight="1">
      <c r="A1932" s="11" t="s">
        <v>5540</v>
      </c>
      <c r="B1932" s="11" t="s">
        <v>5569</v>
      </c>
      <c r="C1932" s="3" t="s">
        <v>24</v>
      </c>
      <c r="D1932" s="3" t="s">
        <v>27</v>
      </c>
      <c r="E1932" s="4" t="s">
        <v>396</v>
      </c>
      <c r="F1932" s="4" t="s">
        <v>2276</v>
      </c>
      <c r="G1932" s="4" t="s">
        <v>2276</v>
      </c>
      <c r="H1932" s="3"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5575</v>
      </c>
      <c r="AD1932" s="3"/>
    </row>
    <row r="1933" spans="1:30" ht="29" customHeight="1">
      <c r="A1933" s="11" t="s">
        <v>5541</v>
      </c>
      <c r="B1933" s="11" t="s">
        <v>5570</v>
      </c>
      <c r="C1933" s="3" t="s">
        <v>24</v>
      </c>
      <c r="D1933" s="3" t="s">
        <v>27</v>
      </c>
      <c r="E1933" s="4" t="s">
        <v>396</v>
      </c>
      <c r="F1933" s="4" t="s">
        <v>2276</v>
      </c>
      <c r="G1933" s="4" t="s">
        <v>2276</v>
      </c>
      <c r="H1933" s="3"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5575</v>
      </c>
      <c r="AD1933" s="3"/>
    </row>
    <row r="1934" spans="1:30" ht="29" customHeight="1">
      <c r="A1934" s="11" t="s">
        <v>5542</v>
      </c>
      <c r="B1934" s="11" t="s">
        <v>5571</v>
      </c>
      <c r="C1934" s="3" t="s">
        <v>24</v>
      </c>
      <c r="D1934" s="3" t="s">
        <v>27</v>
      </c>
      <c r="E1934" s="4" t="s">
        <v>396</v>
      </c>
      <c r="F1934" s="4" t="s">
        <v>2276</v>
      </c>
      <c r="G1934" s="4" t="s">
        <v>2276</v>
      </c>
      <c r="H1934" s="3"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5575</v>
      </c>
      <c r="AD1934" s="3"/>
    </row>
    <row r="1935" spans="1:30" ht="29" customHeight="1">
      <c r="A1935" s="11" t="s">
        <v>5543</v>
      </c>
      <c r="B1935" s="11" t="s">
        <v>5572</v>
      </c>
      <c r="C1935" s="3" t="s">
        <v>24</v>
      </c>
      <c r="D1935" s="3" t="s">
        <v>27</v>
      </c>
      <c r="E1935" s="4" t="s">
        <v>396</v>
      </c>
      <c r="F1935" s="4" t="s">
        <v>2276</v>
      </c>
      <c r="G1935" s="4" t="s">
        <v>2276</v>
      </c>
      <c r="H1935" s="3"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5575</v>
      </c>
      <c r="AD1935" s="3"/>
    </row>
    <row r="1936" spans="1:30" ht="29" customHeight="1">
      <c r="A1936" s="11" t="s">
        <v>5547</v>
      </c>
      <c r="B1936" s="11" t="s">
        <v>5573</v>
      </c>
      <c r="C1936" s="3" t="s">
        <v>24</v>
      </c>
      <c r="D1936" s="3" t="s">
        <v>27</v>
      </c>
      <c r="E1936" s="4" t="s">
        <v>396</v>
      </c>
      <c r="F1936" s="4" t="s">
        <v>2276</v>
      </c>
      <c r="G1936" s="4" t="s">
        <v>2276</v>
      </c>
      <c r="H1936" s="3"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5575</v>
      </c>
      <c r="AD1936" s="3"/>
    </row>
    <row r="1937" spans="1:30" ht="29" customHeight="1">
      <c r="A1937" s="11" t="s">
        <v>5548</v>
      </c>
      <c r="B1937" s="11" t="s">
        <v>5574</v>
      </c>
      <c r="C1937" s="3" t="s">
        <v>24</v>
      </c>
      <c r="D1937" s="3" t="s">
        <v>27</v>
      </c>
      <c r="E1937" s="4" t="s">
        <v>396</v>
      </c>
      <c r="F1937" s="4" t="s">
        <v>2276</v>
      </c>
      <c r="G1937" s="4" t="s">
        <v>2276</v>
      </c>
      <c r="H1937" s="3"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5575</v>
      </c>
      <c r="AD1937" s="3"/>
    </row>
    <row r="1938" spans="1:30" ht="28" customHeight="1">
      <c r="A1938" s="11" t="s">
        <v>5578</v>
      </c>
      <c r="B1938" s="11" t="s">
        <v>5582</v>
      </c>
      <c r="C1938" s="3" t="s">
        <v>24</v>
      </c>
      <c r="D1938" s="3" t="s">
        <v>1242</v>
      </c>
      <c r="E1938" s="4" t="s">
        <v>397</v>
      </c>
      <c r="F1938" s="4" t="s">
        <v>2276</v>
      </c>
      <c r="G1938" s="4" t="s">
        <v>2276</v>
      </c>
      <c r="H1938" s="3"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3"/>
      <c r="AD1938" s="3"/>
    </row>
    <row r="1939" spans="1:30" ht="35.5" customHeight="1">
      <c r="A1939" s="11" t="s">
        <v>5578</v>
      </c>
      <c r="B1939" s="11" t="s">
        <v>5583</v>
      </c>
      <c r="C1939" s="3" t="s">
        <v>24</v>
      </c>
      <c r="D1939" s="3" t="s">
        <v>1242</v>
      </c>
      <c r="E1939" s="4" t="s">
        <v>2651</v>
      </c>
      <c r="F1939" s="4" t="s">
        <v>2276</v>
      </c>
      <c r="G1939" s="4" t="s">
        <v>2276</v>
      </c>
      <c r="H1939" s="3"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3"/>
      <c r="AD1939" s="3"/>
    </row>
    <row r="1940" spans="1:30" ht="28" customHeight="1">
      <c r="A1940" s="11" t="s">
        <v>5590</v>
      </c>
      <c r="B1940" s="11" t="s">
        <v>5593</v>
      </c>
      <c r="C1940" s="3" t="s">
        <v>24</v>
      </c>
      <c r="D1940" s="3" t="s">
        <v>27</v>
      </c>
      <c r="E1940" s="3" t="s">
        <v>130</v>
      </c>
      <c r="F1940" s="4" t="s">
        <v>74</v>
      </c>
      <c r="G1940" s="4" t="s">
        <v>2276</v>
      </c>
      <c r="H1940" s="3"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3"/>
      <c r="AD1940" s="3"/>
    </row>
    <row r="1941" spans="1:30" ht="31" customHeight="1">
      <c r="A1941" s="11" t="s">
        <v>5590</v>
      </c>
      <c r="B1941" s="11" t="s">
        <v>5594</v>
      </c>
      <c r="C1941" s="3" t="s">
        <v>24</v>
      </c>
      <c r="D1941" s="3" t="s">
        <v>2231</v>
      </c>
      <c r="E1941" s="3" t="s">
        <v>84</v>
      </c>
      <c r="F1941" s="4" t="s">
        <v>74</v>
      </c>
      <c r="G1941" s="4" t="s">
        <v>2276</v>
      </c>
      <c r="H1941" s="3"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3"/>
      <c r="AD1941" s="3"/>
    </row>
    <row r="1942" spans="1:30" ht="30" customHeight="1">
      <c r="A1942" s="11" t="s">
        <v>5599</v>
      </c>
      <c r="B1942" s="11" t="s">
        <v>5603</v>
      </c>
      <c r="C1942" s="3" t="s">
        <v>24</v>
      </c>
      <c r="D1942" s="3" t="s">
        <v>27</v>
      </c>
      <c r="E1942" s="3" t="s">
        <v>130</v>
      </c>
      <c r="F1942" s="4" t="s">
        <v>160</v>
      </c>
      <c r="G1942" s="4" t="s">
        <v>2276</v>
      </c>
      <c r="H1942" s="3"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3"/>
    </row>
    <row r="1943" spans="1:30" ht="30" customHeight="1">
      <c r="A1943" s="11" t="s">
        <v>5600</v>
      </c>
      <c r="B1943" s="11" t="s">
        <v>5604</v>
      </c>
      <c r="C1943" s="3" t="s">
        <v>24</v>
      </c>
      <c r="D1943" s="3" t="s">
        <v>27</v>
      </c>
      <c r="E1943" s="3" t="s">
        <v>130</v>
      </c>
      <c r="F1943" s="4" t="s">
        <v>160</v>
      </c>
      <c r="G1943" s="4" t="s">
        <v>2276</v>
      </c>
      <c r="H1943" s="3"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3"/>
      <c r="AD1943" s="3"/>
    </row>
    <row r="1944" spans="1:30" ht="30" customHeight="1">
      <c r="A1944" s="11" t="s">
        <v>5599</v>
      </c>
      <c r="B1944" s="11" t="s">
        <v>5605</v>
      </c>
      <c r="C1944" s="3" t="s">
        <v>24</v>
      </c>
      <c r="D1944" s="3" t="s">
        <v>27</v>
      </c>
      <c r="E1944" s="3" t="s">
        <v>130</v>
      </c>
      <c r="F1944" s="4" t="s">
        <v>74</v>
      </c>
      <c r="G1944" s="4" t="s">
        <v>2276</v>
      </c>
      <c r="H1944" s="3"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3"/>
      <c r="AD1944" s="3"/>
    </row>
    <row r="1945" spans="1:30" ht="30" customHeight="1">
      <c r="A1945" s="11" t="s">
        <v>5600</v>
      </c>
      <c r="B1945" s="11" t="s">
        <v>5606</v>
      </c>
      <c r="C1945" s="3" t="s">
        <v>24</v>
      </c>
      <c r="D1945" s="3" t="s">
        <v>27</v>
      </c>
      <c r="E1945" s="3" t="s">
        <v>130</v>
      </c>
      <c r="F1945" s="4" t="s">
        <v>74</v>
      </c>
      <c r="G1945" s="4" t="s">
        <v>2276</v>
      </c>
      <c r="H1945" s="3"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3"/>
      <c r="AD1945" s="3"/>
    </row>
    <row r="1946" spans="1:30" ht="25.5" customHeight="1">
      <c r="A1946" s="11" t="s">
        <v>5599</v>
      </c>
      <c r="B1946" s="11" t="s">
        <v>5607</v>
      </c>
      <c r="C1946" s="3" t="s">
        <v>24</v>
      </c>
      <c r="D1946" s="3" t="s">
        <v>25</v>
      </c>
      <c r="E1946" s="3" t="s">
        <v>45</v>
      </c>
      <c r="F1946" s="4" t="s">
        <v>29</v>
      </c>
      <c r="G1946" s="4" t="s">
        <v>29</v>
      </c>
      <c r="H1946" s="3"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3"/>
      <c r="AD1946" s="3"/>
    </row>
    <row r="1947" spans="1:30" ht="25.5" customHeight="1">
      <c r="A1947" s="11" t="s">
        <v>5600</v>
      </c>
      <c r="B1947" s="11" t="s">
        <v>5608</v>
      </c>
      <c r="C1947" s="3" t="s">
        <v>24</v>
      </c>
      <c r="D1947" s="3" t="s">
        <v>25</v>
      </c>
      <c r="E1947" s="3" t="s">
        <v>45</v>
      </c>
      <c r="F1947" s="4" t="s">
        <v>29</v>
      </c>
      <c r="G1947" s="4" t="s">
        <v>29</v>
      </c>
      <c r="H1947" s="3"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3"/>
      <c r="AD1947" s="3"/>
    </row>
    <row r="1948" spans="1:30" ht="25.5" customHeight="1">
      <c r="A1948" s="11" t="s">
        <v>5599</v>
      </c>
      <c r="B1948" s="11" t="s">
        <v>5609</v>
      </c>
      <c r="C1948" s="3" t="s">
        <v>2458</v>
      </c>
      <c r="D1948" s="3" t="s">
        <v>143</v>
      </c>
      <c r="E1948" s="3" t="s">
        <v>45</v>
      </c>
      <c r="F1948" s="4" t="s">
        <v>29</v>
      </c>
      <c r="G1948" s="4" t="s">
        <v>2276</v>
      </c>
      <c r="H1948" s="3"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3"/>
      <c r="AD1948" s="3"/>
    </row>
    <row r="1949" spans="1:30" ht="32.5" customHeight="1">
      <c r="A1949" s="11" t="s">
        <v>5600</v>
      </c>
      <c r="B1949" s="11" t="s">
        <v>5610</v>
      </c>
      <c r="C1949" s="3" t="s">
        <v>2458</v>
      </c>
      <c r="D1949" s="3" t="s">
        <v>143</v>
      </c>
      <c r="E1949" s="3" t="s">
        <v>45</v>
      </c>
      <c r="F1949" s="4" t="s">
        <v>29</v>
      </c>
      <c r="G1949" s="4" t="s">
        <v>2276</v>
      </c>
      <c r="H1949" s="3"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3"/>
    </row>
    <row r="1950" spans="1:30" ht="93.5" customHeight="1">
      <c r="A1950" s="11" t="s">
        <v>5599</v>
      </c>
      <c r="B1950" s="11" t="s">
        <v>5611</v>
      </c>
      <c r="C1950" s="3" t="s">
        <v>2458</v>
      </c>
      <c r="D1950" s="3" t="s">
        <v>2276</v>
      </c>
      <c r="E1950" s="3" t="s">
        <v>45</v>
      </c>
      <c r="F1950" s="4" t="s">
        <v>29</v>
      </c>
      <c r="G1950" s="4" t="s">
        <v>2276</v>
      </c>
      <c r="H1950" s="3"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5614</v>
      </c>
      <c r="AD1950" s="4" t="s">
        <v>5613</v>
      </c>
    </row>
    <row r="1951" spans="1:30" ht="93.5" customHeight="1">
      <c r="A1951" s="11" t="s">
        <v>5600</v>
      </c>
      <c r="B1951" s="11" t="s">
        <v>5612</v>
      </c>
      <c r="C1951" s="3" t="s">
        <v>2458</v>
      </c>
      <c r="D1951" s="3" t="s">
        <v>2276</v>
      </c>
      <c r="E1951" s="3" t="s">
        <v>45</v>
      </c>
      <c r="F1951" s="4" t="s">
        <v>29</v>
      </c>
      <c r="G1951" s="4" t="s">
        <v>2276</v>
      </c>
      <c r="H1951" s="3"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5614</v>
      </c>
      <c r="AD1951" s="4" t="s">
        <v>5613</v>
      </c>
    </row>
    <row r="1952" spans="1:30" ht="31" customHeight="1">
      <c r="A1952" s="11" t="s">
        <v>5600</v>
      </c>
      <c r="B1952" s="11" t="s">
        <v>5618</v>
      </c>
      <c r="C1952" s="3" t="s">
        <v>31</v>
      </c>
      <c r="D1952" s="3" t="s">
        <v>30</v>
      </c>
      <c r="E1952" s="3" t="s">
        <v>2276</v>
      </c>
      <c r="F1952" s="3" t="s">
        <v>2276</v>
      </c>
      <c r="G1952" s="3" t="s">
        <v>2276</v>
      </c>
      <c r="H1952" s="3"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3"/>
      <c r="AD1952" s="3"/>
    </row>
    <row r="1953" spans="1:30" ht="31" customHeight="1">
      <c r="A1953" s="11" t="s">
        <v>5600</v>
      </c>
      <c r="B1953" s="11" t="s">
        <v>5619</v>
      </c>
      <c r="C1953" s="3" t="s">
        <v>24</v>
      </c>
      <c r="D1953" s="3" t="s">
        <v>2346</v>
      </c>
      <c r="E1953" s="3" t="s">
        <v>2276</v>
      </c>
      <c r="F1953" s="3" t="s">
        <v>2276</v>
      </c>
      <c r="G1953" s="3" t="s">
        <v>2276</v>
      </c>
      <c r="H1953" s="3"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3"/>
      <c r="AD1953" s="3"/>
    </row>
    <row r="1954" spans="1:30" ht="31" customHeight="1">
      <c r="A1954" s="11" t="s">
        <v>5600</v>
      </c>
      <c r="B1954" s="11" t="s">
        <v>5620</v>
      </c>
      <c r="C1954" s="3" t="s">
        <v>24</v>
      </c>
      <c r="D1954" s="3" t="s">
        <v>2994</v>
      </c>
      <c r="E1954" s="3" t="s">
        <v>2276</v>
      </c>
      <c r="F1954" s="3" t="s">
        <v>2276</v>
      </c>
      <c r="G1954" s="3" t="s">
        <v>2276</v>
      </c>
      <c r="H1954" s="3"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3"/>
      <c r="AD1954" s="3"/>
    </row>
    <row r="1955" spans="1:30" ht="39" customHeight="1">
      <c r="A1955" s="11" t="s">
        <v>5625</v>
      </c>
      <c r="B1955" s="11" t="s">
        <v>5632</v>
      </c>
      <c r="C1955" s="3" t="s">
        <v>24</v>
      </c>
      <c r="D1955" s="3" t="s">
        <v>27</v>
      </c>
      <c r="E1955" s="3" t="s">
        <v>130</v>
      </c>
      <c r="F1955" s="4" t="s">
        <v>160</v>
      </c>
      <c r="G1955" s="3" t="s">
        <v>2276</v>
      </c>
      <c r="H1955" s="3"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3" t="s">
        <v>5644</v>
      </c>
      <c r="AD1955" s="3"/>
    </row>
    <row r="1956" spans="1:30" ht="39" customHeight="1">
      <c r="A1956" s="11" t="s">
        <v>5629</v>
      </c>
      <c r="B1956" s="11" t="s">
        <v>5633</v>
      </c>
      <c r="C1956" s="3" t="s">
        <v>24</v>
      </c>
      <c r="D1956" s="3" t="s">
        <v>27</v>
      </c>
      <c r="E1956" s="3" t="s">
        <v>130</v>
      </c>
      <c r="F1956" s="4" t="s">
        <v>160</v>
      </c>
      <c r="G1956" s="3" t="s">
        <v>2276</v>
      </c>
      <c r="H1956" s="3"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3" t="s">
        <v>5644</v>
      </c>
      <c r="AD1956" s="3"/>
    </row>
    <row r="1957" spans="1:30" ht="39" customHeight="1">
      <c r="A1957" s="11" t="s">
        <v>5630</v>
      </c>
      <c r="B1957" s="11" t="s">
        <v>5634</v>
      </c>
      <c r="C1957" s="3" t="s">
        <v>24</v>
      </c>
      <c r="D1957" s="3" t="s">
        <v>27</v>
      </c>
      <c r="E1957" s="3" t="s">
        <v>130</v>
      </c>
      <c r="F1957" s="4" t="s">
        <v>160</v>
      </c>
      <c r="G1957" s="3" t="s">
        <v>2276</v>
      </c>
      <c r="H1957" s="3"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3" t="s">
        <v>5644</v>
      </c>
      <c r="AD1957" s="3"/>
    </row>
    <row r="1958" spans="1:30" ht="39" customHeight="1">
      <c r="A1958" s="11" t="s">
        <v>5631</v>
      </c>
      <c r="B1958" s="11" t="s">
        <v>5635</v>
      </c>
      <c r="C1958" s="3" t="s">
        <v>24</v>
      </c>
      <c r="D1958" s="3" t="s">
        <v>27</v>
      </c>
      <c r="E1958" s="3" t="s">
        <v>130</v>
      </c>
      <c r="F1958" s="4" t="s">
        <v>160</v>
      </c>
      <c r="G1958" s="3" t="s">
        <v>2276</v>
      </c>
      <c r="H1958" s="3"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5644</v>
      </c>
      <c r="AD1958" s="3"/>
    </row>
    <row r="1959" spans="1:30" ht="39" customHeight="1">
      <c r="A1959" s="11" t="s">
        <v>5625</v>
      </c>
      <c r="B1959" s="11" t="s">
        <v>5636</v>
      </c>
      <c r="C1959" s="3" t="s">
        <v>24</v>
      </c>
      <c r="D1959" s="3" t="s">
        <v>25</v>
      </c>
      <c r="E1959" s="3" t="s">
        <v>45</v>
      </c>
      <c r="F1959" s="4" t="s">
        <v>29</v>
      </c>
      <c r="G1959" s="3" t="s">
        <v>2276</v>
      </c>
      <c r="H1959" s="3" t="s">
        <v>523</v>
      </c>
      <c r="I1959" s="3"/>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3" t="s">
        <v>5645</v>
      </c>
      <c r="AD1959" s="3"/>
    </row>
    <row r="1960" spans="1:30" ht="39" customHeight="1">
      <c r="A1960" s="11" t="s">
        <v>5629</v>
      </c>
      <c r="B1960" s="11" t="s">
        <v>5637</v>
      </c>
      <c r="C1960" s="3" t="s">
        <v>24</v>
      </c>
      <c r="D1960" s="3" t="s">
        <v>25</v>
      </c>
      <c r="E1960" s="3" t="s">
        <v>45</v>
      </c>
      <c r="F1960" s="4" t="s">
        <v>29</v>
      </c>
      <c r="G1960" s="3" t="s">
        <v>2276</v>
      </c>
      <c r="H1960" s="3" t="s">
        <v>523</v>
      </c>
      <c r="I1960" s="3"/>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3" t="s">
        <v>5645</v>
      </c>
      <c r="AD1960" s="3"/>
    </row>
    <row r="1961" spans="1:30" ht="39" customHeight="1">
      <c r="A1961" s="11" t="s">
        <v>5630</v>
      </c>
      <c r="B1961" s="11" t="s">
        <v>5638</v>
      </c>
      <c r="C1961" s="3" t="s">
        <v>24</v>
      </c>
      <c r="D1961" s="3" t="s">
        <v>25</v>
      </c>
      <c r="E1961" s="3" t="s">
        <v>45</v>
      </c>
      <c r="F1961" s="4" t="s">
        <v>29</v>
      </c>
      <c r="G1961" s="3" t="s">
        <v>2276</v>
      </c>
      <c r="H1961" s="3" t="s">
        <v>523</v>
      </c>
      <c r="I1961" s="3"/>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3" t="s">
        <v>5645</v>
      </c>
      <c r="AD1961" s="3"/>
    </row>
    <row r="1962" spans="1:30" ht="39" customHeight="1">
      <c r="A1962" s="11" t="s">
        <v>5631</v>
      </c>
      <c r="B1962" s="11" t="s">
        <v>5639</v>
      </c>
      <c r="C1962" s="3" t="s">
        <v>24</v>
      </c>
      <c r="D1962" s="3" t="s">
        <v>25</v>
      </c>
      <c r="E1962" s="3" t="s">
        <v>45</v>
      </c>
      <c r="F1962" s="4" t="s">
        <v>29</v>
      </c>
      <c r="G1962" s="3" t="s">
        <v>2276</v>
      </c>
      <c r="H1962" s="3" t="s">
        <v>523</v>
      </c>
      <c r="I1962" s="3"/>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3" t="s">
        <v>5645</v>
      </c>
      <c r="AD1962" s="3"/>
    </row>
    <row r="1963" spans="1:30" ht="84.5" customHeight="1">
      <c r="A1963" s="11" t="s">
        <v>5625</v>
      </c>
      <c r="B1963" s="11" t="s">
        <v>5640</v>
      </c>
      <c r="C1963" s="3" t="s">
        <v>2458</v>
      </c>
      <c r="D1963" s="3" t="s">
        <v>2276</v>
      </c>
      <c r="E1963" s="3" t="s">
        <v>2276</v>
      </c>
      <c r="F1963" s="3" t="s">
        <v>2276</v>
      </c>
      <c r="G1963" s="3" t="s">
        <v>2276</v>
      </c>
      <c r="H1963" s="3" t="s">
        <v>523</v>
      </c>
      <c r="I1963" s="3"/>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5646</v>
      </c>
      <c r="AD1963" s="4" t="s">
        <v>5647</v>
      </c>
    </row>
    <row r="1964" spans="1:30" ht="84.5" customHeight="1">
      <c r="A1964" s="11" t="s">
        <v>5629</v>
      </c>
      <c r="B1964" s="11" t="s">
        <v>5641</v>
      </c>
      <c r="C1964" s="3" t="s">
        <v>2458</v>
      </c>
      <c r="D1964" s="3" t="s">
        <v>2276</v>
      </c>
      <c r="E1964" s="3" t="s">
        <v>2276</v>
      </c>
      <c r="F1964" s="3" t="s">
        <v>2276</v>
      </c>
      <c r="G1964" s="3" t="s">
        <v>2276</v>
      </c>
      <c r="H1964" s="3" t="s">
        <v>523</v>
      </c>
      <c r="I1964" s="3"/>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5646</v>
      </c>
      <c r="AD1964" s="4" t="s">
        <v>5647</v>
      </c>
    </row>
    <row r="1965" spans="1:30" ht="84.5" customHeight="1">
      <c r="A1965" s="11" t="s">
        <v>5630</v>
      </c>
      <c r="B1965" s="11" t="s">
        <v>5642</v>
      </c>
      <c r="C1965" s="3" t="s">
        <v>2458</v>
      </c>
      <c r="D1965" s="3" t="s">
        <v>2276</v>
      </c>
      <c r="E1965" s="3" t="s">
        <v>2276</v>
      </c>
      <c r="F1965" s="3" t="s">
        <v>2276</v>
      </c>
      <c r="G1965" s="3" t="s">
        <v>2276</v>
      </c>
      <c r="H1965" s="3" t="s">
        <v>523</v>
      </c>
      <c r="I1965" s="3"/>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5646</v>
      </c>
      <c r="AD1965" s="4" t="s">
        <v>5647</v>
      </c>
    </row>
    <row r="1966" spans="1:30" ht="84.5" customHeight="1">
      <c r="A1966" s="11" t="s">
        <v>5631</v>
      </c>
      <c r="B1966" s="11" t="s">
        <v>5643</v>
      </c>
      <c r="C1966" s="3" t="s">
        <v>2458</v>
      </c>
      <c r="D1966" s="3" t="s">
        <v>2276</v>
      </c>
      <c r="E1966" s="3" t="s">
        <v>2276</v>
      </c>
      <c r="F1966" s="3" t="s">
        <v>2276</v>
      </c>
      <c r="G1966" s="3" t="s">
        <v>2276</v>
      </c>
      <c r="H1966" s="3" t="s">
        <v>523</v>
      </c>
      <c r="I1966" s="3"/>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5646</v>
      </c>
      <c r="AD1966" s="4" t="s">
        <v>5647</v>
      </c>
    </row>
    <row r="1967" spans="1:30" ht="54.5" customHeight="1">
      <c r="A1967" s="19" t="s">
        <v>5649</v>
      </c>
      <c r="B1967" s="19" t="s">
        <v>5652</v>
      </c>
      <c r="C1967" s="4" t="s">
        <v>24</v>
      </c>
      <c r="D1967" s="4" t="s">
        <v>2231</v>
      </c>
      <c r="E1967" s="4" t="s">
        <v>130</v>
      </c>
      <c r="F1967" s="4" t="s">
        <v>74</v>
      </c>
      <c r="G1967" s="3" t="s">
        <v>2276</v>
      </c>
      <c r="H1967" s="3" t="s">
        <v>523</v>
      </c>
      <c r="I1967" s="3"/>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3"/>
      <c r="AD1967" s="4"/>
    </row>
    <row r="1968" spans="1:30" ht="54.5" customHeight="1">
      <c r="A1968" s="19" t="s">
        <v>5649</v>
      </c>
      <c r="B1968" s="19" t="s">
        <v>5653</v>
      </c>
      <c r="C1968" s="4" t="s">
        <v>24</v>
      </c>
      <c r="D1968" s="4" t="s">
        <v>2231</v>
      </c>
      <c r="E1968" s="4" t="s">
        <v>396</v>
      </c>
      <c r="F1968" s="4" t="s">
        <v>74</v>
      </c>
      <c r="G1968" s="3" t="s">
        <v>2276</v>
      </c>
      <c r="H1968" s="3" t="s">
        <v>523</v>
      </c>
      <c r="I1968" s="3"/>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3"/>
      <c r="AD1968" s="3"/>
    </row>
    <row r="1969" spans="1:30" ht="54.5" customHeight="1">
      <c r="A1969" s="19" t="s">
        <v>5649</v>
      </c>
      <c r="B1969" s="19" t="s">
        <v>5654</v>
      </c>
      <c r="C1969" s="4" t="s">
        <v>24</v>
      </c>
      <c r="D1969" s="4" t="s">
        <v>2231</v>
      </c>
      <c r="E1969" s="4" t="s">
        <v>2647</v>
      </c>
      <c r="F1969" s="4" t="s">
        <v>74</v>
      </c>
      <c r="G1969" s="3" t="s">
        <v>2276</v>
      </c>
      <c r="H1969" s="3" t="s">
        <v>523</v>
      </c>
      <c r="I1969" s="3"/>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3"/>
      <c r="AD1969" s="3"/>
    </row>
    <row r="1970" spans="1:30" ht="54.5" customHeight="1">
      <c r="A1970" s="19" t="s">
        <v>5649</v>
      </c>
      <c r="B1970" s="19" t="s">
        <v>5655</v>
      </c>
      <c r="C1970" s="4" t="s">
        <v>24</v>
      </c>
      <c r="D1970" s="4" t="s">
        <v>2346</v>
      </c>
      <c r="E1970" s="4" t="s">
        <v>396</v>
      </c>
      <c r="F1970" s="4" t="s">
        <v>74</v>
      </c>
      <c r="G1970" s="3" t="s">
        <v>2276</v>
      </c>
      <c r="H1970" s="3" t="s">
        <v>523</v>
      </c>
      <c r="I1970" s="3"/>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3"/>
      <c r="AD1970" s="3"/>
    </row>
    <row r="1971" spans="1:30" ht="54.5" customHeight="1">
      <c r="A1971" s="19" t="s">
        <v>5649</v>
      </c>
      <c r="B1971" s="19" t="s">
        <v>5656</v>
      </c>
      <c r="C1971" s="4" t="s">
        <v>24</v>
      </c>
      <c r="D1971" s="4" t="s">
        <v>2346</v>
      </c>
      <c r="E1971" s="4" t="s">
        <v>2647</v>
      </c>
      <c r="F1971" s="4" t="s">
        <v>74</v>
      </c>
      <c r="G1971" s="3" t="s">
        <v>2276</v>
      </c>
      <c r="H1971" s="3" t="s">
        <v>523</v>
      </c>
      <c r="I1971" s="3"/>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3"/>
      <c r="AD1971" s="3"/>
    </row>
    <row r="1972" spans="1:30" ht="33.5" customHeight="1">
      <c r="A1972" s="19" t="s">
        <v>5661</v>
      </c>
      <c r="B1972" s="19" t="s">
        <v>5664</v>
      </c>
      <c r="C1972" s="3" t="s">
        <v>24</v>
      </c>
      <c r="D1972" s="3" t="s">
        <v>406</v>
      </c>
      <c r="E1972" s="3" t="s">
        <v>137</v>
      </c>
      <c r="F1972" s="4" t="s">
        <v>2662</v>
      </c>
      <c r="G1972" s="4" t="s">
        <v>2276</v>
      </c>
      <c r="H1972" s="3" t="s">
        <v>524</v>
      </c>
      <c r="I1972" s="3">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5672</v>
      </c>
      <c r="AD1972" s="3"/>
    </row>
    <row r="1973" spans="1:30" ht="33.5" customHeight="1">
      <c r="A1973" s="19" t="s">
        <v>5661</v>
      </c>
      <c r="B1973" s="19" t="s">
        <v>5665</v>
      </c>
      <c r="C1973" s="3" t="s">
        <v>24</v>
      </c>
      <c r="D1973" s="3" t="s">
        <v>1242</v>
      </c>
      <c r="E1973" s="3" t="s">
        <v>137</v>
      </c>
      <c r="F1973" s="4" t="s">
        <v>2662</v>
      </c>
      <c r="G1973" s="4" t="s">
        <v>2276</v>
      </c>
      <c r="H1973" s="3" t="s">
        <v>524</v>
      </c>
      <c r="I1973" s="3">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5672</v>
      </c>
      <c r="AD1973" s="3"/>
    </row>
    <row r="1974" spans="1:30" ht="33.5" customHeight="1">
      <c r="A1974" s="19" t="s">
        <v>5661</v>
      </c>
      <c r="B1974" s="19" t="s">
        <v>5666</v>
      </c>
      <c r="C1974" s="3" t="s">
        <v>24</v>
      </c>
      <c r="D1974" s="3" t="s">
        <v>406</v>
      </c>
      <c r="E1974" s="3" t="s">
        <v>137</v>
      </c>
      <c r="F1974" s="4" t="s">
        <v>2662</v>
      </c>
      <c r="G1974" s="4" t="s">
        <v>2276</v>
      </c>
      <c r="H1974" s="3" t="s">
        <v>524</v>
      </c>
      <c r="I1974" s="3">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5672</v>
      </c>
      <c r="AD1974" s="3"/>
    </row>
    <row r="1975" spans="1:30" ht="33.5" customHeight="1">
      <c r="A1975" s="19" t="s">
        <v>5661</v>
      </c>
      <c r="B1975" s="19" t="s">
        <v>5667</v>
      </c>
      <c r="C1975" s="3" t="s">
        <v>24</v>
      </c>
      <c r="D1975" s="3" t="s">
        <v>1242</v>
      </c>
      <c r="E1975" s="3" t="s">
        <v>137</v>
      </c>
      <c r="F1975" s="4" t="s">
        <v>2662</v>
      </c>
      <c r="G1975" s="4" t="s">
        <v>2276</v>
      </c>
      <c r="H1975" s="3" t="s">
        <v>524</v>
      </c>
      <c r="I1975" s="3">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5672</v>
      </c>
      <c r="AD1975" s="3"/>
    </row>
    <row r="1976" spans="1:30" ht="30" customHeight="1">
      <c r="A1976" s="19" t="s">
        <v>5661</v>
      </c>
      <c r="B1976" s="19" t="s">
        <v>5668</v>
      </c>
      <c r="C1976" s="3" t="s">
        <v>24</v>
      </c>
      <c r="D1976" s="3" t="s">
        <v>406</v>
      </c>
      <c r="E1976" s="3" t="s">
        <v>116</v>
      </c>
      <c r="F1976" s="4" t="s">
        <v>2662</v>
      </c>
      <c r="G1976" s="3" t="s">
        <v>2276</v>
      </c>
      <c r="H1976" s="3" t="s">
        <v>523</v>
      </c>
      <c r="I1976" s="3">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5673</v>
      </c>
      <c r="AD1976" s="3"/>
    </row>
    <row r="1977" spans="1:30" ht="30" customHeight="1">
      <c r="A1977" s="19" t="s">
        <v>5661</v>
      </c>
      <c r="B1977" s="19" t="s">
        <v>5669</v>
      </c>
      <c r="C1977" s="3" t="s">
        <v>24</v>
      </c>
      <c r="D1977" s="3" t="s">
        <v>1242</v>
      </c>
      <c r="E1977" s="3" t="s">
        <v>116</v>
      </c>
      <c r="F1977" s="4" t="s">
        <v>2662</v>
      </c>
      <c r="G1977" s="3" t="s">
        <v>2276</v>
      </c>
      <c r="H1977" s="3" t="s">
        <v>523</v>
      </c>
      <c r="I1977" s="3">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5673</v>
      </c>
      <c r="AD1977" s="3"/>
    </row>
    <row r="1978" spans="1:30" ht="30" customHeight="1">
      <c r="A1978" s="19" t="s">
        <v>5661</v>
      </c>
      <c r="B1978" s="19" t="s">
        <v>5670</v>
      </c>
      <c r="C1978" s="3" t="s">
        <v>24</v>
      </c>
      <c r="D1978" s="3" t="s">
        <v>406</v>
      </c>
      <c r="E1978" s="3" t="s">
        <v>116</v>
      </c>
      <c r="F1978" s="4" t="s">
        <v>2662</v>
      </c>
      <c r="G1978" s="3" t="s">
        <v>2276</v>
      </c>
      <c r="H1978" s="3" t="s">
        <v>523</v>
      </c>
      <c r="I1978" s="3">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5673</v>
      </c>
      <c r="AD1978" s="3"/>
    </row>
    <row r="1979" spans="1:30" ht="30" customHeight="1">
      <c r="A1979" s="19" t="s">
        <v>5661</v>
      </c>
      <c r="B1979" s="19" t="s">
        <v>5671</v>
      </c>
      <c r="C1979" s="3" t="s">
        <v>24</v>
      </c>
      <c r="D1979" s="3" t="s">
        <v>1242</v>
      </c>
      <c r="E1979" s="3" t="s">
        <v>116</v>
      </c>
      <c r="F1979" s="4" t="s">
        <v>2662</v>
      </c>
      <c r="G1979" s="3" t="s">
        <v>2276</v>
      </c>
      <c r="H1979" s="3" t="s">
        <v>523</v>
      </c>
      <c r="I1979" s="3">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5673</v>
      </c>
      <c r="AD1979" s="3"/>
    </row>
    <row r="1980" spans="1:30" ht="30" customHeight="1">
      <c r="A1980" s="19" t="s">
        <v>5676</v>
      </c>
      <c r="B1980" s="19" t="s">
        <v>5679</v>
      </c>
      <c r="C1980" s="3" t="s">
        <v>24</v>
      </c>
      <c r="D1980" s="3" t="s">
        <v>1242</v>
      </c>
      <c r="E1980" s="3" t="s">
        <v>137</v>
      </c>
      <c r="F1980" s="4" t="s">
        <v>74</v>
      </c>
      <c r="G1980" s="3" t="s">
        <v>2276</v>
      </c>
      <c r="H1980" s="3" t="s">
        <v>523</v>
      </c>
      <c r="I1980" s="3"/>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3"/>
      <c r="AD1980" s="3"/>
    </row>
    <row r="1981" spans="1:30" ht="32.5" customHeight="1">
      <c r="A1981" s="19" t="s">
        <v>5676</v>
      </c>
      <c r="B1981" s="19" t="s">
        <v>5680</v>
      </c>
      <c r="C1981" s="3" t="s">
        <v>24</v>
      </c>
      <c r="D1981" s="3" t="s">
        <v>1242</v>
      </c>
      <c r="E1981" s="3" t="s">
        <v>2649</v>
      </c>
      <c r="F1981" s="4" t="s">
        <v>74</v>
      </c>
      <c r="G1981" s="3" t="s">
        <v>2276</v>
      </c>
      <c r="H1981" s="3" t="s">
        <v>523</v>
      </c>
      <c r="I1981" s="3"/>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3"/>
      <c r="AD1981" s="3"/>
    </row>
    <row r="1982" spans="1:30" ht="35.5" customHeight="1">
      <c r="A1982" s="19" t="s">
        <v>5676</v>
      </c>
      <c r="B1982" s="19" t="s">
        <v>5681</v>
      </c>
      <c r="C1982" s="3" t="s">
        <v>24</v>
      </c>
      <c r="D1982" s="3" t="s">
        <v>3480</v>
      </c>
      <c r="E1982" s="3" t="s">
        <v>116</v>
      </c>
      <c r="F1982" s="4" t="s">
        <v>74</v>
      </c>
      <c r="G1982" s="3" t="s">
        <v>2276</v>
      </c>
      <c r="H1982" s="3" t="s">
        <v>523</v>
      </c>
      <c r="I1982" s="3"/>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3"/>
      <c r="AD1982" s="3"/>
    </row>
    <row r="1983" spans="1:30" ht="37" customHeight="1">
      <c r="A1983" s="19" t="s">
        <v>5684</v>
      </c>
      <c r="B1983" s="19" t="s">
        <v>5686</v>
      </c>
      <c r="C1983" s="3" t="s">
        <v>24</v>
      </c>
      <c r="D1983" s="3" t="s">
        <v>1242</v>
      </c>
      <c r="E1983" s="3" t="s">
        <v>137</v>
      </c>
      <c r="F1983" s="4" t="s">
        <v>74</v>
      </c>
      <c r="G1983" s="3" t="s">
        <v>2276</v>
      </c>
      <c r="H1983" s="3" t="s">
        <v>523</v>
      </c>
      <c r="I1983" s="3"/>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3"/>
      <c r="AD1983" s="3"/>
    </row>
    <row r="1984" spans="1:30" ht="35.5" customHeight="1">
      <c r="A1984" s="19" t="s">
        <v>5684</v>
      </c>
      <c r="B1984" s="19" t="s">
        <v>5687</v>
      </c>
      <c r="C1984" s="3" t="s">
        <v>24</v>
      </c>
      <c r="D1984" s="3" t="s">
        <v>406</v>
      </c>
      <c r="E1984" s="3" t="s">
        <v>116</v>
      </c>
      <c r="F1984" s="4" t="s">
        <v>74</v>
      </c>
      <c r="G1984" s="3" t="s">
        <v>2276</v>
      </c>
      <c r="H1984" s="3" t="s">
        <v>523</v>
      </c>
      <c r="I1984" s="3"/>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3"/>
      <c r="AD1984" s="3"/>
    </row>
    <row r="1985" spans="1:30" ht="34" customHeight="1">
      <c r="A1985" s="19" t="s">
        <v>5684</v>
      </c>
      <c r="B1985" s="19" t="s">
        <v>5688</v>
      </c>
      <c r="C1985" s="3" t="s">
        <v>24</v>
      </c>
      <c r="D1985" s="3" t="s">
        <v>3480</v>
      </c>
      <c r="E1985" s="3" t="s">
        <v>116</v>
      </c>
      <c r="F1985" s="4" t="s">
        <v>74</v>
      </c>
      <c r="G1985" s="3" t="s">
        <v>2276</v>
      </c>
      <c r="H1985" s="3" t="s">
        <v>523</v>
      </c>
      <c r="I1985" s="3"/>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3"/>
      <c r="AD1985" s="3"/>
    </row>
    <row r="1986" spans="1:30" ht="30" customHeight="1">
      <c r="A1986" s="3" t="s">
        <v>5693</v>
      </c>
      <c r="B1986" s="19" t="s">
        <v>5698</v>
      </c>
      <c r="C1986" s="3" t="s">
        <v>24</v>
      </c>
      <c r="D1986" s="3" t="s">
        <v>27</v>
      </c>
      <c r="E1986" s="3" t="s">
        <v>130</v>
      </c>
      <c r="F1986" s="4" t="s">
        <v>74</v>
      </c>
      <c r="G1986" s="3" t="s">
        <v>2276</v>
      </c>
      <c r="H1986" s="3" t="s">
        <v>523</v>
      </c>
      <c r="I1986" s="3"/>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5703</v>
      </c>
      <c r="AD1986" s="3"/>
    </row>
    <row r="1987" spans="1:30" ht="27" customHeight="1">
      <c r="A1987" s="3" t="s">
        <v>5693</v>
      </c>
      <c r="B1987" s="19" t="s">
        <v>5699</v>
      </c>
      <c r="C1987" s="3" t="s">
        <v>24</v>
      </c>
      <c r="D1987" s="3" t="s">
        <v>25</v>
      </c>
      <c r="E1987" s="3" t="s">
        <v>45</v>
      </c>
      <c r="F1987" s="4" t="s">
        <v>55</v>
      </c>
      <c r="G1987" s="3" t="s">
        <v>2276</v>
      </c>
      <c r="H1987" s="3" t="s">
        <v>523</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5702</v>
      </c>
      <c r="AD1987" s="3"/>
    </row>
    <row r="1988" spans="1:30" ht="27" customHeight="1">
      <c r="A1988" s="3" t="s">
        <v>5693</v>
      </c>
      <c r="B1988" s="19" t="s">
        <v>5700</v>
      </c>
      <c r="C1988" s="3" t="s">
        <v>24</v>
      </c>
      <c r="D1988" s="3" t="s">
        <v>25</v>
      </c>
      <c r="E1988" s="3" t="s">
        <v>45</v>
      </c>
      <c r="F1988" s="4" t="s">
        <v>29</v>
      </c>
      <c r="G1988" s="3" t="s">
        <v>2276</v>
      </c>
      <c r="H1988" s="3" t="s">
        <v>523</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5702</v>
      </c>
      <c r="AD1988" s="3"/>
    </row>
    <row r="1989" spans="1:30" ht="31.5" customHeight="1">
      <c r="A1989" s="3" t="s">
        <v>5693</v>
      </c>
      <c r="B1989" s="19" t="s">
        <v>5700</v>
      </c>
      <c r="C1989" s="3" t="s">
        <v>24</v>
      </c>
      <c r="D1989" s="3" t="s">
        <v>143</v>
      </c>
      <c r="E1989" s="3" t="s">
        <v>45</v>
      </c>
      <c r="F1989" s="4" t="s">
        <v>74</v>
      </c>
      <c r="G1989" s="3" t="s">
        <v>2276</v>
      </c>
      <c r="H1989" s="3" t="s">
        <v>523</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3"/>
      <c r="AD1989" s="3"/>
    </row>
    <row r="1990" spans="1:30" ht="30" customHeight="1">
      <c r="A1990" s="3" t="s">
        <v>5693</v>
      </c>
      <c r="B1990" s="19" t="s">
        <v>5701</v>
      </c>
      <c r="C1990" s="3" t="s">
        <v>24</v>
      </c>
      <c r="D1990" s="3" t="s">
        <v>143</v>
      </c>
      <c r="E1990" s="3" t="s">
        <v>2647</v>
      </c>
      <c r="F1990" s="4" t="s">
        <v>74</v>
      </c>
      <c r="G1990" s="3" t="s">
        <v>2276</v>
      </c>
      <c r="H1990" s="3" t="s">
        <v>524</v>
      </c>
      <c r="I1990" s="3"/>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3"/>
      <c r="AD1990" s="3"/>
    </row>
    <row r="1991" spans="1:30" ht="36" customHeight="1">
      <c r="A1991" s="3" t="s">
        <v>5693</v>
      </c>
      <c r="B1991" s="19" t="s">
        <v>5706</v>
      </c>
      <c r="C1991" s="3" t="s">
        <v>2458</v>
      </c>
      <c r="D1991" s="3" t="s">
        <v>27</v>
      </c>
      <c r="E1991" s="3" t="s">
        <v>130</v>
      </c>
      <c r="F1991" s="4" t="s">
        <v>74</v>
      </c>
      <c r="G1991" s="3" t="s">
        <v>2276</v>
      </c>
      <c r="H1991" s="3" t="s">
        <v>523</v>
      </c>
      <c r="I1991" s="3"/>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3"/>
      <c r="AD1991" s="3"/>
    </row>
    <row r="1992" spans="1:30" ht="23.5" customHeight="1">
      <c r="A1992" s="3" t="s">
        <v>5693</v>
      </c>
      <c r="B1992" s="19" t="s">
        <v>5707</v>
      </c>
      <c r="C1992" s="3" t="s">
        <v>2458</v>
      </c>
      <c r="D1992" s="3" t="s">
        <v>25</v>
      </c>
      <c r="E1992" s="3" t="s">
        <v>45</v>
      </c>
      <c r="F1992" s="4" t="s">
        <v>55</v>
      </c>
      <c r="G1992" s="3" t="s">
        <v>2276</v>
      </c>
      <c r="H1992" s="3" t="s">
        <v>523</v>
      </c>
      <c r="I1992" s="3"/>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3"/>
      <c r="AD1992" s="3"/>
    </row>
    <row r="1993" spans="1:30" ht="33.5" customHeight="1">
      <c r="A1993" s="3" t="s">
        <v>5693</v>
      </c>
      <c r="B1993" s="19" t="s">
        <v>5708</v>
      </c>
      <c r="C1993" s="3" t="s">
        <v>2458</v>
      </c>
      <c r="D1993" s="3" t="s">
        <v>25</v>
      </c>
      <c r="E1993" s="3" t="s">
        <v>45</v>
      </c>
      <c r="F1993" s="4" t="s">
        <v>29</v>
      </c>
      <c r="G1993" s="3" t="s">
        <v>2276</v>
      </c>
      <c r="H1993" s="3" t="s">
        <v>523</v>
      </c>
      <c r="I1993" s="3"/>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3"/>
      <c r="AD1993" s="3"/>
    </row>
    <row r="1994" spans="1:30" ht="33.5" customHeight="1">
      <c r="A1994" s="3" t="s">
        <v>5693</v>
      </c>
      <c r="B1994" s="19" t="s">
        <v>5709</v>
      </c>
      <c r="C1994" s="3" t="s">
        <v>24</v>
      </c>
      <c r="D1994" s="3" t="s">
        <v>1245</v>
      </c>
      <c r="E1994" s="3" t="s">
        <v>116</v>
      </c>
      <c r="F1994" s="4" t="s">
        <v>2276</v>
      </c>
      <c r="G1994" s="3" t="s">
        <v>2276</v>
      </c>
      <c r="H1994" s="3" t="s">
        <v>523</v>
      </c>
      <c r="I1994" s="3"/>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3"/>
      <c r="AD1994" s="3"/>
    </row>
    <row r="1995" spans="1:30" ht="24.5" customHeight="1">
      <c r="A1995" s="11" t="s">
        <v>5715</v>
      </c>
      <c r="B1995" s="11" t="s">
        <v>5717</v>
      </c>
      <c r="C1995" s="3" t="s">
        <v>24</v>
      </c>
      <c r="D1995" s="3" t="s">
        <v>27</v>
      </c>
      <c r="E1995" s="3" t="s">
        <v>130</v>
      </c>
      <c r="F1995" s="4" t="s">
        <v>74</v>
      </c>
      <c r="G1995" s="3" t="s">
        <v>2276</v>
      </c>
      <c r="H1995" s="3" t="s">
        <v>524</v>
      </c>
      <c r="I1995" s="3"/>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3"/>
      <c r="AD1995" s="3"/>
    </row>
    <row r="1996" spans="1:30" ht="24.5" customHeight="1">
      <c r="A1996" s="11" t="s">
        <v>5715</v>
      </c>
      <c r="B1996" s="11" t="s">
        <v>5718</v>
      </c>
      <c r="C1996" s="3" t="s">
        <v>24</v>
      </c>
      <c r="D1996" s="3" t="s">
        <v>25</v>
      </c>
      <c r="E1996" s="3" t="s">
        <v>45</v>
      </c>
      <c r="F1996" s="4" t="s">
        <v>74</v>
      </c>
      <c r="G1996" s="3" t="s">
        <v>2276</v>
      </c>
      <c r="H1996" s="3" t="s">
        <v>524</v>
      </c>
      <c r="I1996" s="3"/>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3"/>
      <c r="AD1996" s="3"/>
    </row>
    <row r="1997" spans="1:30" ht="24.5" customHeight="1">
      <c r="A1997" s="11" t="s">
        <v>5715</v>
      </c>
      <c r="B1997" s="11" t="s">
        <v>5719</v>
      </c>
      <c r="C1997" s="3" t="s">
        <v>24</v>
      </c>
      <c r="D1997" s="3" t="s">
        <v>3480</v>
      </c>
      <c r="E1997" s="3" t="s">
        <v>116</v>
      </c>
      <c r="F1997" s="4" t="s">
        <v>74</v>
      </c>
      <c r="G1997" s="3" t="s">
        <v>2276</v>
      </c>
      <c r="H1997" s="3" t="s">
        <v>524</v>
      </c>
      <c r="I1997" s="3"/>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3"/>
      <c r="AD1997" s="3"/>
    </row>
    <row r="1998" spans="1:30" ht="32" customHeight="1">
      <c r="A1998" s="35" t="s">
        <v>5715</v>
      </c>
      <c r="B1998" s="35" t="s">
        <v>5721</v>
      </c>
      <c r="C1998" s="38" t="s">
        <v>24</v>
      </c>
      <c r="D1998" t="s">
        <v>1105</v>
      </c>
      <c r="E1998" t="s">
        <v>137</v>
      </c>
      <c r="F1998" s="168" t="s">
        <v>74</v>
      </c>
      <c r="G1998" s="38" t="s">
        <v>2276</v>
      </c>
      <c r="H1998" s="38" t="s">
        <v>524</v>
      </c>
      <c r="I1998" s="38"/>
      <c r="J1998" s="73">
        <v>0</v>
      </c>
      <c r="K1998" s="73">
        <v>0</v>
      </c>
      <c r="L1998" s="73">
        <v>0</v>
      </c>
      <c r="M1998" s="73">
        <v>0</v>
      </c>
      <c r="N1998" s="73">
        <v>0</v>
      </c>
      <c r="O1998" s="73">
        <v>0</v>
      </c>
      <c r="P1998" s="73">
        <v>0</v>
      </c>
      <c r="Q1998" s="73">
        <v>0</v>
      </c>
      <c r="R1998" s="73">
        <v>0</v>
      </c>
      <c r="S1998" s="73">
        <v>0</v>
      </c>
      <c r="T1998" s="73">
        <v>0</v>
      </c>
      <c r="U1998" s="73">
        <v>0</v>
      </c>
      <c r="V1998" s="73">
        <v>0</v>
      </c>
      <c r="W1998" s="73">
        <v>0</v>
      </c>
      <c r="X1998" s="73">
        <v>0</v>
      </c>
      <c r="Y1998" s="168" t="s">
        <v>2276</v>
      </c>
      <c r="Z1998" s="168" t="s">
        <v>2276</v>
      </c>
      <c r="AA1998" s="168" t="s">
        <v>2276</v>
      </c>
      <c r="AB1998" s="168" t="s">
        <v>2276</v>
      </c>
      <c r="AC1998" s="38"/>
      <c r="AD1998" s="38"/>
    </row>
    <row r="1999" spans="1:30" ht="68" customHeight="1">
      <c r="A1999" s="11" t="s">
        <v>5723</v>
      </c>
      <c r="B1999" s="11" t="s">
        <v>5732</v>
      </c>
      <c r="C1999" s="3" t="s">
        <v>24</v>
      </c>
      <c r="D1999" s="3" t="s">
        <v>26</v>
      </c>
      <c r="E1999" s="4" t="s">
        <v>396</v>
      </c>
      <c r="F1999" s="4" t="s">
        <v>28</v>
      </c>
      <c r="G1999" s="3" t="s">
        <v>2276</v>
      </c>
      <c r="H1999" s="3" t="s">
        <v>523</v>
      </c>
      <c r="I1999" s="3"/>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5733</v>
      </c>
      <c r="AD1999" s="3"/>
    </row>
    <row r="2000" spans="1:30" ht="58">
      <c r="A2000" s="19" t="s">
        <v>5726</v>
      </c>
      <c r="B2000" s="11" t="s">
        <v>5735</v>
      </c>
      <c r="C2000" s="3" t="s">
        <v>24</v>
      </c>
      <c r="D2000" s="3" t="s">
        <v>26</v>
      </c>
      <c r="E2000" s="4" t="s">
        <v>396</v>
      </c>
      <c r="F2000" s="4" t="s">
        <v>28</v>
      </c>
      <c r="G2000" s="3" t="s">
        <v>2276</v>
      </c>
      <c r="H2000" s="3" t="s">
        <v>523</v>
      </c>
      <c r="I2000" s="3"/>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5733</v>
      </c>
      <c r="AD2000" s="3"/>
    </row>
    <row r="2001" spans="1:30" ht="58">
      <c r="A2001" s="19" t="s">
        <v>5727</v>
      </c>
      <c r="B2001" s="11" t="s">
        <v>5736</v>
      </c>
      <c r="C2001" s="3" t="s">
        <v>24</v>
      </c>
      <c r="D2001" s="3" t="s">
        <v>26</v>
      </c>
      <c r="E2001" s="4" t="s">
        <v>396</v>
      </c>
      <c r="F2001" s="4" t="s">
        <v>28</v>
      </c>
      <c r="G2001" s="3" t="s">
        <v>2276</v>
      </c>
      <c r="H2001" s="3" t="s">
        <v>523</v>
      </c>
      <c r="I2001" s="3"/>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5733</v>
      </c>
      <c r="AD2001" s="3"/>
    </row>
    <row r="2002" spans="1:30" ht="58">
      <c r="A2002" s="19" t="s">
        <v>5728</v>
      </c>
      <c r="B2002" s="11" t="s">
        <v>5737</v>
      </c>
      <c r="C2002" s="3" t="s">
        <v>24</v>
      </c>
      <c r="D2002" s="3" t="s">
        <v>26</v>
      </c>
      <c r="E2002" s="4" t="s">
        <v>396</v>
      </c>
      <c r="F2002" s="4" t="s">
        <v>28</v>
      </c>
      <c r="G2002" s="3" t="s">
        <v>2276</v>
      </c>
      <c r="H2002" s="3" t="s">
        <v>523</v>
      </c>
      <c r="I2002" s="3"/>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5733</v>
      </c>
      <c r="AD2002" s="3"/>
    </row>
    <row r="2003" spans="1:30" ht="33.5" customHeight="1">
      <c r="A2003" s="19" t="s">
        <v>5739</v>
      </c>
      <c r="B2003" s="19" t="s">
        <v>5746</v>
      </c>
      <c r="C2003" s="3" t="s">
        <v>1105</v>
      </c>
      <c r="D2003" s="3" t="s">
        <v>1105</v>
      </c>
      <c r="E2003" s="3" t="s">
        <v>1105</v>
      </c>
      <c r="F2003" s="3" t="s">
        <v>1105</v>
      </c>
      <c r="G2003" s="3" t="s">
        <v>74</v>
      </c>
      <c r="H2003" s="3" t="s">
        <v>523</v>
      </c>
      <c r="I2003" s="3"/>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3"/>
      <c r="AD2003" s="3"/>
    </row>
    <row r="2004" spans="1:30" ht="33.5" customHeight="1">
      <c r="A2004" s="19" t="s">
        <v>5743</v>
      </c>
      <c r="B2004" s="19" t="s">
        <v>5747</v>
      </c>
      <c r="C2004" s="3" t="s">
        <v>1105</v>
      </c>
      <c r="D2004" s="3" t="s">
        <v>1105</v>
      </c>
      <c r="E2004" s="3" t="s">
        <v>1105</v>
      </c>
      <c r="F2004" s="3" t="s">
        <v>1105</v>
      </c>
      <c r="G2004" s="3" t="s">
        <v>74</v>
      </c>
      <c r="H2004" s="3" t="s">
        <v>523</v>
      </c>
      <c r="I2004" s="3"/>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3"/>
      <c r="AD2004" s="3"/>
    </row>
    <row r="2005" spans="1:30" ht="33.5" customHeight="1">
      <c r="A2005" s="19" t="s">
        <v>5744</v>
      </c>
      <c r="B2005" s="19" t="s">
        <v>5748</v>
      </c>
      <c r="C2005" s="3" t="s">
        <v>1105</v>
      </c>
      <c r="D2005" s="3" t="s">
        <v>1105</v>
      </c>
      <c r="E2005" s="3" t="s">
        <v>1105</v>
      </c>
      <c r="F2005" s="3" t="s">
        <v>1105</v>
      </c>
      <c r="G2005" s="3" t="s">
        <v>74</v>
      </c>
      <c r="H2005" s="3" t="s">
        <v>523</v>
      </c>
      <c r="I2005" s="3"/>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3"/>
      <c r="AD2005" s="3"/>
    </row>
    <row r="2006" spans="1:30" ht="36.5" customHeight="1">
      <c r="A2006" s="19" t="s">
        <v>5739</v>
      </c>
      <c r="B2006" s="19" t="s">
        <v>5750</v>
      </c>
      <c r="C2006" s="3" t="s">
        <v>24</v>
      </c>
      <c r="D2006" s="3" t="s">
        <v>1242</v>
      </c>
      <c r="E2006" s="4" t="s">
        <v>397</v>
      </c>
      <c r="F2006" s="4" t="s">
        <v>74</v>
      </c>
      <c r="G2006" s="3" t="s">
        <v>2276</v>
      </c>
      <c r="H2006" s="3" t="s">
        <v>523</v>
      </c>
      <c r="I2006" s="3"/>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3"/>
      <c r="AD2006" s="3"/>
    </row>
    <row r="2007" spans="1:30" ht="36.5" customHeight="1">
      <c r="A2007" s="19" t="s">
        <v>5743</v>
      </c>
      <c r="B2007" s="19" t="s">
        <v>5751</v>
      </c>
      <c r="C2007" s="3" t="s">
        <v>24</v>
      </c>
      <c r="D2007" s="3" t="s">
        <v>1242</v>
      </c>
      <c r="E2007" s="4" t="s">
        <v>397</v>
      </c>
      <c r="F2007" s="4" t="s">
        <v>74</v>
      </c>
      <c r="G2007" s="3" t="s">
        <v>2276</v>
      </c>
      <c r="H2007" s="3" t="s">
        <v>523</v>
      </c>
      <c r="I2007" s="3"/>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3"/>
      <c r="AD2007" s="3"/>
    </row>
    <row r="2008" spans="1:30" ht="36.5" customHeight="1">
      <c r="A2008" s="19" t="s">
        <v>5744</v>
      </c>
      <c r="B2008" s="19" t="s">
        <v>5752</v>
      </c>
      <c r="C2008" s="3" t="s">
        <v>24</v>
      </c>
      <c r="D2008" s="3" t="s">
        <v>1242</v>
      </c>
      <c r="E2008" s="4" t="s">
        <v>397</v>
      </c>
      <c r="F2008" s="4" t="s">
        <v>74</v>
      </c>
      <c r="G2008" s="3" t="s">
        <v>2276</v>
      </c>
      <c r="H2008" s="3" t="s">
        <v>523</v>
      </c>
      <c r="I2008" s="3"/>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3"/>
      <c r="AD2008" s="3"/>
    </row>
    <row r="2009" spans="1:30" ht="65.5" customHeight="1">
      <c r="A2009" s="19" t="s">
        <v>5739</v>
      </c>
      <c r="B2009" s="19" t="s">
        <v>5755</v>
      </c>
      <c r="C2009" s="3" t="s">
        <v>24</v>
      </c>
      <c r="D2009" s="3" t="s">
        <v>2659</v>
      </c>
      <c r="E2009" s="4" t="s">
        <v>397</v>
      </c>
      <c r="F2009" s="4" t="s">
        <v>28</v>
      </c>
      <c r="G2009" s="3" t="s">
        <v>2276</v>
      </c>
      <c r="H2009" s="3" t="s">
        <v>523</v>
      </c>
      <c r="I2009" s="3"/>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3"/>
      <c r="AD2009" s="4" t="s">
        <v>5763</v>
      </c>
    </row>
    <row r="2010" spans="1:30" ht="65.5" customHeight="1">
      <c r="A2010" s="19" t="s">
        <v>5743</v>
      </c>
      <c r="B2010" s="19" t="s">
        <v>5756</v>
      </c>
      <c r="C2010" s="3" t="s">
        <v>24</v>
      </c>
      <c r="D2010" s="3" t="s">
        <v>2659</v>
      </c>
      <c r="E2010" s="4" t="s">
        <v>397</v>
      </c>
      <c r="F2010" s="4" t="s">
        <v>28</v>
      </c>
      <c r="G2010" s="3" t="s">
        <v>2276</v>
      </c>
      <c r="H2010" s="3" t="s">
        <v>523</v>
      </c>
      <c r="I2010" s="3"/>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3"/>
      <c r="AD2010" s="4" t="s">
        <v>5763</v>
      </c>
    </row>
    <row r="2011" spans="1:30" ht="65.5" customHeight="1">
      <c r="A2011" s="19" t="s">
        <v>5744</v>
      </c>
      <c r="B2011" s="19" t="s">
        <v>5757</v>
      </c>
      <c r="C2011" s="3" t="s">
        <v>24</v>
      </c>
      <c r="D2011" s="3" t="s">
        <v>2659</v>
      </c>
      <c r="E2011" s="4" t="s">
        <v>397</v>
      </c>
      <c r="F2011" s="4" t="s">
        <v>28</v>
      </c>
      <c r="G2011" s="3" t="s">
        <v>2276</v>
      </c>
      <c r="H2011" s="3" t="s">
        <v>523</v>
      </c>
      <c r="I2011" s="3"/>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3"/>
      <c r="AD2011" s="4" t="s">
        <v>5763</v>
      </c>
    </row>
    <row r="2012" spans="1:30" ht="31.5" customHeight="1">
      <c r="A2012" s="19" t="s">
        <v>5739</v>
      </c>
      <c r="B2012" s="19" t="s">
        <v>5760</v>
      </c>
      <c r="C2012" s="3" t="s">
        <v>24</v>
      </c>
      <c r="D2012" s="3" t="s">
        <v>2994</v>
      </c>
      <c r="E2012" s="3" t="s">
        <v>2276</v>
      </c>
      <c r="F2012" s="4" t="s">
        <v>2276</v>
      </c>
      <c r="G2012" s="3" t="s">
        <v>2276</v>
      </c>
      <c r="H2012" s="3" t="s">
        <v>523</v>
      </c>
      <c r="I2012" s="3"/>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3" t="s">
        <v>5770</v>
      </c>
      <c r="AD2012" s="3"/>
    </row>
    <row r="2013" spans="1:30" ht="31.5" customHeight="1">
      <c r="A2013" s="19" t="s">
        <v>5743</v>
      </c>
      <c r="B2013" s="19" t="s">
        <v>5761</v>
      </c>
      <c r="C2013" s="3" t="s">
        <v>24</v>
      </c>
      <c r="D2013" s="3" t="s">
        <v>2994</v>
      </c>
      <c r="E2013" s="3" t="s">
        <v>2276</v>
      </c>
      <c r="F2013" s="4" t="s">
        <v>2276</v>
      </c>
      <c r="G2013" s="3" t="s">
        <v>2276</v>
      </c>
      <c r="H2013" s="3" t="s">
        <v>523</v>
      </c>
      <c r="I2013" s="3"/>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3" t="s">
        <v>5770</v>
      </c>
      <c r="AD2013" s="3"/>
    </row>
    <row r="2014" spans="1:30" ht="31.5" customHeight="1">
      <c r="A2014" s="19" t="s">
        <v>5744</v>
      </c>
      <c r="B2014" s="19" t="s">
        <v>5762</v>
      </c>
      <c r="C2014" s="3" t="s">
        <v>24</v>
      </c>
      <c r="D2014" s="3" t="s">
        <v>2994</v>
      </c>
      <c r="E2014" s="3" t="s">
        <v>2276</v>
      </c>
      <c r="F2014" s="4" t="s">
        <v>2276</v>
      </c>
      <c r="G2014" s="3" t="s">
        <v>2276</v>
      </c>
      <c r="H2014" s="3" t="s">
        <v>523</v>
      </c>
      <c r="I2014" s="3"/>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3" t="s">
        <v>5770</v>
      </c>
      <c r="AD2014" s="3"/>
    </row>
    <row r="2015" spans="1:30" ht="29">
      <c r="A2015" s="19" t="s">
        <v>5739</v>
      </c>
      <c r="B2015" s="19" t="s">
        <v>5764</v>
      </c>
      <c r="C2015" s="3" t="s">
        <v>24</v>
      </c>
      <c r="D2015" s="3" t="s">
        <v>2804</v>
      </c>
      <c r="E2015" s="3" t="s">
        <v>45</v>
      </c>
      <c r="F2015" s="4" t="s">
        <v>2662</v>
      </c>
      <c r="G2015" s="3" t="s">
        <v>2276</v>
      </c>
      <c r="H2015" s="3" t="s">
        <v>523</v>
      </c>
      <c r="I2015" s="3"/>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3"/>
      <c r="AD2015" s="3"/>
    </row>
    <row r="2016" spans="1:30" ht="29">
      <c r="A2016" s="19" t="s">
        <v>5743</v>
      </c>
      <c r="B2016" s="19" t="s">
        <v>5765</v>
      </c>
      <c r="C2016" s="3" t="s">
        <v>24</v>
      </c>
      <c r="D2016" s="3" t="s">
        <v>2804</v>
      </c>
      <c r="E2016" s="3" t="s">
        <v>45</v>
      </c>
      <c r="F2016" s="4" t="s">
        <v>2662</v>
      </c>
      <c r="G2016" s="3" t="s">
        <v>2276</v>
      </c>
      <c r="H2016" s="3" t="s">
        <v>523</v>
      </c>
      <c r="I2016" s="3"/>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3"/>
      <c r="AD2016" s="3"/>
    </row>
    <row r="2017" spans="1:30" ht="29">
      <c r="A2017" s="19" t="s">
        <v>5744</v>
      </c>
      <c r="B2017" s="19" t="s">
        <v>5766</v>
      </c>
      <c r="C2017" s="3" t="s">
        <v>24</v>
      </c>
      <c r="D2017" s="3" t="s">
        <v>2804</v>
      </c>
      <c r="E2017" s="3" t="s">
        <v>45</v>
      </c>
      <c r="F2017" s="4" t="s">
        <v>2662</v>
      </c>
      <c r="G2017" s="3" t="s">
        <v>2276</v>
      </c>
      <c r="H2017" s="3" t="s">
        <v>523</v>
      </c>
      <c r="I2017" s="3"/>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3"/>
      <c r="AD2017" s="3"/>
    </row>
    <row r="2018" spans="1:30" ht="29" customHeight="1">
      <c r="A2018" s="19" t="s">
        <v>5739</v>
      </c>
      <c r="B2018" s="19" t="s">
        <v>5767</v>
      </c>
      <c r="C2018" s="3" t="s">
        <v>24</v>
      </c>
      <c r="D2018" t="s">
        <v>3480</v>
      </c>
      <c r="E2018" s="3" t="s">
        <v>2276</v>
      </c>
      <c r="F2018" s="4" t="s">
        <v>74</v>
      </c>
      <c r="G2018" s="3" t="s">
        <v>2276</v>
      </c>
      <c r="H2018" s="3" t="s">
        <v>523</v>
      </c>
      <c r="I2018" s="3"/>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3"/>
      <c r="AD2018" s="3"/>
    </row>
    <row r="2019" spans="1:30" ht="29" customHeight="1">
      <c r="A2019" s="19" t="s">
        <v>5743</v>
      </c>
      <c r="B2019" s="19" t="s">
        <v>5768</v>
      </c>
      <c r="C2019" s="3" t="s">
        <v>24</v>
      </c>
      <c r="D2019" t="s">
        <v>3480</v>
      </c>
      <c r="E2019" s="3" t="s">
        <v>2276</v>
      </c>
      <c r="F2019" s="4" t="s">
        <v>74</v>
      </c>
      <c r="G2019" s="3" t="s">
        <v>2276</v>
      </c>
      <c r="H2019" s="3" t="s">
        <v>523</v>
      </c>
      <c r="I2019" s="3"/>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3"/>
      <c r="AD2019" s="3"/>
    </row>
    <row r="2020" spans="1:30" ht="29" customHeight="1">
      <c r="A2020" s="55" t="s">
        <v>5744</v>
      </c>
      <c r="B2020" s="19" t="s">
        <v>5769</v>
      </c>
      <c r="C2020" s="38" t="s">
        <v>24</v>
      </c>
      <c r="D2020" t="s">
        <v>3480</v>
      </c>
      <c r="E2020" s="38" t="s">
        <v>2276</v>
      </c>
      <c r="F2020" s="4" t="s">
        <v>74</v>
      </c>
      <c r="G2020" s="3" t="s">
        <v>2276</v>
      </c>
      <c r="H2020" s="3" t="s">
        <v>523</v>
      </c>
      <c r="I2020" s="3"/>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3"/>
      <c r="AD2020" s="3"/>
    </row>
    <row r="2021" spans="1:30" ht="25.5" customHeight="1">
      <c r="A2021" s="19" t="s">
        <v>5739</v>
      </c>
      <c r="B2021" s="19" t="s">
        <v>5771</v>
      </c>
      <c r="C2021" s="3" t="s">
        <v>24</v>
      </c>
      <c r="D2021" s="3" t="s">
        <v>143</v>
      </c>
      <c r="E2021" s="3" t="s">
        <v>45</v>
      </c>
      <c r="F2021" s="4" t="s">
        <v>74</v>
      </c>
      <c r="G2021" s="3" t="s">
        <v>2276</v>
      </c>
      <c r="H2021" s="3" t="s">
        <v>523</v>
      </c>
      <c r="I2021" s="3"/>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3"/>
      <c r="AD2021" s="3"/>
    </row>
    <row r="2022" spans="1:30" ht="25.5" customHeight="1">
      <c r="A2022" s="19" t="s">
        <v>5743</v>
      </c>
      <c r="B2022" s="19" t="s">
        <v>5772</v>
      </c>
      <c r="C2022" s="3" t="s">
        <v>24</v>
      </c>
      <c r="D2022" s="3" t="s">
        <v>143</v>
      </c>
      <c r="E2022" s="3" t="s">
        <v>45</v>
      </c>
      <c r="F2022" s="4" t="s">
        <v>74</v>
      </c>
      <c r="G2022" s="3" t="s">
        <v>2276</v>
      </c>
      <c r="H2022" s="3" t="s">
        <v>523</v>
      </c>
      <c r="I2022" s="3"/>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3"/>
      <c r="AD2022" s="3"/>
    </row>
    <row r="2023" spans="1:30" ht="25.5" customHeight="1">
      <c r="A2023" s="19" t="s">
        <v>5744</v>
      </c>
      <c r="B2023" s="19" t="s">
        <v>5773</v>
      </c>
      <c r="C2023" s="3" t="s">
        <v>24</v>
      </c>
      <c r="D2023" s="3" t="s">
        <v>143</v>
      </c>
      <c r="E2023" s="3" t="s">
        <v>45</v>
      </c>
      <c r="F2023" s="4" t="s">
        <v>74</v>
      </c>
      <c r="G2023" s="3" t="s">
        <v>2276</v>
      </c>
      <c r="H2023" s="3" t="s">
        <v>523</v>
      </c>
      <c r="I2023" s="3"/>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3"/>
      <c r="AD2023" s="3"/>
    </row>
    <row r="2024" spans="1:30" ht="29">
      <c r="A2024" s="19" t="s">
        <v>5739</v>
      </c>
      <c r="B2024" s="19" t="s">
        <v>5774</v>
      </c>
      <c r="C2024" s="3" t="s">
        <v>24</v>
      </c>
      <c r="D2024" s="3" t="s">
        <v>143</v>
      </c>
      <c r="E2024" s="4" t="s">
        <v>397</v>
      </c>
      <c r="F2024" s="4" t="s">
        <v>74</v>
      </c>
      <c r="G2024" s="3"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3"/>
      <c r="AD2024" s="3"/>
    </row>
    <row r="2025" spans="1:30" ht="29">
      <c r="A2025" s="19" t="s">
        <v>5743</v>
      </c>
      <c r="B2025" s="19" t="s">
        <v>5775</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3"/>
      <c r="AD2025" s="3"/>
    </row>
    <row r="2026" spans="1:30" ht="29">
      <c r="A2026" s="19" t="s">
        <v>5744</v>
      </c>
      <c r="B2026" s="19" t="s">
        <v>5776</v>
      </c>
      <c r="C2026" s="3" t="s">
        <v>24</v>
      </c>
      <c r="D2026" s="3" t="s">
        <v>143</v>
      </c>
      <c r="E2026" s="4" t="s">
        <v>397</v>
      </c>
      <c r="F2026" s="4" t="s">
        <v>74</v>
      </c>
      <c r="G2026" s="3"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3"/>
      <c r="AD2026" s="3"/>
    </row>
    <row r="2027" spans="1:30" ht="29" customHeight="1">
      <c r="A2027" s="19" t="s">
        <v>5779</v>
      </c>
      <c r="B2027" s="19" t="s">
        <v>5789</v>
      </c>
      <c r="C2027" s="3" t="s">
        <v>24</v>
      </c>
      <c r="D2027" s="3" t="s">
        <v>1242</v>
      </c>
      <c r="E2027" s="3" t="s">
        <v>1105</v>
      </c>
      <c r="F2027" s="4" t="s">
        <v>74</v>
      </c>
      <c r="G2027" s="3"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5779</v>
      </c>
      <c r="B2028" s="19" t="s">
        <v>5790</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5780</v>
      </c>
      <c r="B2029" s="19" t="s">
        <v>5783</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5780</v>
      </c>
      <c r="B2030" s="19" t="s">
        <v>5784</v>
      </c>
      <c r="C2030" s="3" t="s">
        <v>24</v>
      </c>
      <c r="D2030" s="3" t="s">
        <v>1245</v>
      </c>
      <c r="E2030" s="3" t="s">
        <v>116</v>
      </c>
      <c r="F2030" s="4" t="s">
        <v>74</v>
      </c>
      <c r="G2030" s="3"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5795</v>
      </c>
      <c r="AD2030" s="3"/>
    </row>
    <row r="2031" spans="1:30" ht="55.5" customHeight="1">
      <c r="A2031" s="19" t="s">
        <v>5780</v>
      </c>
      <c r="B2031" s="19" t="s">
        <v>5785</v>
      </c>
      <c r="C2031" s="3" t="s">
        <v>24</v>
      </c>
      <c r="D2031" s="3" t="s">
        <v>1245</v>
      </c>
      <c r="E2031" s="3" t="s">
        <v>116</v>
      </c>
      <c r="F2031" s="4" t="s">
        <v>74</v>
      </c>
      <c r="G2031" s="3" t="s">
        <v>2276</v>
      </c>
      <c r="H2031" s="3" t="s">
        <v>524</v>
      </c>
      <c r="I2031" s="3">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5795</v>
      </c>
      <c r="AD2031" s="3"/>
    </row>
    <row r="2032" spans="1:30" ht="55.5" customHeight="1">
      <c r="A2032" s="19" t="s">
        <v>5780</v>
      </c>
      <c r="B2032" s="19" t="s">
        <v>5786</v>
      </c>
      <c r="C2032" s="3" t="s">
        <v>24</v>
      </c>
      <c r="D2032" s="3" t="s">
        <v>1242</v>
      </c>
      <c r="E2032" s="3" t="s">
        <v>116</v>
      </c>
      <c r="F2032" s="4" t="s">
        <v>74</v>
      </c>
      <c r="G2032" s="3"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5780</v>
      </c>
      <c r="B2033" s="19" t="s">
        <v>5787</v>
      </c>
      <c r="C2033" s="3" t="s">
        <v>24</v>
      </c>
      <c r="D2033" s="3" t="s">
        <v>1242</v>
      </c>
      <c r="E2033" s="3" t="s">
        <v>116</v>
      </c>
      <c r="F2033" s="4" t="s">
        <v>74</v>
      </c>
      <c r="G2033" s="3"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5795</v>
      </c>
      <c r="AD2033" s="3"/>
    </row>
    <row r="2034" spans="1:30" ht="55.5" customHeight="1">
      <c r="A2034" s="19" t="s">
        <v>5780</v>
      </c>
      <c r="B2034" s="19" t="s">
        <v>5788</v>
      </c>
      <c r="C2034" s="3" t="s">
        <v>24</v>
      </c>
      <c r="D2034" s="3" t="s">
        <v>1242</v>
      </c>
      <c r="E2034" s="3" t="s">
        <v>116</v>
      </c>
      <c r="F2034" s="4" t="s">
        <v>74</v>
      </c>
      <c r="G2034" s="3"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5795</v>
      </c>
      <c r="AD2034" s="3"/>
    </row>
    <row r="2035" spans="1:30" ht="34.5" customHeight="1">
      <c r="A2035" s="19" t="s">
        <v>5797</v>
      </c>
      <c r="B2035" s="19" t="s">
        <v>5802</v>
      </c>
      <c r="C2035" s="11" t="s">
        <v>24</v>
      </c>
      <c r="D2035" s="3" t="s">
        <v>2659</v>
      </c>
      <c r="E2035" s="4" t="s">
        <v>396</v>
      </c>
      <c r="F2035" s="4" t="s">
        <v>28</v>
      </c>
      <c r="G2035" s="3"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3"/>
      <c r="AD2035" s="3"/>
    </row>
    <row r="2036" spans="1:30" ht="29">
      <c r="A2036" s="19" t="s">
        <v>5797</v>
      </c>
      <c r="B2036" s="19" t="s">
        <v>5803</v>
      </c>
      <c r="C2036" s="11" t="s">
        <v>24</v>
      </c>
      <c r="D2036" s="3" t="s">
        <v>2994</v>
      </c>
      <c r="E2036" s="4" t="s">
        <v>396</v>
      </c>
      <c r="F2036" s="4" t="s">
        <v>2276</v>
      </c>
      <c r="G2036" s="3"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5797</v>
      </c>
      <c r="B2037" s="19" t="s">
        <v>5804</v>
      </c>
      <c r="C2037" s="3" t="s">
        <v>24</v>
      </c>
      <c r="D2037" s="3" t="s">
        <v>1131</v>
      </c>
      <c r="E2037" s="4" t="s">
        <v>396</v>
      </c>
      <c r="F2037" s="4" t="s">
        <v>28</v>
      </c>
      <c r="G2037" s="3"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5797</v>
      </c>
      <c r="B2038" s="19" t="s">
        <v>5805</v>
      </c>
      <c r="C2038" s="3" t="s">
        <v>24</v>
      </c>
      <c r="D2038" s="3" t="s">
        <v>1242</v>
      </c>
      <c r="E2038" s="4" t="s">
        <v>396</v>
      </c>
      <c r="F2038" s="4" t="s">
        <v>2662</v>
      </c>
      <c r="G2038" s="3"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3"/>
      <c r="AD2038" s="3"/>
    </row>
    <row r="2039" spans="1:30" ht="32" customHeight="1">
      <c r="A2039" s="19" t="s">
        <v>5797</v>
      </c>
      <c r="B2039" s="19" t="s">
        <v>5806</v>
      </c>
      <c r="C2039" s="3" t="s">
        <v>24</v>
      </c>
      <c r="D2039" s="3" t="s">
        <v>2346</v>
      </c>
      <c r="E2039" s="4" t="s">
        <v>2276</v>
      </c>
      <c r="F2039" s="4" t="s">
        <v>2276</v>
      </c>
      <c r="G2039" s="3"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3"/>
      <c r="AD2039" s="3"/>
    </row>
    <row r="2040" spans="1:30" ht="30" customHeight="1">
      <c r="A2040" s="19" t="s">
        <v>5797</v>
      </c>
      <c r="B2040" s="19" t="s">
        <v>5807</v>
      </c>
      <c r="C2040" s="11" t="s">
        <v>2458</v>
      </c>
      <c r="D2040" s="3" t="s">
        <v>2994</v>
      </c>
      <c r="E2040" s="4" t="s">
        <v>2652</v>
      </c>
      <c r="F2040" s="4" t="s">
        <v>2276</v>
      </c>
      <c r="G2040" s="3"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3"/>
      <c r="AD2040" s="3"/>
    </row>
    <row r="2041" spans="1:30" ht="64.5" customHeight="1">
      <c r="A2041" s="19" t="s">
        <v>5797</v>
      </c>
      <c r="B2041" s="19" t="s">
        <v>5808</v>
      </c>
      <c r="C2041" s="11" t="s">
        <v>1105</v>
      </c>
      <c r="D2041" s="3" t="s">
        <v>1105</v>
      </c>
      <c r="E2041" s="4" t="s">
        <v>1105</v>
      </c>
      <c r="F2041" s="4" t="s">
        <v>2276</v>
      </c>
      <c r="G2041" s="3"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3"/>
      <c r="AD2041" s="4" t="s">
        <v>5809</v>
      </c>
    </row>
    <row r="2042" spans="1:30" ht="30" customHeight="1">
      <c r="A2042" s="19" t="s">
        <v>5816</v>
      </c>
      <c r="B2042" s="19" t="s">
        <v>5820</v>
      </c>
      <c r="C2042" s="3" t="s">
        <v>24</v>
      </c>
      <c r="D2042" s="3" t="s">
        <v>27</v>
      </c>
      <c r="E2042" s="3" t="s">
        <v>130</v>
      </c>
      <c r="F2042" s="4" t="s">
        <v>160</v>
      </c>
      <c r="G2042" s="3"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5816</v>
      </c>
      <c r="B2043" s="19" t="s">
        <v>5821</v>
      </c>
      <c r="C2043" s="3" t="s">
        <v>24</v>
      </c>
      <c r="D2043" s="3" t="s">
        <v>27</v>
      </c>
      <c r="E2043" s="4" t="s">
        <v>396</v>
      </c>
      <c r="F2043" s="4" t="s">
        <v>160</v>
      </c>
      <c r="G2043" s="3"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5816</v>
      </c>
      <c r="B2044" s="19" t="s">
        <v>5822</v>
      </c>
      <c r="C2044" s="3" t="s">
        <v>24</v>
      </c>
      <c r="D2044" s="3" t="s">
        <v>2231</v>
      </c>
      <c r="E2044" s="4" t="s">
        <v>396</v>
      </c>
      <c r="F2044" s="4" t="s">
        <v>160</v>
      </c>
      <c r="G2044" s="3"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5817</v>
      </c>
      <c r="B2045" s="19" t="s">
        <v>5823</v>
      </c>
      <c r="C2045" s="3" t="s">
        <v>24</v>
      </c>
      <c r="D2045" s="3" t="s">
        <v>27</v>
      </c>
      <c r="E2045" s="3" t="s">
        <v>130</v>
      </c>
      <c r="F2045" s="4" t="s">
        <v>160</v>
      </c>
      <c r="G2045" s="3"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5817</v>
      </c>
      <c r="B2046" s="19" t="s">
        <v>5824</v>
      </c>
      <c r="C2046" s="3" t="s">
        <v>24</v>
      </c>
      <c r="D2046" s="3" t="s">
        <v>27</v>
      </c>
      <c r="E2046" s="4" t="s">
        <v>396</v>
      </c>
      <c r="F2046" s="4" t="s">
        <v>160</v>
      </c>
      <c r="G2046" s="3"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5817</v>
      </c>
      <c r="B2047" s="19" t="s">
        <v>5825</v>
      </c>
      <c r="C2047" s="3" t="s">
        <v>24</v>
      </c>
      <c r="D2047" s="3" t="s">
        <v>2231</v>
      </c>
      <c r="E2047" s="4" t="s">
        <v>396</v>
      </c>
      <c r="F2047" s="4" t="s">
        <v>160</v>
      </c>
      <c r="G2047" s="3"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5828</v>
      </c>
      <c r="B2048" s="19" t="s">
        <v>5832</v>
      </c>
      <c r="C2048" s="3" t="s">
        <v>24</v>
      </c>
      <c r="D2048" s="3" t="s">
        <v>27</v>
      </c>
      <c r="E2048" s="3" t="s">
        <v>130</v>
      </c>
      <c r="F2048" s="4" t="s">
        <v>28</v>
      </c>
      <c r="G2048" s="3"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5834</v>
      </c>
      <c r="AD2048" s="3"/>
    </row>
    <row r="2049" spans="1:30" ht="56.5" customHeight="1">
      <c r="A2049" s="19" t="s">
        <v>5828</v>
      </c>
      <c r="B2049" s="19" t="s">
        <v>5833</v>
      </c>
      <c r="C2049" s="3" t="s">
        <v>24</v>
      </c>
      <c r="D2049" s="3" t="s">
        <v>27</v>
      </c>
      <c r="E2049" s="3" t="s">
        <v>130</v>
      </c>
      <c r="F2049" s="4" t="s">
        <v>160</v>
      </c>
      <c r="G2049" s="3"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5835</v>
      </c>
      <c r="AD2049" s="3"/>
    </row>
    <row r="2050" spans="1:30" ht="41" customHeight="1">
      <c r="A2050" s="19" t="s">
        <v>5837</v>
      </c>
      <c r="B2050" s="19" t="s">
        <v>5842</v>
      </c>
      <c r="C2050" s="3" t="s">
        <v>24</v>
      </c>
      <c r="D2050" s="3" t="s">
        <v>25</v>
      </c>
      <c r="E2050" s="3" t="s">
        <v>45</v>
      </c>
      <c r="F2050" s="4" t="s">
        <v>2662</v>
      </c>
      <c r="G2050" s="3" t="s">
        <v>2276</v>
      </c>
      <c r="H2050" s="3" t="s">
        <v>523</v>
      </c>
      <c r="I2050" s="178"/>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3" t="s">
        <v>5844</v>
      </c>
      <c r="B2051" s="3" t="s">
        <v>5850</v>
      </c>
      <c r="C2051" s="3" t="s">
        <v>24</v>
      </c>
      <c r="D2051" s="3" t="s">
        <v>1245</v>
      </c>
      <c r="E2051" s="3" t="s">
        <v>116</v>
      </c>
      <c r="F2051" s="4" t="s">
        <v>2662</v>
      </c>
      <c r="G2051" s="4" t="s">
        <v>2662</v>
      </c>
      <c r="H2051" s="3" t="s">
        <v>523</v>
      </c>
      <c r="I2051" s="178"/>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3" t="s">
        <v>5844</v>
      </c>
      <c r="B2052" s="3" t="s">
        <v>5851</v>
      </c>
      <c r="C2052" s="3" t="s">
        <v>24</v>
      </c>
      <c r="D2052" s="3" t="s">
        <v>25</v>
      </c>
      <c r="E2052" s="3" t="s">
        <v>5005</v>
      </c>
      <c r="F2052" s="4" t="s">
        <v>2662</v>
      </c>
      <c r="G2052" s="4" t="s">
        <v>2662</v>
      </c>
      <c r="H2052" s="3" t="s">
        <v>523</v>
      </c>
      <c r="I2052" s="178"/>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3"/>
      <c r="AD2052" s="3"/>
    </row>
    <row r="2053" spans="1:30" ht="44.5" customHeight="1">
      <c r="A2053" s="3" t="s">
        <v>5844</v>
      </c>
      <c r="B2053" s="3" t="s">
        <v>5852</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3"/>
      <c r="AD2053" s="3" t="s">
        <v>5853</v>
      </c>
    </row>
    <row r="2054" spans="1:30" ht="35.5" customHeight="1">
      <c r="A2054" s="11" t="s">
        <v>5849</v>
      </c>
      <c r="B2054" s="11" t="s">
        <v>5856</v>
      </c>
      <c r="C2054" s="3" t="s">
        <v>24</v>
      </c>
      <c r="D2054" s="3" t="s">
        <v>25</v>
      </c>
      <c r="E2054" s="3" t="s">
        <v>5005</v>
      </c>
      <c r="F2054" s="4" t="s">
        <v>2662</v>
      </c>
      <c r="G2054" s="4" t="s">
        <v>2276</v>
      </c>
      <c r="H2054" s="3" t="s">
        <v>523</v>
      </c>
      <c r="I2054" s="3"/>
      <c r="J2054" s="187" t="s">
        <v>2276</v>
      </c>
      <c r="K2054" s="187" t="s">
        <v>2276</v>
      </c>
      <c r="L2054" s="187" t="s">
        <v>2276</v>
      </c>
      <c r="M2054" s="187" t="s">
        <v>2276</v>
      </c>
      <c r="N2054" s="187" t="s">
        <v>2276</v>
      </c>
      <c r="O2054" s="187" t="s">
        <v>2276</v>
      </c>
      <c r="P2054" s="187" t="s">
        <v>2276</v>
      </c>
      <c r="Q2054" s="187" t="s">
        <v>2276</v>
      </c>
      <c r="R2054" s="187" t="s">
        <v>2276</v>
      </c>
      <c r="S2054" s="187" t="s">
        <v>2276</v>
      </c>
      <c r="T2054" s="187" t="s">
        <v>2276</v>
      </c>
      <c r="U2054" s="187" t="s">
        <v>2276</v>
      </c>
      <c r="V2054" s="187" t="s">
        <v>2276</v>
      </c>
      <c r="W2054" s="187" t="s">
        <v>2276</v>
      </c>
      <c r="X2054" s="187" t="s">
        <v>2276</v>
      </c>
      <c r="Y2054" s="187" t="s">
        <v>2276</v>
      </c>
      <c r="Z2054" s="3" t="s">
        <v>399</v>
      </c>
      <c r="AA2054" s="3" t="s">
        <v>189</v>
      </c>
      <c r="AB2054" s="4" t="s">
        <v>2276</v>
      </c>
      <c r="AC2054" s="3"/>
      <c r="AD2054" s="3"/>
    </row>
    <row r="2055" spans="1:30" ht="29" customHeight="1">
      <c r="A2055" s="11" t="s">
        <v>5849</v>
      </c>
      <c r="B2055" s="11" t="s">
        <v>5857</v>
      </c>
      <c r="C2055" s="3" t="s">
        <v>2458</v>
      </c>
      <c r="D2055" s="3" t="s">
        <v>25</v>
      </c>
      <c r="E2055" s="3" t="s">
        <v>5005</v>
      </c>
      <c r="F2055" s="4" t="s">
        <v>2662</v>
      </c>
      <c r="G2055" s="4" t="s">
        <v>2276</v>
      </c>
      <c r="H2055" s="3" t="s">
        <v>523</v>
      </c>
      <c r="I2055" s="3"/>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187" t="s">
        <v>2276</v>
      </c>
      <c r="Y2055" s="187" t="s">
        <v>2276</v>
      </c>
      <c r="Z2055" s="3" t="s">
        <v>399</v>
      </c>
      <c r="AA2055" s="3" t="s">
        <v>189</v>
      </c>
      <c r="AB2055" s="4" t="s">
        <v>2276</v>
      </c>
      <c r="AC2055" s="3"/>
      <c r="AD2055" s="3"/>
    </row>
    <row r="2056" spans="1:30" ht="43" customHeight="1">
      <c r="A2056" s="11" t="s">
        <v>5849</v>
      </c>
      <c r="B2056" s="11" t="s">
        <v>5858</v>
      </c>
      <c r="C2056" s="3" t="s">
        <v>2656</v>
      </c>
      <c r="D2056" s="3" t="s">
        <v>2276</v>
      </c>
      <c r="E2056" s="3" t="s">
        <v>2276</v>
      </c>
      <c r="F2056" s="3"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7" t="s">
        <v>2276</v>
      </c>
      <c r="Z2056" s="3" t="s">
        <v>399</v>
      </c>
      <c r="AA2056" s="3" t="s">
        <v>189</v>
      </c>
      <c r="AB2056" s="4" t="s">
        <v>2276</v>
      </c>
      <c r="AC2056" s="3"/>
      <c r="AD2056" s="3"/>
    </row>
    <row r="2057" spans="1:30" ht="66.5" customHeight="1">
      <c r="A2057" s="19" t="s">
        <v>5849</v>
      </c>
      <c r="B2057" s="19" t="s">
        <v>5863</v>
      </c>
      <c r="C2057" s="4" t="s">
        <v>1105</v>
      </c>
      <c r="D2057" s="4" t="s">
        <v>1105</v>
      </c>
      <c r="E2057" s="4" t="s">
        <v>1105</v>
      </c>
      <c r="F2057" s="4" t="s">
        <v>2276</v>
      </c>
      <c r="G2057" s="4" t="s">
        <v>2662</v>
      </c>
      <c r="H2057" s="4" t="s">
        <v>523</v>
      </c>
      <c r="I2057" s="3">
        <v>1997</v>
      </c>
      <c r="J2057" s="187" t="s">
        <v>2276</v>
      </c>
      <c r="K2057" s="187" t="s">
        <v>2276</v>
      </c>
      <c r="L2057" s="187" t="s">
        <v>2276</v>
      </c>
      <c r="M2057" s="187" t="s">
        <v>2276</v>
      </c>
      <c r="N2057" s="187" t="s">
        <v>2276</v>
      </c>
      <c r="O2057" s="187" t="s">
        <v>2276</v>
      </c>
      <c r="P2057" s="187" t="s">
        <v>2276</v>
      </c>
      <c r="Q2057" s="187" t="s">
        <v>2276</v>
      </c>
      <c r="R2057" s="187" t="s">
        <v>2276</v>
      </c>
      <c r="S2057" s="187" t="s">
        <v>2276</v>
      </c>
      <c r="T2057" s="21">
        <f>34.6*100</f>
        <v>3460</v>
      </c>
      <c r="U2057" s="187" t="s">
        <v>2276</v>
      </c>
      <c r="V2057" s="187" t="s">
        <v>2276</v>
      </c>
      <c r="W2057" s="187" t="s">
        <v>2276</v>
      </c>
      <c r="X2057" s="21">
        <f>T2057/'Record info'!K897</f>
        <v>77.40492170022371</v>
      </c>
      <c r="Y2057" s="187" t="s">
        <v>2276</v>
      </c>
      <c r="Z2057" s="3" t="s">
        <v>399</v>
      </c>
      <c r="AA2057" s="3" t="s">
        <v>189</v>
      </c>
      <c r="AB2057" s="4" t="s">
        <v>2276</v>
      </c>
      <c r="AD2057" s="4" t="s">
        <v>5865</v>
      </c>
    </row>
    <row r="2058" spans="1:30" ht="66.5" customHeight="1">
      <c r="A2058" s="19" t="s">
        <v>5849</v>
      </c>
      <c r="B2058" s="19" t="s">
        <v>5864</v>
      </c>
      <c r="C2058" s="4" t="s">
        <v>1105</v>
      </c>
      <c r="D2058" s="4" t="s">
        <v>1105</v>
      </c>
      <c r="E2058" s="4" t="s">
        <v>1105</v>
      </c>
      <c r="F2058" s="4" t="s">
        <v>2276</v>
      </c>
      <c r="G2058" s="4" t="s">
        <v>2662</v>
      </c>
      <c r="H2058" s="4" t="s">
        <v>523</v>
      </c>
      <c r="I2058" s="3"/>
      <c r="J2058" s="187" t="s">
        <v>2276</v>
      </c>
      <c r="K2058" s="187" t="s">
        <v>2276</v>
      </c>
      <c r="L2058" s="187" t="s">
        <v>2276</v>
      </c>
      <c r="M2058" s="187" t="s">
        <v>2276</v>
      </c>
      <c r="N2058" s="187" t="s">
        <v>2276</v>
      </c>
      <c r="O2058" s="187" t="s">
        <v>2276</v>
      </c>
      <c r="P2058" s="187" t="s">
        <v>2276</v>
      </c>
      <c r="Q2058" s="187" t="s">
        <v>2276</v>
      </c>
      <c r="R2058" s="187" t="s">
        <v>2276</v>
      </c>
      <c r="S2058" s="187" t="s">
        <v>2276</v>
      </c>
      <c r="T2058" s="187" t="s">
        <v>2276</v>
      </c>
      <c r="U2058" s="187" t="s">
        <v>2276</v>
      </c>
      <c r="V2058" s="187" t="s">
        <v>2276</v>
      </c>
      <c r="W2058" s="187" t="s">
        <v>2276</v>
      </c>
      <c r="X2058" s="187" t="s">
        <v>2276</v>
      </c>
      <c r="Y2058" s="187" t="s">
        <v>2276</v>
      </c>
      <c r="Z2058" s="3" t="s">
        <v>399</v>
      </c>
      <c r="AA2058" s="3" t="s">
        <v>189</v>
      </c>
      <c r="AB2058" s="4" t="s">
        <v>2276</v>
      </c>
      <c r="AC2058" s="4"/>
      <c r="AD2058" s="4" t="s">
        <v>5866</v>
      </c>
    </row>
    <row r="2059" spans="1:30" ht="38" customHeight="1">
      <c r="A2059" s="11" t="s">
        <v>5854</v>
      </c>
      <c r="B2059" s="11" t="s">
        <v>5871</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5854</v>
      </c>
      <c r="B2060" s="11" t="s">
        <v>5872</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5859</v>
      </c>
      <c r="B2061" s="11" t="s">
        <v>5873</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5860</v>
      </c>
      <c r="B2062" s="11" t="s">
        <v>5874</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5862</v>
      </c>
      <c r="B2063" s="11" t="s">
        <v>5884</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5862</v>
      </c>
      <c r="B2064" s="11" t="s">
        <v>5885</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5862</v>
      </c>
      <c r="B2065" s="11" t="s">
        <v>5886</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5862</v>
      </c>
      <c r="B2066" s="11" t="s">
        <v>5887</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5862</v>
      </c>
      <c r="B2067" s="11" t="s">
        <v>5888</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5862</v>
      </c>
      <c r="B2068" s="11" t="s">
        <v>5889</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5862</v>
      </c>
      <c r="B2069" s="11" t="s">
        <v>5890</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5879</v>
      </c>
      <c r="B2070" s="3" t="s">
        <v>5881</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5883</v>
      </c>
      <c r="AD2070" s="3"/>
    </row>
    <row r="2071" spans="1:30" ht="32.5" customHeight="1">
      <c r="A2071" s="11" t="s">
        <v>5879</v>
      </c>
      <c r="B2071" s="3" t="s">
        <v>5882</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5883</v>
      </c>
      <c r="AD2071" s="3"/>
    </row>
    <row r="2072" spans="1:30" ht="30" customHeight="1">
      <c r="A2072" s="11" t="s">
        <v>5875</v>
      </c>
      <c r="B2072" s="11" t="s">
        <v>5900</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5875</v>
      </c>
      <c r="B2073" s="11" t="s">
        <v>5901</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5875</v>
      </c>
      <c r="B2074" s="11" t="s">
        <v>5902</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5875</v>
      </c>
      <c r="B2075" s="11" t="s">
        <v>5903</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5899</v>
      </c>
      <c r="B2076" s="11" t="s">
        <v>5908</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5911</v>
      </c>
      <c r="AD2076" s="3"/>
    </row>
    <row r="2077" spans="1:30" ht="36.5" customHeight="1">
      <c r="A2077" s="11" t="s">
        <v>5899</v>
      </c>
      <c r="B2077" s="11" t="s">
        <v>5910</v>
      </c>
      <c r="C2077" s="3" t="s">
        <v>24</v>
      </c>
      <c r="D2077" s="3" t="s">
        <v>2804</v>
      </c>
      <c r="E2077" s="3" t="s">
        <v>2647</v>
      </c>
      <c r="F2077" s="4" t="s">
        <v>55</v>
      </c>
      <c r="G2077" s="4" t="s">
        <v>2276</v>
      </c>
      <c r="H2077" s="3" t="s">
        <v>523</v>
      </c>
      <c r="I2077" s="205"/>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5911</v>
      </c>
      <c r="AD2077" s="3"/>
    </row>
    <row r="2078" spans="1:30" ht="33.5" customHeight="1">
      <c r="A2078" s="11" t="s">
        <v>5909</v>
      </c>
      <c r="B2078" s="11" t="s">
        <v>5912</v>
      </c>
      <c r="C2078" s="3" t="s">
        <v>31</v>
      </c>
      <c r="D2078" s="3" t="s">
        <v>30</v>
      </c>
      <c r="E2078" s="3" t="s">
        <v>2276</v>
      </c>
      <c r="F2078" s="3" t="s">
        <v>2276</v>
      </c>
      <c r="G2078" s="3" t="s">
        <v>2276</v>
      </c>
      <c r="H2078" s="3" t="s">
        <v>523</v>
      </c>
      <c r="I2078" s="205"/>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5909</v>
      </c>
      <c r="B2079" s="11" t="s">
        <v>5913</v>
      </c>
      <c r="C2079" s="3" t="s">
        <v>24</v>
      </c>
      <c r="D2079" s="3" t="s">
        <v>2346</v>
      </c>
      <c r="E2079" s="3" t="s">
        <v>5005</v>
      </c>
      <c r="F2079" s="3" t="s">
        <v>2276</v>
      </c>
      <c r="G2079" s="3" t="s">
        <v>2276</v>
      </c>
      <c r="H2079" s="3" t="s">
        <v>523</v>
      </c>
      <c r="I2079" s="205"/>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5909</v>
      </c>
      <c r="B2080" s="11" t="s">
        <v>5914</v>
      </c>
      <c r="C2080" s="3" t="s">
        <v>24</v>
      </c>
      <c r="D2080" s="3" t="s">
        <v>2346</v>
      </c>
      <c r="E2080" s="3" t="s">
        <v>116</v>
      </c>
      <c r="F2080" s="3" t="s">
        <v>2276</v>
      </c>
      <c r="G2080" s="3" t="s">
        <v>2276</v>
      </c>
      <c r="H2080" s="3" t="s">
        <v>523</v>
      </c>
      <c r="I2080" s="205"/>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5909</v>
      </c>
      <c r="B2081" s="11" t="s">
        <v>5915</v>
      </c>
      <c r="C2081" s="3" t="s">
        <v>24</v>
      </c>
      <c r="D2081" s="3" t="s">
        <v>3480</v>
      </c>
      <c r="E2081" s="3" t="s">
        <v>116</v>
      </c>
      <c r="F2081" s="3" t="s">
        <v>2276</v>
      </c>
      <c r="G2081" s="3" t="s">
        <v>2276</v>
      </c>
      <c r="H2081" s="3" t="s">
        <v>523</v>
      </c>
      <c r="I2081" s="205"/>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5909</v>
      </c>
      <c r="B2082" s="11" t="s">
        <v>5916</v>
      </c>
      <c r="C2082" s="3" t="s">
        <v>24</v>
      </c>
      <c r="D2082" s="3" t="s">
        <v>1245</v>
      </c>
      <c r="E2082" s="3" t="s">
        <v>116</v>
      </c>
      <c r="F2082" s="3" t="s">
        <v>2276</v>
      </c>
      <c r="G2082" s="3" t="s">
        <v>2276</v>
      </c>
      <c r="H2082" s="3" t="s">
        <v>523</v>
      </c>
      <c r="I2082" s="205"/>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5909</v>
      </c>
      <c r="B2083" s="11" t="s">
        <v>5917</v>
      </c>
      <c r="C2083" s="3" t="s">
        <v>24</v>
      </c>
      <c r="D2083" s="3" t="s">
        <v>25</v>
      </c>
      <c r="E2083" s="3" t="s">
        <v>5005</v>
      </c>
      <c r="F2083" s="3" t="s">
        <v>2276</v>
      </c>
      <c r="G2083" s="3" t="s">
        <v>2276</v>
      </c>
      <c r="H2083" s="3" t="s">
        <v>523</v>
      </c>
      <c r="I2083" s="205"/>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5909</v>
      </c>
      <c r="B2084" s="11" t="s">
        <v>5918</v>
      </c>
      <c r="C2084" s="3" t="s">
        <v>24</v>
      </c>
      <c r="D2084" s="3" t="s">
        <v>2341</v>
      </c>
      <c r="E2084" s="3" t="s">
        <v>5005</v>
      </c>
      <c r="F2084" s="3" t="s">
        <v>2276</v>
      </c>
      <c r="G2084" s="3" t="s">
        <v>2276</v>
      </c>
      <c r="H2084" s="3" t="s">
        <v>523</v>
      </c>
      <c r="I2084" s="205"/>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5909</v>
      </c>
      <c r="B2085" s="11" t="s">
        <v>5919</v>
      </c>
      <c r="C2085" s="3" t="s">
        <v>2458</v>
      </c>
      <c r="D2085" s="3" t="s">
        <v>3476</v>
      </c>
      <c r="E2085" s="3" t="s">
        <v>863</v>
      </c>
      <c r="F2085" s="3" t="s">
        <v>2276</v>
      </c>
      <c r="G2085" s="3" t="s">
        <v>2276</v>
      </c>
      <c r="H2085" s="3" t="s">
        <v>523</v>
      </c>
      <c r="I2085" s="205"/>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5909</v>
      </c>
      <c r="B2086" s="11" t="s">
        <v>5920</v>
      </c>
      <c r="C2086" s="3" t="s">
        <v>24</v>
      </c>
      <c r="D2086" s="3" t="s">
        <v>27</v>
      </c>
      <c r="E2086" s="3" t="s">
        <v>130</v>
      </c>
      <c r="F2086" s="3" t="s">
        <v>2276</v>
      </c>
      <c r="G2086" s="3" t="s">
        <v>2276</v>
      </c>
      <c r="H2086" s="3" t="s">
        <v>523</v>
      </c>
      <c r="I2086" s="205"/>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5909</v>
      </c>
      <c r="B2087" s="11" t="s">
        <v>5921</v>
      </c>
      <c r="C2087" s="3" t="s">
        <v>2458</v>
      </c>
      <c r="D2087" s="3" t="s">
        <v>2276</v>
      </c>
      <c r="E2087" s="3" t="s">
        <v>2276</v>
      </c>
      <c r="F2087" s="3" t="s">
        <v>2276</v>
      </c>
      <c r="G2087" s="3" t="s">
        <v>2276</v>
      </c>
      <c r="H2087" s="3" t="s">
        <v>523</v>
      </c>
      <c r="I2087" s="205"/>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5909</v>
      </c>
      <c r="B2088" s="35" t="s">
        <v>5922</v>
      </c>
      <c r="C2088" s="38" t="s">
        <v>2458</v>
      </c>
      <c r="D2088" s="38" t="s">
        <v>2276</v>
      </c>
      <c r="E2088" s="38" t="s">
        <v>2276</v>
      </c>
      <c r="F2088" s="38" t="s">
        <v>2276</v>
      </c>
      <c r="G2088" s="38" t="s">
        <v>2276</v>
      </c>
      <c r="H2088" s="38" t="s">
        <v>523</v>
      </c>
      <c r="I2088" s="205"/>
      <c r="J2088" s="168" t="s">
        <v>2276</v>
      </c>
      <c r="K2088" s="168" t="s">
        <v>2276</v>
      </c>
      <c r="L2088" s="168" t="s">
        <v>2276</v>
      </c>
      <c r="M2088" s="168" t="s">
        <v>2276</v>
      </c>
      <c r="N2088" s="168" t="s">
        <v>2276</v>
      </c>
      <c r="O2088" s="168" t="s">
        <v>2276</v>
      </c>
      <c r="P2088" s="21">
        <v>237.74</v>
      </c>
      <c r="Q2088" s="168" t="s">
        <v>2276</v>
      </c>
      <c r="R2088" s="168" t="s">
        <v>2276</v>
      </c>
      <c r="S2088" s="168" t="s">
        <v>2276</v>
      </c>
      <c r="T2088" s="168" t="s">
        <v>2276</v>
      </c>
      <c r="U2088" s="168" t="s">
        <v>2276</v>
      </c>
      <c r="V2088" s="168" t="s">
        <v>2276</v>
      </c>
      <c r="W2088" s="168" t="s">
        <v>2276</v>
      </c>
      <c r="X2088" s="168" t="s">
        <v>2276</v>
      </c>
      <c r="Y2088" s="168" t="s">
        <v>2276</v>
      </c>
      <c r="Z2088" s="38" t="s">
        <v>405</v>
      </c>
      <c r="AA2088" s="38" t="s">
        <v>68</v>
      </c>
      <c r="AB2088" s="168" t="s">
        <v>2276</v>
      </c>
      <c r="AC2088" s="3"/>
      <c r="AD2088" s="3"/>
    </row>
    <row r="2089" spans="1:30" ht="35.5" customHeight="1">
      <c r="A2089" s="11" t="s">
        <v>5909</v>
      </c>
      <c r="B2089" s="11" t="s">
        <v>5923</v>
      </c>
      <c r="C2089" s="3" t="s">
        <v>24</v>
      </c>
      <c r="D2089" s="3" t="s">
        <v>1242</v>
      </c>
      <c r="E2089" s="3" t="s">
        <v>137</v>
      </c>
      <c r="F2089" s="3" t="s">
        <v>2276</v>
      </c>
      <c r="G2089" s="3"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5909</v>
      </c>
      <c r="B2090" s="11" t="s">
        <v>5925</v>
      </c>
      <c r="C2090" s="3" t="s">
        <v>24</v>
      </c>
      <c r="D2090" s="3" t="s">
        <v>144</v>
      </c>
      <c r="E2090" s="3" t="s">
        <v>137</v>
      </c>
      <c r="F2090" s="3" t="s">
        <v>2276</v>
      </c>
      <c r="G2090" s="3"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5932</v>
      </c>
      <c r="B2091" s="11" t="s">
        <v>5934</v>
      </c>
      <c r="C2091" s="3" t="s">
        <v>24</v>
      </c>
      <c r="D2091" s="3" t="s">
        <v>1245</v>
      </c>
      <c r="E2091" s="3" t="s">
        <v>116</v>
      </c>
      <c r="F2091" s="4" t="s">
        <v>2662</v>
      </c>
      <c r="G2091" s="3"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5932</v>
      </c>
      <c r="B2092" s="11" t="s">
        <v>5935</v>
      </c>
      <c r="C2092" s="3" t="s">
        <v>24</v>
      </c>
      <c r="D2092" s="3" t="s">
        <v>2341</v>
      </c>
      <c r="E2092" s="3" t="s">
        <v>116</v>
      </c>
      <c r="F2092" s="4" t="s">
        <v>2662</v>
      </c>
      <c r="G2092" s="3"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5932</v>
      </c>
      <c r="B2093" s="11" t="s">
        <v>5936</v>
      </c>
      <c r="C2093" s="3" t="s">
        <v>24</v>
      </c>
      <c r="D2093" s="3" t="s">
        <v>1242</v>
      </c>
      <c r="E2093" s="3" t="s">
        <v>116</v>
      </c>
      <c r="F2093" s="4" t="s">
        <v>2662</v>
      </c>
      <c r="G2093" s="3"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5932</v>
      </c>
      <c r="B2094" s="11" t="s">
        <v>5937</v>
      </c>
      <c r="C2094" s="3" t="s">
        <v>24</v>
      </c>
      <c r="D2094" s="3" t="s">
        <v>406</v>
      </c>
      <c r="E2094" s="3" t="s">
        <v>116</v>
      </c>
      <c r="F2094" s="4" t="s">
        <v>2662</v>
      </c>
      <c r="G2094" s="3"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5932</v>
      </c>
      <c r="B2095" s="11" t="s">
        <v>5938</v>
      </c>
      <c r="C2095" s="3" t="s">
        <v>24</v>
      </c>
      <c r="D2095" s="3" t="s">
        <v>144</v>
      </c>
      <c r="E2095" s="3" t="s">
        <v>116</v>
      </c>
      <c r="F2095" s="4" t="s">
        <v>2662</v>
      </c>
      <c r="G2095" s="3"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5932</v>
      </c>
      <c r="B2096" s="11" t="s">
        <v>5946</v>
      </c>
      <c r="C2096" s="3" t="s">
        <v>24</v>
      </c>
      <c r="D2096" s="3" t="s">
        <v>2346</v>
      </c>
      <c r="E2096" s="3" t="s">
        <v>116</v>
      </c>
      <c r="F2096" s="4" t="s">
        <v>2662</v>
      </c>
      <c r="G2096" s="3"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5932</v>
      </c>
      <c r="B2097" s="11" t="s">
        <v>5947</v>
      </c>
      <c r="C2097" s="3" t="s">
        <v>24</v>
      </c>
      <c r="D2097" s="3" t="s">
        <v>27</v>
      </c>
      <c r="E2097" s="3" t="s">
        <v>130</v>
      </c>
      <c r="F2097" s="4" t="s">
        <v>2662</v>
      </c>
      <c r="G2097" s="3"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5949</v>
      </c>
      <c r="B2098" s="11" t="s">
        <v>5954</v>
      </c>
      <c r="C2098" s="3" t="s">
        <v>24</v>
      </c>
      <c r="D2098" s="3" t="s">
        <v>2346</v>
      </c>
      <c r="E2098" s="3" t="s">
        <v>130</v>
      </c>
      <c r="F2098" s="4" t="s">
        <v>28</v>
      </c>
      <c r="G2098" s="3"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5956</v>
      </c>
      <c r="B2099" s="11" t="s">
        <v>5957</v>
      </c>
      <c r="C2099" s="3" t="s">
        <v>24</v>
      </c>
      <c r="D2099" s="3" t="s">
        <v>144</v>
      </c>
      <c r="E2099" s="3" t="s">
        <v>137</v>
      </c>
      <c r="F2099" s="4" t="s">
        <v>74</v>
      </c>
      <c r="G2099" s="3"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5962</v>
      </c>
      <c r="AD2099" s="3"/>
    </row>
    <row r="2100" spans="1:30" ht="31" customHeight="1">
      <c r="A2100" s="11" t="s">
        <v>5956</v>
      </c>
      <c r="B2100" s="11" t="s">
        <v>5960</v>
      </c>
      <c r="C2100" s="3" t="s">
        <v>24</v>
      </c>
      <c r="D2100" s="3" t="s">
        <v>144</v>
      </c>
      <c r="E2100" s="3" t="s">
        <v>116</v>
      </c>
      <c r="F2100" s="4" t="s">
        <v>74</v>
      </c>
      <c r="G2100" s="3"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5962</v>
      </c>
      <c r="AD2100" s="3"/>
    </row>
    <row r="2101" spans="1:30" ht="31" customHeight="1">
      <c r="A2101" s="11" t="s">
        <v>5956</v>
      </c>
      <c r="B2101" s="11" t="s">
        <v>5961</v>
      </c>
      <c r="C2101" s="3" t="s">
        <v>24</v>
      </c>
      <c r="D2101" s="3" t="s">
        <v>3480</v>
      </c>
      <c r="E2101" s="3" t="s">
        <v>116</v>
      </c>
      <c r="F2101" s="4" t="s">
        <v>74</v>
      </c>
      <c r="G2101" s="3"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5962</v>
      </c>
      <c r="AD2101" s="3"/>
    </row>
    <row r="2102" spans="1:30" ht="35.5" customHeight="1">
      <c r="A2102" s="11" t="s">
        <v>5969</v>
      </c>
      <c r="B2102" s="11" t="s">
        <v>5971</v>
      </c>
      <c r="C2102" s="3" t="s">
        <v>24</v>
      </c>
      <c r="D2102" s="3" t="s">
        <v>143</v>
      </c>
      <c r="E2102" s="3" t="s">
        <v>84</v>
      </c>
      <c r="F2102" s="4" t="s">
        <v>74</v>
      </c>
      <c r="G2102" s="3"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5969</v>
      </c>
      <c r="B2103" s="11" t="s">
        <v>5972</v>
      </c>
      <c r="C2103" s="3" t="s">
        <v>24</v>
      </c>
      <c r="D2103" s="3" t="s">
        <v>143</v>
      </c>
      <c r="E2103" s="4" t="s">
        <v>396</v>
      </c>
      <c r="F2103" s="4" t="s">
        <v>74</v>
      </c>
      <c r="G2103" s="3"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5969</v>
      </c>
      <c r="B2104" s="11" t="s">
        <v>5973</v>
      </c>
      <c r="C2104" s="3" t="s">
        <v>24</v>
      </c>
      <c r="D2104" s="3" t="s">
        <v>143</v>
      </c>
      <c r="E2104" s="3" t="s">
        <v>130</v>
      </c>
      <c r="F2104" s="4" t="s">
        <v>74</v>
      </c>
      <c r="G2104" s="3"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5969</v>
      </c>
      <c r="B2105" s="11" t="s">
        <v>5974</v>
      </c>
      <c r="C2105" s="3" t="s">
        <v>24</v>
      </c>
      <c r="D2105" s="3" t="s">
        <v>2346</v>
      </c>
      <c r="E2105" s="3" t="s">
        <v>130</v>
      </c>
      <c r="F2105" s="4" t="s">
        <v>28</v>
      </c>
      <c r="G2105" s="3"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5969</v>
      </c>
      <c r="B2106" s="11" t="s">
        <v>5975</v>
      </c>
      <c r="C2106" s="3" t="s">
        <v>24</v>
      </c>
      <c r="D2106" s="3" t="s">
        <v>2346</v>
      </c>
      <c r="E2106" s="4" t="s">
        <v>396</v>
      </c>
      <c r="F2106" s="4" t="s">
        <v>28</v>
      </c>
      <c r="G2106" s="3"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5982</v>
      </c>
      <c r="B2107" s="11" t="s">
        <v>5987</v>
      </c>
      <c r="C2107" s="3" t="s">
        <v>24</v>
      </c>
      <c r="D2107" s="3" t="s">
        <v>27</v>
      </c>
      <c r="E2107" s="3" t="s">
        <v>130</v>
      </c>
      <c r="F2107" s="4" t="s">
        <v>160</v>
      </c>
      <c r="G2107" s="3"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5990</v>
      </c>
      <c r="AD2107" s="3"/>
    </row>
    <row r="2108" spans="1:30" ht="67" customHeight="1">
      <c r="A2108" s="11" t="s">
        <v>5982</v>
      </c>
      <c r="B2108" s="11" t="s">
        <v>5988</v>
      </c>
      <c r="C2108" s="3" t="s">
        <v>24</v>
      </c>
      <c r="D2108" s="3" t="s">
        <v>27</v>
      </c>
      <c r="E2108" s="3" t="s">
        <v>2652</v>
      </c>
      <c r="F2108" s="4" t="s">
        <v>160</v>
      </c>
      <c r="G2108" s="3"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5991</v>
      </c>
      <c r="AD2108" s="3"/>
    </row>
    <row r="2109" spans="1:30" ht="52" customHeight="1">
      <c r="A2109" s="11" t="s">
        <v>5994</v>
      </c>
      <c r="B2109" s="11" t="s">
        <v>6001</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5994</v>
      </c>
      <c r="B2110" s="11" t="s">
        <v>6002</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5994</v>
      </c>
      <c r="B2111" s="11" t="s">
        <v>6003</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5998</v>
      </c>
      <c r="B2112" s="11" t="s">
        <v>6005</v>
      </c>
      <c r="C2112" s="3" t="s">
        <v>2656</v>
      </c>
      <c r="D2112" s="3" t="s">
        <v>2276</v>
      </c>
      <c r="E2112" s="3" t="s">
        <v>2276</v>
      </c>
      <c r="F2112" s="3"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3"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5998</v>
      </c>
      <c r="B2113" s="35" t="s">
        <v>6006</v>
      </c>
      <c r="C2113" s="38" t="s">
        <v>2656</v>
      </c>
      <c r="D2113" s="38" t="s">
        <v>2276</v>
      </c>
      <c r="E2113" s="38" t="s">
        <v>2276</v>
      </c>
      <c r="F2113" s="38" t="s">
        <v>2276</v>
      </c>
      <c r="G2113" s="168" t="s">
        <v>2662</v>
      </c>
      <c r="H2113" s="38" t="s">
        <v>523</v>
      </c>
      <c r="I2113" s="38"/>
      <c r="J2113" s="168" t="s">
        <v>2276</v>
      </c>
      <c r="K2113" s="168" t="s">
        <v>2276</v>
      </c>
      <c r="L2113" s="168" t="s">
        <v>2276</v>
      </c>
      <c r="M2113" s="168" t="s">
        <v>2276</v>
      </c>
      <c r="N2113" s="168" t="s">
        <v>2276</v>
      </c>
      <c r="O2113" s="168" t="s">
        <v>2276</v>
      </c>
      <c r="P2113" s="73">
        <v>6255</v>
      </c>
      <c r="Q2113" s="38" t="s">
        <v>2276</v>
      </c>
      <c r="R2113" s="73">
        <v>16.899999999999999</v>
      </c>
      <c r="S2113" s="38" t="s">
        <v>2276</v>
      </c>
      <c r="T2113" s="38" t="s">
        <v>2276</v>
      </c>
      <c r="U2113" s="38" t="s">
        <v>2276</v>
      </c>
      <c r="V2113" s="38" t="s">
        <v>2276</v>
      </c>
      <c r="W2113" s="38" t="s">
        <v>2276</v>
      </c>
      <c r="X2113" s="73">
        <v>5.2</v>
      </c>
      <c r="Y2113" s="38" t="s">
        <v>2276</v>
      </c>
      <c r="Z2113" s="38" t="s">
        <v>34</v>
      </c>
      <c r="AA2113" s="38" t="s">
        <v>68</v>
      </c>
      <c r="AB2113" s="38" t="s">
        <v>2276</v>
      </c>
      <c r="AC2113" s="3"/>
      <c r="AD2113" s="3"/>
    </row>
    <row r="2114" spans="1:30" ht="41" customHeight="1">
      <c r="A2114" s="11" t="s">
        <v>5994</v>
      </c>
      <c r="B2114" s="11" t="s">
        <v>6004</v>
      </c>
      <c r="C2114" s="3" t="s">
        <v>24</v>
      </c>
      <c r="D2114" s="3" t="s">
        <v>3480</v>
      </c>
      <c r="E2114" s="3" t="s">
        <v>116</v>
      </c>
      <c r="F2114" s="4" t="s">
        <v>2662</v>
      </c>
      <c r="G2114" s="4" t="s">
        <v>2662</v>
      </c>
      <c r="H2114" s="3" t="s">
        <v>523</v>
      </c>
      <c r="I2114" s="3"/>
      <c r="J2114" s="3" t="s">
        <v>2276</v>
      </c>
      <c r="K2114" s="3" t="s">
        <v>2276</v>
      </c>
      <c r="L2114" s="3" t="s">
        <v>2276</v>
      </c>
      <c r="M2114" s="3" t="s">
        <v>2276</v>
      </c>
      <c r="N2114" s="3" t="s">
        <v>2276</v>
      </c>
      <c r="O2114" s="3" t="s">
        <v>2276</v>
      </c>
      <c r="P2114" s="3" t="s">
        <v>2276</v>
      </c>
      <c r="Q2114" s="3" t="s">
        <v>2276</v>
      </c>
      <c r="R2114" s="3" t="s">
        <v>2276</v>
      </c>
      <c r="S2114" s="3" t="s">
        <v>2276</v>
      </c>
      <c r="T2114" s="3" t="s">
        <v>2276</v>
      </c>
      <c r="U2114" s="3" t="s">
        <v>2276</v>
      </c>
      <c r="V2114" s="3" t="s">
        <v>2276</v>
      </c>
      <c r="W2114" s="3" t="s">
        <v>2276</v>
      </c>
      <c r="X2114" s="3" t="s">
        <v>2276</v>
      </c>
      <c r="Y2114" s="3" t="s">
        <v>2276</v>
      </c>
      <c r="Z2114" s="3" t="s">
        <v>38</v>
      </c>
      <c r="AA2114" s="3" t="s">
        <v>425</v>
      </c>
      <c r="AB2114" s="3" t="s">
        <v>2276</v>
      </c>
      <c r="AC2114" s="3"/>
      <c r="AD2114" s="3"/>
    </row>
    <row r="2115" spans="1:30" ht="47.5" customHeight="1">
      <c r="A2115" s="11" t="s">
        <v>5994</v>
      </c>
      <c r="B2115" s="11" t="s">
        <v>6008</v>
      </c>
      <c r="C2115" s="3" t="s">
        <v>24</v>
      </c>
      <c r="D2115" s="3" t="s">
        <v>1245</v>
      </c>
      <c r="E2115" s="3" t="s">
        <v>116</v>
      </c>
      <c r="F2115" s="4" t="s">
        <v>2662</v>
      </c>
      <c r="G2115" s="4" t="s">
        <v>2662</v>
      </c>
      <c r="H2115" s="3" t="s">
        <v>523</v>
      </c>
      <c r="I2115" s="3"/>
      <c r="J2115" s="3" t="s">
        <v>2276</v>
      </c>
      <c r="K2115" s="3" t="s">
        <v>2276</v>
      </c>
      <c r="L2115" s="3" t="s">
        <v>2276</v>
      </c>
      <c r="M2115" s="3" t="s">
        <v>2276</v>
      </c>
      <c r="N2115" s="3" t="s">
        <v>2276</v>
      </c>
      <c r="O2115" s="3" t="s">
        <v>2276</v>
      </c>
      <c r="P2115" s="3" t="s">
        <v>2276</v>
      </c>
      <c r="Q2115" s="3" t="s">
        <v>2276</v>
      </c>
      <c r="R2115" s="3" t="s">
        <v>2276</v>
      </c>
      <c r="S2115" s="3" t="s">
        <v>2276</v>
      </c>
      <c r="T2115" s="3" t="s">
        <v>2276</v>
      </c>
      <c r="U2115" s="3" t="s">
        <v>2276</v>
      </c>
      <c r="V2115" s="3" t="s">
        <v>2276</v>
      </c>
      <c r="W2115" s="3" t="s">
        <v>2276</v>
      </c>
      <c r="X2115" s="3" t="s">
        <v>2276</v>
      </c>
      <c r="Y2115" s="3" t="s">
        <v>2276</v>
      </c>
      <c r="Z2115" s="3" t="s">
        <v>38</v>
      </c>
      <c r="AA2115" s="3" t="s">
        <v>425</v>
      </c>
      <c r="AB2115" s="3" t="s">
        <v>2276</v>
      </c>
      <c r="AC2115" s="3"/>
      <c r="AD2115" s="3"/>
    </row>
    <row r="2116" spans="1:30" ht="32.5" customHeight="1">
      <c r="A2116" s="11" t="s">
        <v>6000</v>
      </c>
      <c r="B2116" s="11" t="s">
        <v>6012</v>
      </c>
      <c r="C2116" s="3" t="s">
        <v>24</v>
      </c>
      <c r="D2116" s="3" t="s">
        <v>27</v>
      </c>
      <c r="E2116" s="3" t="s">
        <v>130</v>
      </c>
      <c r="F2116" s="4" t="s">
        <v>160</v>
      </c>
      <c r="G2116" s="3" t="s">
        <v>2276</v>
      </c>
      <c r="H2116" s="3" t="s">
        <v>523</v>
      </c>
      <c r="I2116" s="3"/>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t="s">
        <v>2276</v>
      </c>
      <c r="AB2116" s="3" t="s">
        <v>2276</v>
      </c>
      <c r="AC2116" s="3"/>
      <c r="AD2116" s="3"/>
    </row>
    <row r="2117" spans="1:30" ht="32.5" customHeight="1">
      <c r="A2117" s="11" t="s">
        <v>6000</v>
      </c>
      <c r="B2117" s="11" t="s">
        <v>6013</v>
      </c>
      <c r="C2117" s="3" t="s">
        <v>24</v>
      </c>
      <c r="D2117" s="3" t="s">
        <v>25</v>
      </c>
      <c r="E2117" s="3" t="s">
        <v>45</v>
      </c>
      <c r="F2117" s="4" t="s">
        <v>2662</v>
      </c>
      <c r="G2117" s="3" t="s">
        <v>2276</v>
      </c>
      <c r="H2117" s="3" t="s">
        <v>523</v>
      </c>
      <c r="I2117" s="3"/>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3" t="s">
        <v>2276</v>
      </c>
      <c r="X2117" s="3" t="s">
        <v>2276</v>
      </c>
      <c r="Y2117" s="3" t="s">
        <v>2276</v>
      </c>
      <c r="Z2117" s="3" t="s">
        <v>2276</v>
      </c>
      <c r="AA2117" s="3" t="s">
        <v>2276</v>
      </c>
      <c r="AB2117" s="3" t="s">
        <v>2276</v>
      </c>
      <c r="AC2117" s="3"/>
      <c r="AD2117" s="3"/>
    </row>
    <row r="2118" spans="1:30" ht="33.5" customHeight="1">
      <c r="A2118" s="11" t="s">
        <v>6000</v>
      </c>
      <c r="B2118" s="11" t="s">
        <v>6014</v>
      </c>
      <c r="C2118" s="3" t="s">
        <v>24</v>
      </c>
      <c r="D2118" s="3" t="s">
        <v>25</v>
      </c>
      <c r="E2118" s="3" t="s">
        <v>45</v>
      </c>
      <c r="F2118" s="4" t="s">
        <v>29</v>
      </c>
      <c r="G2118" s="3" t="s">
        <v>2276</v>
      </c>
      <c r="H2118" s="3" t="s">
        <v>523</v>
      </c>
      <c r="I2118" s="3"/>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3" t="s">
        <v>2276</v>
      </c>
      <c r="X2118" s="3" t="s">
        <v>2276</v>
      </c>
      <c r="Y2118" s="3" t="s">
        <v>2276</v>
      </c>
      <c r="Z2118" s="3" t="s">
        <v>2276</v>
      </c>
      <c r="AA2118" s="3" t="s">
        <v>2276</v>
      </c>
      <c r="AB2118" s="3" t="s">
        <v>2276</v>
      </c>
      <c r="AC2118" s="3"/>
      <c r="AD2118" s="3"/>
    </row>
    <row r="2119" spans="1:30" ht="41.5" customHeight="1">
      <c r="A2119" s="11" t="s">
        <v>6018</v>
      </c>
      <c r="B2119" s="11" t="s">
        <v>6021</v>
      </c>
      <c r="C2119" s="3" t="s">
        <v>24</v>
      </c>
      <c r="D2119" s="3" t="s">
        <v>3480</v>
      </c>
      <c r="E2119" s="3" t="s">
        <v>116</v>
      </c>
      <c r="F2119" s="4" t="s">
        <v>74</v>
      </c>
      <c r="G2119" s="3" t="s">
        <v>2276</v>
      </c>
      <c r="H2119" s="3" t="s">
        <v>523</v>
      </c>
      <c r="I2119" s="3">
        <v>1995</v>
      </c>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3" t="s">
        <v>2276</v>
      </c>
      <c r="AB2119" s="3" t="s">
        <v>2276</v>
      </c>
      <c r="AC2119" s="4" t="s">
        <v>6029</v>
      </c>
      <c r="AD2119" s="3"/>
    </row>
    <row r="2120" spans="1:30" ht="41.5" customHeight="1">
      <c r="A2120" s="11" t="s">
        <v>6018</v>
      </c>
      <c r="B2120" s="11" t="s">
        <v>6022</v>
      </c>
      <c r="C2120" s="3" t="s">
        <v>24</v>
      </c>
      <c r="D2120" s="3" t="s">
        <v>144</v>
      </c>
      <c r="E2120" s="3" t="s">
        <v>116</v>
      </c>
      <c r="F2120" s="4" t="s">
        <v>74</v>
      </c>
      <c r="G2120" s="3" t="s">
        <v>2276</v>
      </c>
      <c r="H2120" s="3" t="s">
        <v>523</v>
      </c>
      <c r="I2120" s="3">
        <v>1995</v>
      </c>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3" t="s">
        <v>2276</v>
      </c>
      <c r="AB2120" s="3" t="s">
        <v>2276</v>
      </c>
      <c r="AC2120" s="4" t="s">
        <v>6029</v>
      </c>
      <c r="AD2120" s="3"/>
    </row>
    <row r="2121" spans="1:30" ht="41.5" customHeight="1">
      <c r="A2121" s="11" t="s">
        <v>6018</v>
      </c>
      <c r="B2121" s="11" t="s">
        <v>6023</v>
      </c>
      <c r="C2121" s="3" t="s">
        <v>24</v>
      </c>
      <c r="D2121" s="3" t="s">
        <v>406</v>
      </c>
      <c r="E2121" s="3" t="s">
        <v>116</v>
      </c>
      <c r="F2121" s="4" t="s">
        <v>74</v>
      </c>
      <c r="G2121" s="3" t="s">
        <v>2276</v>
      </c>
      <c r="H2121" s="3" t="s">
        <v>523</v>
      </c>
      <c r="I2121" s="3">
        <v>1995</v>
      </c>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3" t="s">
        <v>2276</v>
      </c>
      <c r="AB2121" s="3" t="s">
        <v>2276</v>
      </c>
      <c r="AC2121" s="4" t="s">
        <v>6029</v>
      </c>
      <c r="AD2121" s="3"/>
    </row>
    <row r="2122" spans="1:30" ht="41.5" customHeight="1">
      <c r="A2122" s="11" t="s">
        <v>6018</v>
      </c>
      <c r="B2122" s="11" t="s">
        <v>6024</v>
      </c>
      <c r="C2122" s="3" t="s">
        <v>24</v>
      </c>
      <c r="D2122" s="3" t="s">
        <v>144</v>
      </c>
      <c r="E2122" s="3" t="s">
        <v>137</v>
      </c>
      <c r="F2122" s="4" t="s">
        <v>74</v>
      </c>
      <c r="G2122" s="3" t="s">
        <v>2276</v>
      </c>
      <c r="H2122" s="3" t="s">
        <v>523</v>
      </c>
      <c r="I2122" s="3">
        <v>1995</v>
      </c>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3" t="s">
        <v>2276</v>
      </c>
      <c r="AB2122" s="3" t="s">
        <v>2276</v>
      </c>
      <c r="AC2122" s="4" t="s">
        <v>6029</v>
      </c>
      <c r="AD2122" s="3"/>
    </row>
    <row r="2123" spans="1:30" ht="41.5" customHeight="1">
      <c r="A2123" s="11" t="s">
        <v>6018</v>
      </c>
      <c r="B2123" s="11" t="s">
        <v>6025</v>
      </c>
      <c r="C2123" s="3" t="s">
        <v>24</v>
      </c>
      <c r="D2123" s="3" t="s">
        <v>3480</v>
      </c>
      <c r="E2123" s="3" t="s">
        <v>116</v>
      </c>
      <c r="F2123" s="4" t="s">
        <v>74</v>
      </c>
      <c r="G2123" s="3" t="s">
        <v>2276</v>
      </c>
      <c r="H2123" s="3" t="s">
        <v>524</v>
      </c>
      <c r="I2123" s="3">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3" t="s">
        <v>2276</v>
      </c>
      <c r="Z2123" s="3" t="s">
        <v>2276</v>
      </c>
      <c r="AA2123" s="3" t="s">
        <v>2276</v>
      </c>
      <c r="AB2123" s="3" t="s">
        <v>2276</v>
      </c>
      <c r="AC2123" s="4" t="s">
        <v>6030</v>
      </c>
      <c r="AD2123" s="3"/>
    </row>
    <row r="2124" spans="1:30" ht="41.5" customHeight="1">
      <c r="A2124" s="11" t="s">
        <v>6018</v>
      </c>
      <c r="B2124" s="11" t="s">
        <v>6026</v>
      </c>
      <c r="C2124" s="3" t="s">
        <v>24</v>
      </c>
      <c r="D2124" s="3" t="s">
        <v>144</v>
      </c>
      <c r="E2124" s="3" t="s">
        <v>116</v>
      </c>
      <c r="F2124" s="4" t="s">
        <v>74</v>
      </c>
      <c r="G2124" s="3" t="s">
        <v>2276</v>
      </c>
      <c r="H2124" s="3" t="s">
        <v>524</v>
      </c>
      <c r="I2124" s="3">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6030</v>
      </c>
      <c r="AD2124" s="3"/>
    </row>
    <row r="2125" spans="1:30" ht="41.5" customHeight="1">
      <c r="A2125" s="11" t="s">
        <v>6018</v>
      </c>
      <c r="B2125" s="11" t="s">
        <v>6027</v>
      </c>
      <c r="C2125" s="3" t="s">
        <v>24</v>
      </c>
      <c r="D2125" s="3" t="s">
        <v>406</v>
      </c>
      <c r="E2125" s="3" t="s">
        <v>116</v>
      </c>
      <c r="F2125" s="4" t="s">
        <v>74</v>
      </c>
      <c r="G2125" s="3" t="s">
        <v>2276</v>
      </c>
      <c r="H2125" s="3" t="s">
        <v>524</v>
      </c>
      <c r="I2125" s="3">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3" t="s">
        <v>2276</v>
      </c>
      <c r="Z2125" s="3" t="s">
        <v>2276</v>
      </c>
      <c r="AA2125" s="3" t="s">
        <v>2276</v>
      </c>
      <c r="AB2125" s="3" t="s">
        <v>2276</v>
      </c>
      <c r="AC2125" s="4" t="s">
        <v>6030</v>
      </c>
      <c r="AD2125" s="3"/>
    </row>
    <row r="2126" spans="1:30" ht="41.5" customHeight="1">
      <c r="A2126" s="11" t="s">
        <v>6018</v>
      </c>
      <c r="B2126" s="11" t="s">
        <v>6028</v>
      </c>
      <c r="C2126" s="3" t="s">
        <v>24</v>
      </c>
      <c r="D2126" s="3" t="s">
        <v>144</v>
      </c>
      <c r="E2126" s="3" t="s">
        <v>137</v>
      </c>
      <c r="F2126" s="4" t="s">
        <v>74</v>
      </c>
      <c r="G2126" s="3" t="s">
        <v>2276</v>
      </c>
      <c r="H2126" s="3" t="s">
        <v>524</v>
      </c>
      <c r="I2126" s="3">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6030</v>
      </c>
      <c r="AD2126" s="3"/>
    </row>
    <row r="2127" spans="1:30" ht="38" customHeight="1">
      <c r="A2127" s="11" t="s">
        <v>6032</v>
      </c>
      <c r="B2127" s="11" t="s">
        <v>6035</v>
      </c>
      <c r="C2127" s="3" t="s">
        <v>24</v>
      </c>
      <c r="D2127" s="3" t="s">
        <v>144</v>
      </c>
      <c r="E2127" s="3" t="s">
        <v>137</v>
      </c>
      <c r="F2127" s="4" t="s">
        <v>55</v>
      </c>
      <c r="G2127" s="3" t="s">
        <v>2276</v>
      </c>
      <c r="H2127" s="3" t="s">
        <v>523</v>
      </c>
      <c r="I2127" s="3"/>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189</v>
      </c>
      <c r="AA2127" s="3" t="s">
        <v>38</v>
      </c>
      <c r="AB2127" s="3" t="s">
        <v>2276</v>
      </c>
      <c r="AC2127" s="3" t="s">
        <v>6045</v>
      </c>
      <c r="AD2127" s="3"/>
    </row>
    <row r="2128" spans="1:30" ht="38" customHeight="1">
      <c r="A2128" s="11" t="s">
        <v>6032</v>
      </c>
      <c r="B2128" s="11" t="s">
        <v>6036</v>
      </c>
      <c r="C2128" s="3" t="s">
        <v>24</v>
      </c>
      <c r="D2128" s="3" t="s">
        <v>25</v>
      </c>
      <c r="E2128" s="3" t="s">
        <v>45</v>
      </c>
      <c r="F2128" s="4" t="s">
        <v>55</v>
      </c>
      <c r="G2128" s="3" t="s">
        <v>2276</v>
      </c>
      <c r="H2128" s="3" t="s">
        <v>523</v>
      </c>
      <c r="I2128" s="3"/>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189</v>
      </c>
      <c r="AA2128" s="3" t="s">
        <v>38</v>
      </c>
      <c r="AB2128" s="3" t="s">
        <v>2276</v>
      </c>
      <c r="AC2128" s="3" t="s">
        <v>6045</v>
      </c>
      <c r="AD2128" s="3"/>
    </row>
    <row r="2129" spans="1:30" ht="38" customHeight="1">
      <c r="A2129" s="11" t="s">
        <v>6032</v>
      </c>
      <c r="B2129" s="11" t="s">
        <v>6037</v>
      </c>
      <c r="C2129" s="3" t="s">
        <v>24</v>
      </c>
      <c r="D2129" s="3" t="s">
        <v>1105</v>
      </c>
      <c r="E2129" s="3" t="s">
        <v>5801</v>
      </c>
      <c r="F2129" s="4" t="s">
        <v>55</v>
      </c>
      <c r="G2129" s="3" t="s">
        <v>2276</v>
      </c>
      <c r="H2129" s="3" t="s">
        <v>524</v>
      </c>
      <c r="I2129" s="3"/>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6039</v>
      </c>
      <c r="B2130" s="11" t="s">
        <v>6042</v>
      </c>
      <c r="C2130" s="3" t="s">
        <v>24</v>
      </c>
      <c r="D2130" s="3" t="s">
        <v>25</v>
      </c>
      <c r="E2130" s="3" t="s">
        <v>5005</v>
      </c>
      <c r="F2130" s="4" t="s">
        <v>55</v>
      </c>
      <c r="G2130" s="3" t="s">
        <v>2276</v>
      </c>
      <c r="H2130" s="3" t="s">
        <v>523</v>
      </c>
      <c r="I2130" s="3"/>
      <c r="J2130" s="3" t="s">
        <v>2276</v>
      </c>
      <c r="K2130" s="3" t="s">
        <v>2276</v>
      </c>
      <c r="L2130" s="3" t="s">
        <v>2276</v>
      </c>
      <c r="M2130" s="3" t="s">
        <v>2276</v>
      </c>
      <c r="N2130" s="3" t="s">
        <v>2276</v>
      </c>
      <c r="O2130" s="21">
        <v>4.4999999999999998E-2</v>
      </c>
      <c r="P2130" s="3" t="s">
        <v>2276</v>
      </c>
      <c r="Q2130" s="3" t="s">
        <v>2276</v>
      </c>
      <c r="R2130" s="3" t="s">
        <v>2276</v>
      </c>
      <c r="S2130" s="3" t="s">
        <v>2276</v>
      </c>
      <c r="T2130" s="3" t="s">
        <v>2276</v>
      </c>
      <c r="U2130" s="3" t="s">
        <v>2276</v>
      </c>
      <c r="V2130" s="21">
        <v>50</v>
      </c>
      <c r="W2130" s="3" t="s">
        <v>2276</v>
      </c>
      <c r="X2130" s="3" t="s">
        <v>2276</v>
      </c>
      <c r="Y2130" s="21">
        <v>2</v>
      </c>
      <c r="Z2130" s="3" t="s">
        <v>2276</v>
      </c>
      <c r="AA2130" s="3" t="s">
        <v>2276</v>
      </c>
      <c r="AB2130" s="3" t="s">
        <v>2276</v>
      </c>
      <c r="AC2130" s="4" t="s">
        <v>6047</v>
      </c>
      <c r="AD2130" s="3"/>
    </row>
    <row r="2131" spans="1:30" ht="46" customHeight="1">
      <c r="A2131" s="11" t="s">
        <v>6039</v>
      </c>
      <c r="B2131" s="11" t="s">
        <v>6043</v>
      </c>
      <c r="C2131" s="3" t="s">
        <v>24</v>
      </c>
      <c r="D2131" s="3" t="s">
        <v>25</v>
      </c>
      <c r="E2131" s="4" t="s">
        <v>3855</v>
      </c>
      <c r="F2131" s="4" t="s">
        <v>55</v>
      </c>
      <c r="G2131" s="3" t="s">
        <v>2276</v>
      </c>
      <c r="H2131" s="3" t="s">
        <v>523</v>
      </c>
      <c r="I2131" s="3"/>
      <c r="J2131" s="3" t="s">
        <v>2276</v>
      </c>
      <c r="K2131" s="3" t="s">
        <v>2276</v>
      </c>
      <c r="L2131" s="3" t="s">
        <v>2276</v>
      </c>
      <c r="M2131" s="3" t="s">
        <v>2276</v>
      </c>
      <c r="N2131" s="3" t="s">
        <v>2276</v>
      </c>
      <c r="O2131" s="21">
        <v>0.152</v>
      </c>
      <c r="P2131" s="3" t="s">
        <v>2276</v>
      </c>
      <c r="Q2131" s="3" t="s">
        <v>2276</v>
      </c>
      <c r="R2131" s="3" t="s">
        <v>2276</v>
      </c>
      <c r="S2131" s="3" t="s">
        <v>2276</v>
      </c>
      <c r="T2131" s="3" t="s">
        <v>2276</v>
      </c>
      <c r="U2131" s="3" t="s">
        <v>2276</v>
      </c>
      <c r="V2131" s="21">
        <v>50</v>
      </c>
      <c r="W2131" s="3" t="s">
        <v>2276</v>
      </c>
      <c r="X2131" s="3" t="s">
        <v>2276</v>
      </c>
      <c r="Y2131" s="21">
        <v>1</v>
      </c>
      <c r="Z2131" s="3" t="s">
        <v>2276</v>
      </c>
      <c r="AA2131" s="3" t="s">
        <v>2276</v>
      </c>
      <c r="AB2131" s="3" t="s">
        <v>2276</v>
      </c>
      <c r="AC2131" s="4" t="s">
        <v>6046</v>
      </c>
      <c r="AD2131" s="3"/>
    </row>
    <row r="2132" spans="1:30" ht="41.5" customHeight="1">
      <c r="A2132" s="11" t="s">
        <v>6039</v>
      </c>
      <c r="B2132" s="11" t="s">
        <v>6044</v>
      </c>
      <c r="C2132" s="3" t="s">
        <v>24</v>
      </c>
      <c r="D2132" s="3" t="s">
        <v>25</v>
      </c>
      <c r="E2132" s="3" t="s">
        <v>5801</v>
      </c>
      <c r="F2132" s="4" t="s">
        <v>55</v>
      </c>
      <c r="G2132" s="3" t="s">
        <v>2276</v>
      </c>
      <c r="H2132" s="3" t="s">
        <v>524</v>
      </c>
      <c r="I2132" s="3"/>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6048</v>
      </c>
      <c r="B2133" s="11" t="s">
        <v>6052</v>
      </c>
      <c r="C2133" s="3" t="s">
        <v>24</v>
      </c>
      <c r="D2133" s="3" t="s">
        <v>27</v>
      </c>
      <c r="E2133" s="3" t="s">
        <v>130</v>
      </c>
      <c r="F2133" s="4" t="s">
        <v>160</v>
      </c>
      <c r="G2133" s="3"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2276</v>
      </c>
      <c r="Z2133" s="3" t="s">
        <v>38</v>
      </c>
      <c r="AA2133" s="3" t="s">
        <v>86</v>
      </c>
      <c r="AB2133" s="3" t="s">
        <v>2276</v>
      </c>
      <c r="AC2133" s="3"/>
      <c r="AD2133" s="3"/>
    </row>
    <row r="2134" spans="1:30" ht="33.5" customHeight="1">
      <c r="A2134" s="11" t="s">
        <v>6048</v>
      </c>
      <c r="B2134" s="11" t="s">
        <v>6053</v>
      </c>
      <c r="C2134" s="3" t="s">
        <v>24</v>
      </c>
      <c r="D2134" s="3" t="s">
        <v>25</v>
      </c>
      <c r="E2134" s="3" t="s">
        <v>45</v>
      </c>
      <c r="F2134" s="4" t="s">
        <v>29</v>
      </c>
      <c r="G2134" s="3" t="s">
        <v>2276</v>
      </c>
      <c r="H2134" s="3" t="s">
        <v>523</v>
      </c>
      <c r="I2134" s="3"/>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3"/>
      <c r="AD2134" s="3"/>
    </row>
    <row r="2135" spans="1:30" ht="57" customHeight="1">
      <c r="A2135" s="11" t="s">
        <v>6048</v>
      </c>
      <c r="B2135" s="11" t="s">
        <v>6056</v>
      </c>
      <c r="C2135" s="3" t="s">
        <v>2458</v>
      </c>
      <c r="D2135" s="3" t="s">
        <v>27</v>
      </c>
      <c r="E2135" s="3" t="s">
        <v>130</v>
      </c>
      <c r="F2135" s="4" t="s">
        <v>160</v>
      </c>
      <c r="G2135" s="3" t="s">
        <v>2276</v>
      </c>
      <c r="H2135" s="3" t="s">
        <v>523</v>
      </c>
      <c r="I2135" s="3"/>
      <c r="J2135" s="3" t="s">
        <v>2276</v>
      </c>
      <c r="K2135" s="3" t="s">
        <v>2276</v>
      </c>
      <c r="L2135" s="3" t="s">
        <v>2276</v>
      </c>
      <c r="M2135" s="3" t="s">
        <v>2276</v>
      </c>
      <c r="N2135" s="3" t="s">
        <v>2276</v>
      </c>
      <c r="O2135" s="3" t="s">
        <v>2276</v>
      </c>
      <c r="P2135" s="3"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6057</v>
      </c>
      <c r="AD2135" s="3"/>
    </row>
    <row r="2136" spans="1:30" ht="33.5" customHeight="1">
      <c r="A2136" s="11" t="s">
        <v>6062</v>
      </c>
      <c r="B2136" s="11" t="s">
        <v>6066</v>
      </c>
      <c r="C2136" s="3" t="s">
        <v>24</v>
      </c>
      <c r="D2136" s="3" t="s">
        <v>27</v>
      </c>
      <c r="E2136" s="3" t="s">
        <v>130</v>
      </c>
      <c r="F2136" s="4" t="s">
        <v>74</v>
      </c>
      <c r="G2136" s="3" t="s">
        <v>2276</v>
      </c>
      <c r="H2136" s="3" t="s">
        <v>523</v>
      </c>
      <c r="I2136" s="3"/>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6062</v>
      </c>
      <c r="B2137" s="11" t="s">
        <v>6068</v>
      </c>
      <c r="C2137" s="3" t="s">
        <v>24</v>
      </c>
      <c r="D2137" s="3" t="s">
        <v>143</v>
      </c>
      <c r="E2137" s="3" t="s">
        <v>45</v>
      </c>
      <c r="F2137" s="4" t="s">
        <v>74</v>
      </c>
      <c r="G2137" s="3" t="s">
        <v>2276</v>
      </c>
      <c r="H2137" s="3" t="s">
        <v>523</v>
      </c>
      <c r="I2137" s="3"/>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6063</v>
      </c>
      <c r="B2138" s="11" t="s">
        <v>6067</v>
      </c>
      <c r="C2138" s="3" t="s">
        <v>24</v>
      </c>
      <c r="D2138" s="3" t="s">
        <v>143</v>
      </c>
      <c r="E2138" s="3" t="s">
        <v>45</v>
      </c>
      <c r="F2138" s="4" t="s">
        <v>74</v>
      </c>
      <c r="G2138" s="3" t="s">
        <v>2276</v>
      </c>
      <c r="H2138" s="3" t="s">
        <v>523</v>
      </c>
      <c r="I2138" s="3"/>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t="s">
        <v>2276</v>
      </c>
      <c r="AB2138" s="3" t="s">
        <v>2276</v>
      </c>
      <c r="AC2138" s="3"/>
      <c r="AD2138" s="3"/>
    </row>
    <row r="2139" spans="1:30" ht="33.5" customHeight="1">
      <c r="A2139" s="11" t="s">
        <v>6062</v>
      </c>
      <c r="B2139" s="11" t="s">
        <v>6070</v>
      </c>
      <c r="C2139" s="3" t="s">
        <v>24</v>
      </c>
      <c r="D2139" s="3" t="s">
        <v>25</v>
      </c>
      <c r="E2139" s="3" t="s">
        <v>45</v>
      </c>
      <c r="F2139" s="4" t="s">
        <v>29</v>
      </c>
      <c r="G2139" s="3" t="s">
        <v>2276</v>
      </c>
      <c r="H2139" s="3" t="s">
        <v>523</v>
      </c>
      <c r="I2139" s="3"/>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t="s">
        <v>2276</v>
      </c>
      <c r="AB2139" s="3" t="s">
        <v>2276</v>
      </c>
      <c r="AC2139" s="3"/>
      <c r="AD2139" s="3"/>
    </row>
    <row r="2140" spans="1:30" ht="33.5" customHeight="1">
      <c r="A2140" s="11" t="s">
        <v>6063</v>
      </c>
      <c r="B2140" s="11" t="s">
        <v>6069</v>
      </c>
      <c r="C2140" s="3" t="s">
        <v>24</v>
      </c>
      <c r="D2140" s="3" t="s">
        <v>25</v>
      </c>
      <c r="E2140" s="3" t="s">
        <v>45</v>
      </c>
      <c r="F2140" s="4" t="s">
        <v>29</v>
      </c>
      <c r="G2140" s="3" t="s">
        <v>2276</v>
      </c>
      <c r="H2140" s="3" t="s">
        <v>523</v>
      </c>
      <c r="I2140" s="3"/>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t="s">
        <v>2276</v>
      </c>
      <c r="AB2140" s="3" t="s">
        <v>2276</v>
      </c>
      <c r="AC2140" s="4" t="s">
        <v>6073</v>
      </c>
      <c r="AD2140" s="3"/>
    </row>
    <row r="2141" spans="1:30" ht="33.5" customHeight="1">
      <c r="A2141" s="11" t="s">
        <v>6063</v>
      </c>
      <c r="B2141" s="11" t="s">
        <v>6071</v>
      </c>
      <c r="C2141" s="3" t="s">
        <v>24</v>
      </c>
      <c r="D2141" s="3" t="s">
        <v>25</v>
      </c>
      <c r="E2141" s="3" t="s">
        <v>2647</v>
      </c>
      <c r="F2141" s="4" t="s">
        <v>29</v>
      </c>
      <c r="G2141" s="3" t="s">
        <v>2276</v>
      </c>
      <c r="H2141" s="3" t="s">
        <v>524</v>
      </c>
      <c r="I2141" s="3"/>
      <c r="J2141" s="3">
        <v>0</v>
      </c>
      <c r="K2141" s="3">
        <v>0</v>
      </c>
      <c r="L2141" s="3">
        <v>0</v>
      </c>
      <c r="M2141" s="3">
        <v>0</v>
      </c>
      <c r="N2141" s="3">
        <v>0</v>
      </c>
      <c r="O2141" s="3">
        <v>0</v>
      </c>
      <c r="P2141" s="3">
        <v>0</v>
      </c>
      <c r="Q2141" s="3">
        <v>0</v>
      </c>
      <c r="R2141" s="3">
        <v>0</v>
      </c>
      <c r="S2141" s="3">
        <v>0</v>
      </c>
      <c r="T2141" s="3">
        <v>0</v>
      </c>
      <c r="U2141" s="3">
        <v>0</v>
      </c>
      <c r="V2141" s="3">
        <v>0</v>
      </c>
      <c r="W2141" s="3">
        <v>0</v>
      </c>
      <c r="X2141" s="3">
        <v>0</v>
      </c>
      <c r="Y2141" s="3" t="s">
        <v>2276</v>
      </c>
      <c r="Z2141" s="3" t="s">
        <v>2276</v>
      </c>
      <c r="AA2141" s="3" t="s">
        <v>2276</v>
      </c>
      <c r="AB2141" s="3" t="s">
        <v>2276</v>
      </c>
      <c r="AC2141" s="4" t="s">
        <v>6072</v>
      </c>
      <c r="AD2141" s="3"/>
    </row>
    <row r="2142" spans="1:30" ht="30" customHeight="1">
      <c r="A2142" s="3" t="s">
        <v>6075</v>
      </c>
      <c r="B2142" s="11" t="s">
        <v>6078</v>
      </c>
      <c r="C2142" s="3" t="s">
        <v>24</v>
      </c>
      <c r="D2142" s="3" t="s">
        <v>2804</v>
      </c>
      <c r="E2142" s="3" t="s">
        <v>45</v>
      </c>
      <c r="F2142" s="4" t="s">
        <v>2662</v>
      </c>
      <c r="G2142" s="3" t="s">
        <v>2276</v>
      </c>
      <c r="H2142" s="3" t="s">
        <v>523</v>
      </c>
      <c r="I2142" s="3"/>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t="s">
        <v>2276</v>
      </c>
      <c r="AB2142" s="3" t="s">
        <v>2276</v>
      </c>
      <c r="AC2142" s="3"/>
      <c r="AD2142" s="3"/>
    </row>
    <row r="2143" spans="1:30" ht="29" customHeight="1">
      <c r="A2143" s="3" t="s">
        <v>6075</v>
      </c>
      <c r="B2143" s="11" t="s">
        <v>6079</v>
      </c>
      <c r="C2143" s="3" t="s">
        <v>24</v>
      </c>
      <c r="D2143" s="3" t="s">
        <v>2804</v>
      </c>
      <c r="E2143" s="3" t="s">
        <v>5005</v>
      </c>
      <c r="F2143" s="4" t="s">
        <v>2662</v>
      </c>
      <c r="G2143" s="3" t="s">
        <v>2276</v>
      </c>
      <c r="H2143" s="3" t="s">
        <v>523</v>
      </c>
      <c r="I2143" s="3"/>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t="s">
        <v>2276</v>
      </c>
      <c r="AB2143" s="3" t="s">
        <v>2276</v>
      </c>
      <c r="AC2143" s="3"/>
      <c r="AD2143" s="3"/>
    </row>
    <row r="2144" spans="1:30" ht="33" customHeight="1">
      <c r="A2144" s="3" t="s">
        <v>6075</v>
      </c>
      <c r="B2144" s="11" t="s">
        <v>6080</v>
      </c>
      <c r="C2144" s="3" t="s">
        <v>24</v>
      </c>
      <c r="D2144" s="3" t="s">
        <v>2804</v>
      </c>
      <c r="E2144" s="3" t="s">
        <v>130</v>
      </c>
      <c r="F2144" s="4" t="s">
        <v>2662</v>
      </c>
      <c r="G2144" s="3" t="s">
        <v>2276</v>
      </c>
      <c r="H2144" s="3" t="s">
        <v>523</v>
      </c>
      <c r="I2144" s="3"/>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t="s">
        <v>2276</v>
      </c>
      <c r="AB2144" s="3" t="s">
        <v>2276</v>
      </c>
      <c r="AC2144" s="3"/>
      <c r="AD2144" s="3"/>
    </row>
    <row r="2145" spans="1:30" s="204" customFormat="1" ht="52.5" customHeight="1">
      <c r="A2145" s="205" t="s">
        <v>6083</v>
      </c>
      <c r="B2145" s="205" t="s">
        <v>7051</v>
      </c>
      <c r="C2145" s="205" t="s">
        <v>24</v>
      </c>
      <c r="D2145" s="205" t="s">
        <v>2804</v>
      </c>
      <c r="E2145" s="205" t="s">
        <v>5005</v>
      </c>
      <c r="F2145" s="4" t="s">
        <v>2662</v>
      </c>
      <c r="G2145" s="205" t="s">
        <v>2276</v>
      </c>
      <c r="H2145" s="205" t="s">
        <v>523</v>
      </c>
      <c r="I2145" s="205"/>
      <c r="J2145" s="205" t="s">
        <v>2276</v>
      </c>
      <c r="K2145" s="205" t="s">
        <v>2276</v>
      </c>
      <c r="L2145" s="205" t="s">
        <v>2276</v>
      </c>
      <c r="M2145" s="205" t="s">
        <v>2276</v>
      </c>
      <c r="N2145" s="205" t="s">
        <v>2276</v>
      </c>
      <c r="O2145" s="205" t="s">
        <v>2276</v>
      </c>
      <c r="P2145" s="205" t="s">
        <v>2276</v>
      </c>
      <c r="Q2145" s="205" t="s">
        <v>2276</v>
      </c>
      <c r="R2145" s="205" t="s">
        <v>2276</v>
      </c>
      <c r="S2145" s="205" t="s">
        <v>2276</v>
      </c>
      <c r="T2145" s="205" t="s">
        <v>2276</v>
      </c>
      <c r="U2145" s="205" t="s">
        <v>2276</v>
      </c>
      <c r="V2145" s="205" t="s">
        <v>2276</v>
      </c>
      <c r="W2145" s="205" t="s">
        <v>2276</v>
      </c>
      <c r="X2145" s="205" t="s">
        <v>2276</v>
      </c>
      <c r="Y2145" s="205" t="s">
        <v>2276</v>
      </c>
      <c r="Z2145" s="205" t="s">
        <v>68</v>
      </c>
      <c r="AA2145" s="205" t="s">
        <v>188</v>
      </c>
      <c r="AB2145" s="205" t="s">
        <v>2655</v>
      </c>
      <c r="AC2145" s="4" t="s">
        <v>7055</v>
      </c>
      <c r="AD2145" s="4" t="s">
        <v>7058</v>
      </c>
    </row>
    <row r="2146" spans="1:30" s="204" customFormat="1" ht="52" customHeight="1">
      <c r="A2146" s="205" t="s">
        <v>6083</v>
      </c>
      <c r="B2146" s="205" t="s">
        <v>7052</v>
      </c>
      <c r="C2146" s="205" t="s">
        <v>24</v>
      </c>
      <c r="D2146" s="205" t="s">
        <v>27</v>
      </c>
      <c r="E2146" s="205" t="s">
        <v>130</v>
      </c>
      <c r="F2146" s="4" t="s">
        <v>160</v>
      </c>
      <c r="G2146" s="205" t="s">
        <v>2276</v>
      </c>
      <c r="H2146" s="205" t="s">
        <v>523</v>
      </c>
      <c r="I2146" s="205"/>
      <c r="J2146" s="205" t="s">
        <v>2276</v>
      </c>
      <c r="K2146" s="205" t="s">
        <v>2276</v>
      </c>
      <c r="L2146" s="205" t="s">
        <v>2276</v>
      </c>
      <c r="M2146" s="205" t="s">
        <v>2276</v>
      </c>
      <c r="N2146" s="205" t="s">
        <v>2276</v>
      </c>
      <c r="O2146" s="205" t="s">
        <v>2276</v>
      </c>
      <c r="P2146" s="205" t="s">
        <v>2276</v>
      </c>
      <c r="Q2146" s="205" t="s">
        <v>2276</v>
      </c>
      <c r="R2146" s="205" t="s">
        <v>2276</v>
      </c>
      <c r="S2146" s="205" t="s">
        <v>2276</v>
      </c>
      <c r="T2146" s="205" t="s">
        <v>2276</v>
      </c>
      <c r="U2146" s="205" t="s">
        <v>2276</v>
      </c>
      <c r="V2146" s="205" t="s">
        <v>2276</v>
      </c>
      <c r="W2146" s="205" t="s">
        <v>2276</v>
      </c>
      <c r="X2146" s="205" t="s">
        <v>2276</v>
      </c>
      <c r="Y2146" s="205" t="s">
        <v>2276</v>
      </c>
      <c r="Z2146" s="205" t="s">
        <v>2276</v>
      </c>
      <c r="AA2146" s="205" t="s">
        <v>2276</v>
      </c>
      <c r="AB2146" s="205" t="s">
        <v>2276</v>
      </c>
      <c r="AC2146" s="4"/>
      <c r="AD2146" s="4" t="s">
        <v>7059</v>
      </c>
    </row>
    <row r="2147" spans="1:30" s="204" customFormat="1" ht="56.5" customHeight="1">
      <c r="A2147" s="205" t="s">
        <v>6084</v>
      </c>
      <c r="B2147" s="205" t="s">
        <v>7053</v>
      </c>
      <c r="C2147" s="205" t="s">
        <v>24</v>
      </c>
      <c r="D2147" s="205" t="s">
        <v>2804</v>
      </c>
      <c r="E2147" s="205" t="s">
        <v>5005</v>
      </c>
      <c r="F2147" s="4" t="s">
        <v>2662</v>
      </c>
      <c r="G2147" s="205" t="s">
        <v>2276</v>
      </c>
      <c r="H2147" s="205" t="s">
        <v>523</v>
      </c>
      <c r="I2147" s="205"/>
      <c r="J2147" s="205" t="s">
        <v>2276</v>
      </c>
      <c r="K2147" s="205" t="s">
        <v>2276</v>
      </c>
      <c r="L2147" s="205" t="s">
        <v>2276</v>
      </c>
      <c r="M2147" s="205" t="s">
        <v>2276</v>
      </c>
      <c r="N2147" s="205" t="s">
        <v>2276</v>
      </c>
      <c r="O2147" s="205" t="s">
        <v>2276</v>
      </c>
      <c r="P2147" s="205" t="s">
        <v>2276</v>
      </c>
      <c r="Q2147" s="205" t="s">
        <v>2276</v>
      </c>
      <c r="R2147" s="205" t="s">
        <v>2276</v>
      </c>
      <c r="S2147" s="205" t="s">
        <v>2276</v>
      </c>
      <c r="T2147" s="205" t="s">
        <v>2276</v>
      </c>
      <c r="U2147" s="205" t="s">
        <v>2276</v>
      </c>
      <c r="V2147" s="205" t="s">
        <v>2276</v>
      </c>
      <c r="W2147" s="205" t="s">
        <v>2276</v>
      </c>
      <c r="X2147" s="205" t="s">
        <v>2276</v>
      </c>
      <c r="Y2147" s="205" t="s">
        <v>2276</v>
      </c>
      <c r="Z2147" s="205" t="s">
        <v>68</v>
      </c>
      <c r="AA2147" s="205" t="s">
        <v>188</v>
      </c>
      <c r="AB2147" s="205" t="s">
        <v>2655</v>
      </c>
      <c r="AC2147" s="4" t="s">
        <v>7055</v>
      </c>
      <c r="AD2147" s="4" t="s">
        <v>7058</v>
      </c>
    </row>
    <row r="2148" spans="1:30" s="204" customFormat="1" ht="54.5" customHeight="1">
      <c r="A2148" s="205" t="s">
        <v>6084</v>
      </c>
      <c r="B2148" s="205" t="s">
        <v>7054</v>
      </c>
      <c r="C2148" s="205" t="s">
        <v>24</v>
      </c>
      <c r="D2148" s="205" t="s">
        <v>27</v>
      </c>
      <c r="E2148" s="205" t="s">
        <v>130</v>
      </c>
      <c r="F2148" s="4" t="s">
        <v>160</v>
      </c>
      <c r="G2148" s="205" t="s">
        <v>2276</v>
      </c>
      <c r="H2148" s="205" t="s">
        <v>523</v>
      </c>
      <c r="I2148" s="205"/>
      <c r="J2148" s="205" t="s">
        <v>2276</v>
      </c>
      <c r="K2148" s="205" t="s">
        <v>2276</v>
      </c>
      <c r="L2148" s="205" t="s">
        <v>2276</v>
      </c>
      <c r="M2148" s="205" t="s">
        <v>2276</v>
      </c>
      <c r="N2148" s="205" t="s">
        <v>2276</v>
      </c>
      <c r="O2148" s="205" t="s">
        <v>2276</v>
      </c>
      <c r="P2148" s="205" t="s">
        <v>2276</v>
      </c>
      <c r="Q2148" s="205" t="s">
        <v>2276</v>
      </c>
      <c r="R2148" s="205" t="s">
        <v>2276</v>
      </c>
      <c r="S2148" s="205" t="s">
        <v>2276</v>
      </c>
      <c r="T2148" s="205" t="s">
        <v>2276</v>
      </c>
      <c r="U2148" s="205" t="s">
        <v>2276</v>
      </c>
      <c r="V2148" s="205" t="s">
        <v>2276</v>
      </c>
      <c r="W2148" s="205" t="s">
        <v>2276</v>
      </c>
      <c r="X2148" s="205" t="s">
        <v>2276</v>
      </c>
      <c r="Y2148" s="205" t="s">
        <v>2276</v>
      </c>
      <c r="Z2148" s="205" t="s">
        <v>2276</v>
      </c>
      <c r="AA2148" s="205" t="s">
        <v>2276</v>
      </c>
      <c r="AB2148" s="205" t="s">
        <v>2276</v>
      </c>
      <c r="AC2148" s="205"/>
      <c r="AD2148" s="205"/>
    </row>
    <row r="2149" spans="1:30" s="60" customFormat="1" ht="36.5" customHeight="1">
      <c r="A2149" s="4" t="s">
        <v>6148</v>
      </c>
      <c r="B2149" s="4" t="s">
        <v>6190</v>
      </c>
      <c r="C2149" s="4" t="s">
        <v>2656</v>
      </c>
      <c r="D2149" s="4" t="s">
        <v>2276</v>
      </c>
      <c r="E2149" s="4" t="s">
        <v>2276</v>
      </c>
      <c r="F2149" s="4" t="s">
        <v>2276</v>
      </c>
      <c r="G2149" s="4" t="s">
        <v>74</v>
      </c>
      <c r="H2149" s="4" t="s">
        <v>523</v>
      </c>
      <c r="I2149" s="4"/>
      <c r="J2149" s="205" t="s">
        <v>2276</v>
      </c>
      <c r="K2149" s="205" t="s">
        <v>2276</v>
      </c>
      <c r="L2149" s="205" t="s">
        <v>2276</v>
      </c>
      <c r="M2149" s="205" t="s">
        <v>2276</v>
      </c>
      <c r="N2149" s="205" t="s">
        <v>2276</v>
      </c>
      <c r="O2149" s="205" t="s">
        <v>2276</v>
      </c>
      <c r="P2149" s="205" t="s">
        <v>2276</v>
      </c>
      <c r="Q2149" s="205" t="s">
        <v>2276</v>
      </c>
      <c r="R2149" s="205" t="s">
        <v>2276</v>
      </c>
      <c r="S2149" s="205" t="s">
        <v>2276</v>
      </c>
      <c r="T2149" s="205" t="s">
        <v>2276</v>
      </c>
      <c r="U2149" s="205" t="s">
        <v>2276</v>
      </c>
      <c r="V2149" s="205" t="s">
        <v>2276</v>
      </c>
      <c r="W2149" s="205" t="s">
        <v>2276</v>
      </c>
      <c r="X2149" s="205" t="s">
        <v>2276</v>
      </c>
      <c r="Y2149" s="205" t="s">
        <v>2276</v>
      </c>
      <c r="Z2149" s="4" t="s">
        <v>404</v>
      </c>
      <c r="AA2149" s="4" t="s">
        <v>405</v>
      </c>
      <c r="AB2149" s="4" t="s">
        <v>2276</v>
      </c>
      <c r="AC2149" s="4"/>
      <c r="AD2149" s="4"/>
    </row>
    <row r="2150" spans="1:30" s="60" customFormat="1" ht="36.5" customHeight="1">
      <c r="A2150" s="4" t="s">
        <v>6148</v>
      </c>
      <c r="B2150" s="4" t="s">
        <v>6191</v>
      </c>
      <c r="C2150" s="4" t="s">
        <v>2458</v>
      </c>
      <c r="D2150" s="4" t="s">
        <v>2994</v>
      </c>
      <c r="E2150" s="4" t="s">
        <v>2652</v>
      </c>
      <c r="F2150" s="4" t="s">
        <v>2276</v>
      </c>
      <c r="G2150" s="4" t="s">
        <v>74</v>
      </c>
      <c r="H2150" s="4" t="s">
        <v>523</v>
      </c>
      <c r="I2150" s="4"/>
      <c r="J2150" s="205" t="s">
        <v>2276</v>
      </c>
      <c r="K2150" s="205" t="s">
        <v>2276</v>
      </c>
      <c r="L2150" s="205" t="s">
        <v>2276</v>
      </c>
      <c r="M2150" s="205" t="s">
        <v>2276</v>
      </c>
      <c r="N2150" s="205" t="s">
        <v>2276</v>
      </c>
      <c r="O2150" s="205" t="s">
        <v>2276</v>
      </c>
      <c r="P2150" s="205" t="s">
        <v>2276</v>
      </c>
      <c r="Q2150" s="205" t="s">
        <v>2276</v>
      </c>
      <c r="R2150" s="205" t="s">
        <v>2276</v>
      </c>
      <c r="S2150" s="205" t="s">
        <v>2276</v>
      </c>
      <c r="T2150" s="205" t="s">
        <v>2276</v>
      </c>
      <c r="U2150" s="205" t="s">
        <v>2276</v>
      </c>
      <c r="V2150" s="205" t="s">
        <v>2276</v>
      </c>
      <c r="W2150" s="205" t="s">
        <v>2276</v>
      </c>
      <c r="X2150" s="205" t="s">
        <v>2276</v>
      </c>
      <c r="Y2150" s="205" t="s">
        <v>2276</v>
      </c>
      <c r="Z2150" s="4" t="s">
        <v>404</v>
      </c>
      <c r="AA2150" s="4" t="s">
        <v>405</v>
      </c>
      <c r="AB2150" s="4" t="s">
        <v>2276</v>
      </c>
      <c r="AC2150" s="4"/>
      <c r="AD2150" s="4"/>
    </row>
    <row r="2151" spans="1:30" s="206" customFormat="1" ht="36.5" customHeight="1">
      <c r="A2151" s="4" t="s">
        <v>6148</v>
      </c>
      <c r="B2151" s="4" t="s">
        <v>6192</v>
      </c>
      <c r="C2151" s="4" t="s">
        <v>24</v>
      </c>
      <c r="D2151" s="4" t="s">
        <v>1242</v>
      </c>
      <c r="E2151" s="4" t="s">
        <v>2649</v>
      </c>
      <c r="F2151" s="4" t="s">
        <v>74</v>
      </c>
      <c r="G2151" s="4" t="s">
        <v>74</v>
      </c>
      <c r="H2151" s="4" t="s">
        <v>523</v>
      </c>
      <c r="I2151" s="4"/>
      <c r="J2151" s="205" t="s">
        <v>2276</v>
      </c>
      <c r="K2151" s="205" t="s">
        <v>2276</v>
      </c>
      <c r="L2151" s="205" t="s">
        <v>2276</v>
      </c>
      <c r="M2151" s="205" t="s">
        <v>2276</v>
      </c>
      <c r="N2151" s="205" t="s">
        <v>2276</v>
      </c>
      <c r="O2151" s="205" t="s">
        <v>2276</v>
      </c>
      <c r="P2151" s="205" t="s">
        <v>2276</v>
      </c>
      <c r="Q2151" s="205" t="s">
        <v>2276</v>
      </c>
      <c r="R2151" s="205" t="s">
        <v>2276</v>
      </c>
      <c r="S2151" s="205" t="s">
        <v>2276</v>
      </c>
      <c r="T2151" s="205" t="s">
        <v>2276</v>
      </c>
      <c r="U2151" s="205" t="s">
        <v>2276</v>
      </c>
      <c r="V2151" s="205" t="s">
        <v>2276</v>
      </c>
      <c r="W2151" s="205" t="s">
        <v>2276</v>
      </c>
      <c r="X2151" s="205" t="s">
        <v>2276</v>
      </c>
      <c r="Y2151" s="205" t="s">
        <v>2276</v>
      </c>
      <c r="Z2151" s="205" t="s">
        <v>2276</v>
      </c>
      <c r="AA2151" s="205" t="s">
        <v>2276</v>
      </c>
      <c r="AB2151" s="4" t="s">
        <v>2276</v>
      </c>
      <c r="AC2151" s="4"/>
      <c r="AD2151" s="4"/>
    </row>
    <row r="2152" spans="1:30" s="60" customFormat="1" ht="36.5" customHeight="1">
      <c r="A2152" s="4" t="s">
        <v>6148</v>
      </c>
      <c r="B2152" s="4" t="s">
        <v>6193</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5" t="s">
        <v>2276</v>
      </c>
      <c r="AA2152" s="205" t="s">
        <v>2276</v>
      </c>
      <c r="AB2152" s="19" t="s">
        <v>2276</v>
      </c>
      <c r="AC2152" s="19"/>
      <c r="AD2152" s="19"/>
    </row>
    <row r="2153" spans="1:30" s="60" customFormat="1" ht="36.5" customHeight="1">
      <c r="A2153" s="4" t="s">
        <v>6149</v>
      </c>
      <c r="B2153" s="4" t="s">
        <v>6194</v>
      </c>
      <c r="C2153" s="205"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5" t="s">
        <v>35</v>
      </c>
      <c r="AB2153" s="4" t="s">
        <v>2276</v>
      </c>
      <c r="AC2153" s="4" t="s">
        <v>6189</v>
      </c>
      <c r="AD2153" s="4"/>
    </row>
    <row r="2154" spans="1:30" s="60" customFormat="1" ht="36.5" customHeight="1">
      <c r="A2154" s="4" t="s">
        <v>6149</v>
      </c>
      <c r="B2154" s="4" t="s">
        <v>6195</v>
      </c>
      <c r="C2154" s="205"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5" t="s">
        <v>68</v>
      </c>
      <c r="AB2154" s="4" t="s">
        <v>2276</v>
      </c>
      <c r="AC2154" s="4" t="s">
        <v>6189</v>
      </c>
      <c r="AD2154" s="4"/>
    </row>
    <row r="2155" spans="1:30" s="60" customFormat="1" ht="36.5" customHeight="1">
      <c r="A2155" s="4" t="s">
        <v>6149</v>
      </c>
      <c r="B2155" s="4" t="s">
        <v>6196</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6149</v>
      </c>
      <c r="B2156" s="4" t="s">
        <v>6197</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6" customFormat="1" ht="36.5" customHeight="1">
      <c r="A2157" s="4" t="s">
        <v>6711</v>
      </c>
      <c r="B2157" s="4" t="s">
        <v>6718</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3">
        <f>100*(125000/1000000)/58</f>
        <v>0.21551724137931033</v>
      </c>
      <c r="Y2157" s="4" t="s">
        <v>2276</v>
      </c>
      <c r="Z2157" s="4" t="s">
        <v>2276</v>
      </c>
      <c r="AA2157" s="4" t="s">
        <v>2276</v>
      </c>
      <c r="AB2157" s="4" t="s">
        <v>2276</v>
      </c>
      <c r="AC2157" s="4"/>
      <c r="AD2157" s="4"/>
    </row>
    <row r="2158" spans="1:30" s="206" customFormat="1" ht="36.5" customHeight="1">
      <c r="A2158" s="4" t="s">
        <v>6711</v>
      </c>
      <c r="B2158" s="4" t="s">
        <v>6719</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3">
        <f>100*(20000/1000000)/50</f>
        <v>0.04</v>
      </c>
      <c r="Y2158" s="4" t="s">
        <v>2276</v>
      </c>
      <c r="Z2158" s="4" t="s">
        <v>2276</v>
      </c>
      <c r="AA2158" s="4" t="s">
        <v>2276</v>
      </c>
      <c r="AB2158" s="4" t="s">
        <v>2276</v>
      </c>
      <c r="AC2158" s="4"/>
      <c r="AD2158" s="4"/>
    </row>
    <row r="2159" spans="1:30" s="206" customFormat="1" ht="36.5" customHeight="1">
      <c r="A2159" s="4" t="s">
        <v>6712</v>
      </c>
      <c r="B2159" s="4" t="s">
        <v>6720</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6" customFormat="1" ht="36.5" customHeight="1">
      <c r="A2160" s="4" t="s">
        <v>6712</v>
      </c>
      <c r="B2160" s="4" t="s">
        <v>6721</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3">
        <f>100*(15000/1000000)/50</f>
        <v>0.03</v>
      </c>
      <c r="Y2160" s="4" t="s">
        <v>2276</v>
      </c>
      <c r="Z2160" s="4" t="s">
        <v>2276</v>
      </c>
      <c r="AA2160" s="4" t="s">
        <v>2276</v>
      </c>
      <c r="AB2160" s="4" t="s">
        <v>2276</v>
      </c>
      <c r="AC2160" s="4"/>
      <c r="AD2160" s="4"/>
    </row>
    <row r="2161" spans="1:30" s="206" customFormat="1" ht="36.5" customHeight="1">
      <c r="A2161" s="4" t="s">
        <v>6713</v>
      </c>
      <c r="B2161" s="4" t="s">
        <v>6722</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6" customFormat="1" ht="36.5" customHeight="1">
      <c r="A2162" s="4" t="s">
        <v>6713</v>
      </c>
      <c r="B2162" s="4" t="s">
        <v>6723</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3">
        <f>100*(30000/1000000)/50</f>
        <v>0.06</v>
      </c>
      <c r="Y2162" s="4" t="s">
        <v>2276</v>
      </c>
      <c r="Z2162" s="4" t="s">
        <v>2276</v>
      </c>
      <c r="AA2162" s="4" t="s">
        <v>2276</v>
      </c>
      <c r="AB2162" s="4" t="s">
        <v>2276</v>
      </c>
      <c r="AC2162" s="4"/>
      <c r="AD2162" s="4"/>
    </row>
    <row r="2163" spans="1:30" s="60" customFormat="1" ht="36.5" customHeight="1">
      <c r="A2163" s="4" t="s">
        <v>6150</v>
      </c>
      <c r="B2163" s="4" t="s">
        <v>6198</v>
      </c>
      <c r="C2163" s="205" t="s">
        <v>2658</v>
      </c>
      <c r="D2163" s="205" t="s">
        <v>2276</v>
      </c>
      <c r="E2163" s="205"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5">
        <f>190836</f>
        <v>190836</v>
      </c>
      <c r="U2163" s="4" t="s">
        <v>2276</v>
      </c>
      <c r="V2163" s="4" t="s">
        <v>2276</v>
      </c>
      <c r="W2163" s="4" t="s">
        <v>2276</v>
      </c>
      <c r="X2163" s="75">
        <f>190836/'Record info'!$K$932</f>
        <v>8.855909786997076</v>
      </c>
      <c r="Y2163" s="4" t="s">
        <v>2276</v>
      </c>
      <c r="Z2163" s="4" t="s">
        <v>404</v>
      </c>
      <c r="AA2163" s="4" t="s">
        <v>405</v>
      </c>
      <c r="AB2163" s="4" t="s">
        <v>2276</v>
      </c>
      <c r="AC2163" s="4"/>
      <c r="AD2163" s="4" t="s">
        <v>6736</v>
      </c>
    </row>
    <row r="2164" spans="1:30" s="60" customFormat="1" ht="36.5" customHeight="1">
      <c r="A2164" s="4" t="s">
        <v>6150</v>
      </c>
      <c r="B2164" s="4" t="s">
        <v>6729</v>
      </c>
      <c r="C2164" s="205" t="s">
        <v>2658</v>
      </c>
      <c r="D2164" s="205" t="s">
        <v>2276</v>
      </c>
      <c r="E2164" s="205"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T2164/(15151/7)</f>
        <v>19.111741799221171</v>
      </c>
      <c r="Q2164" s="4" t="s">
        <v>2276</v>
      </c>
      <c r="R2164" s="4" t="s">
        <v>2276</v>
      </c>
      <c r="S2164" s="4" t="s">
        <v>2276</v>
      </c>
      <c r="T2164" s="75">
        <f>41366</f>
        <v>41366</v>
      </c>
      <c r="U2164" s="4" t="s">
        <v>2276</v>
      </c>
      <c r="V2164" s="4" t="s">
        <v>2276</v>
      </c>
      <c r="W2164" s="4" t="s">
        <v>2276</v>
      </c>
      <c r="X2164" s="75">
        <f>41366/'Record info'!$K$932</f>
        <v>1.9196250406051325</v>
      </c>
      <c r="Y2164" s="4" t="s">
        <v>2276</v>
      </c>
      <c r="Z2164" s="4" t="s">
        <v>404</v>
      </c>
      <c r="AA2164" s="4" t="s">
        <v>405</v>
      </c>
      <c r="AB2164" s="4" t="s">
        <v>2276</v>
      </c>
      <c r="AC2164" s="4"/>
      <c r="AD2164" s="4" t="s">
        <v>6736</v>
      </c>
    </row>
    <row r="2165" spans="1:30" s="206" customFormat="1" ht="36.5" customHeight="1">
      <c r="A2165" s="4" t="s">
        <v>6150</v>
      </c>
      <c r="B2165" s="4" t="s">
        <v>6730</v>
      </c>
      <c r="C2165" s="205" t="s">
        <v>2658</v>
      </c>
      <c r="D2165" s="205" t="s">
        <v>2276</v>
      </c>
      <c r="E2165" s="205"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 t="shared" ref="P2165:P2170" si="0">T2165/(15151/7)</f>
        <v>6.4118540030361029</v>
      </c>
      <c r="Q2165" s="4" t="s">
        <v>2276</v>
      </c>
      <c r="R2165" s="4" t="s">
        <v>2276</v>
      </c>
      <c r="S2165" s="4" t="s">
        <v>2276</v>
      </c>
      <c r="T2165" s="75">
        <f>13878</f>
        <v>13878</v>
      </c>
      <c r="U2165" s="4" t="s">
        <v>2276</v>
      </c>
      <c r="V2165" s="4" t="s">
        <v>2276</v>
      </c>
      <c r="W2165" s="4" t="s">
        <v>2276</v>
      </c>
      <c r="X2165" s="75">
        <f>13878/'Record info'!$K$932</f>
        <v>0.64402060420437146</v>
      </c>
      <c r="Y2165" s="4" t="s">
        <v>2276</v>
      </c>
      <c r="Z2165" s="4" t="s">
        <v>404</v>
      </c>
      <c r="AA2165" s="4" t="s">
        <v>405</v>
      </c>
      <c r="AB2165" s="4" t="s">
        <v>2276</v>
      </c>
      <c r="AC2165" s="4"/>
      <c r="AD2165" s="4" t="s">
        <v>6736</v>
      </c>
    </row>
    <row r="2166" spans="1:30" s="206" customFormat="1" ht="36.5" customHeight="1">
      <c r="A2166" s="4" t="s">
        <v>6150</v>
      </c>
      <c r="B2166" s="4" t="s">
        <v>6731</v>
      </c>
      <c r="C2166" s="205" t="s">
        <v>2658</v>
      </c>
      <c r="D2166" s="205" t="s">
        <v>2276</v>
      </c>
      <c r="E2166" s="205"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 t="shared" si="0"/>
        <v>6.4118540030361029</v>
      </c>
      <c r="Q2166" s="4" t="s">
        <v>2276</v>
      </c>
      <c r="R2166" s="4" t="s">
        <v>2276</v>
      </c>
      <c r="S2166" s="4" t="s">
        <v>2276</v>
      </c>
      <c r="T2166" s="75">
        <f>13878</f>
        <v>13878</v>
      </c>
      <c r="U2166" s="4" t="s">
        <v>2276</v>
      </c>
      <c r="V2166" s="4" t="s">
        <v>2276</v>
      </c>
      <c r="W2166" s="4" t="s">
        <v>2276</v>
      </c>
      <c r="X2166" s="75">
        <f>13878/'Record info'!$K$932</f>
        <v>0.64402060420437146</v>
      </c>
      <c r="Y2166" s="4" t="s">
        <v>2276</v>
      </c>
      <c r="Z2166" s="4" t="s">
        <v>404</v>
      </c>
      <c r="AA2166" s="4" t="s">
        <v>405</v>
      </c>
      <c r="AB2166" s="4" t="s">
        <v>2276</v>
      </c>
      <c r="AC2166" s="4"/>
      <c r="AD2166" s="4" t="s">
        <v>6736</v>
      </c>
    </row>
    <row r="2167" spans="1:30" s="206" customFormat="1" ht="36.5" customHeight="1">
      <c r="A2167" s="4" t="s">
        <v>6150</v>
      </c>
      <c r="B2167" s="4" t="s">
        <v>6732</v>
      </c>
      <c r="C2167" s="205" t="s">
        <v>2658</v>
      </c>
      <c r="D2167" s="205" t="s">
        <v>2276</v>
      </c>
      <c r="E2167" s="205"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 t="shared" si="0"/>
        <v>6.4118540030361029</v>
      </c>
      <c r="Q2167" s="4" t="s">
        <v>2276</v>
      </c>
      <c r="R2167" s="4" t="s">
        <v>2276</v>
      </c>
      <c r="S2167" s="4" t="s">
        <v>2276</v>
      </c>
      <c r="T2167" s="75">
        <f>13878</f>
        <v>13878</v>
      </c>
      <c r="U2167" s="4" t="s">
        <v>2276</v>
      </c>
      <c r="V2167" s="4" t="s">
        <v>2276</v>
      </c>
      <c r="W2167" s="4" t="s">
        <v>2276</v>
      </c>
      <c r="X2167" s="75">
        <f>13878/'Record info'!$K$932</f>
        <v>0.64402060420437146</v>
      </c>
      <c r="Y2167" s="4" t="s">
        <v>2276</v>
      </c>
      <c r="Z2167" s="4" t="s">
        <v>404</v>
      </c>
      <c r="AA2167" s="4" t="s">
        <v>405</v>
      </c>
      <c r="AB2167" s="4" t="s">
        <v>2276</v>
      </c>
      <c r="AC2167" s="4"/>
      <c r="AD2167" s="4" t="s">
        <v>6736</v>
      </c>
    </row>
    <row r="2168" spans="1:30" s="206" customFormat="1" ht="36.5" customHeight="1">
      <c r="A2168" s="4" t="s">
        <v>6150</v>
      </c>
      <c r="B2168" s="4" t="s">
        <v>6733</v>
      </c>
      <c r="C2168" s="205" t="s">
        <v>2658</v>
      </c>
      <c r="D2168" s="205" t="s">
        <v>2276</v>
      </c>
      <c r="E2168" s="205"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 t="shared" si="0"/>
        <v>6.4118540030361029</v>
      </c>
      <c r="Q2168" s="4" t="s">
        <v>2276</v>
      </c>
      <c r="R2168" s="4" t="s">
        <v>2276</v>
      </c>
      <c r="S2168" s="4" t="s">
        <v>2276</v>
      </c>
      <c r="T2168" s="75">
        <f>13878</f>
        <v>13878</v>
      </c>
      <c r="U2168" s="4" t="s">
        <v>2276</v>
      </c>
      <c r="V2168" s="4" t="s">
        <v>2276</v>
      </c>
      <c r="W2168" s="4" t="s">
        <v>2276</v>
      </c>
      <c r="X2168" s="75">
        <f>13878/'Record info'!$K$932</f>
        <v>0.64402060420437146</v>
      </c>
      <c r="Y2168" s="4" t="s">
        <v>2276</v>
      </c>
      <c r="Z2168" s="4" t="s">
        <v>404</v>
      </c>
      <c r="AA2168" s="4" t="s">
        <v>405</v>
      </c>
      <c r="AB2168" s="4" t="s">
        <v>2276</v>
      </c>
      <c r="AC2168" s="4"/>
      <c r="AD2168" s="4" t="s">
        <v>6736</v>
      </c>
    </row>
    <row r="2169" spans="1:30" s="206" customFormat="1" ht="36.5" customHeight="1">
      <c r="A2169" s="4" t="s">
        <v>6150</v>
      </c>
      <c r="B2169" s="4" t="s">
        <v>6734</v>
      </c>
      <c r="C2169" s="205" t="s">
        <v>2658</v>
      </c>
      <c r="D2169" s="205" t="s">
        <v>2276</v>
      </c>
      <c r="E2169" s="205"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 t="shared" si="0"/>
        <v>6.4118540030361029</v>
      </c>
      <c r="Q2169" s="4" t="s">
        <v>2276</v>
      </c>
      <c r="R2169" s="4" t="s">
        <v>2276</v>
      </c>
      <c r="S2169" s="4" t="s">
        <v>2276</v>
      </c>
      <c r="T2169" s="75">
        <f>13878</f>
        <v>13878</v>
      </c>
      <c r="U2169" s="4" t="s">
        <v>2276</v>
      </c>
      <c r="V2169" s="4" t="s">
        <v>2276</v>
      </c>
      <c r="W2169" s="4" t="s">
        <v>2276</v>
      </c>
      <c r="X2169" s="75">
        <f>13878/'Record info'!$K$932</f>
        <v>0.64402060420437146</v>
      </c>
      <c r="Y2169" s="4" t="s">
        <v>2276</v>
      </c>
      <c r="Z2169" s="4" t="s">
        <v>404</v>
      </c>
      <c r="AA2169" s="4" t="s">
        <v>405</v>
      </c>
      <c r="AB2169" s="4" t="s">
        <v>2276</v>
      </c>
      <c r="AC2169" s="4"/>
      <c r="AD2169" s="4" t="s">
        <v>6736</v>
      </c>
    </row>
    <row r="2170" spans="1:30" s="206" customFormat="1" ht="36.5" customHeight="1">
      <c r="A2170" s="4" t="s">
        <v>6150</v>
      </c>
      <c r="B2170" s="4" t="s">
        <v>6735</v>
      </c>
      <c r="C2170" s="205" t="s">
        <v>2658</v>
      </c>
      <c r="D2170" s="205" t="s">
        <v>2276</v>
      </c>
      <c r="E2170" s="205"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 t="shared" si="0"/>
        <v>6.4118540030361029</v>
      </c>
      <c r="Q2170" s="4" t="s">
        <v>2276</v>
      </c>
      <c r="R2170" s="4" t="s">
        <v>2276</v>
      </c>
      <c r="S2170" s="4" t="s">
        <v>2276</v>
      </c>
      <c r="T2170" s="75">
        <f>13878</f>
        <v>13878</v>
      </c>
      <c r="U2170" s="4" t="s">
        <v>2276</v>
      </c>
      <c r="V2170" s="4" t="s">
        <v>2276</v>
      </c>
      <c r="W2170" s="4" t="s">
        <v>2276</v>
      </c>
      <c r="X2170" s="75">
        <f>13878/'Record info'!$K$932</f>
        <v>0.64402060420437146</v>
      </c>
      <c r="Y2170" s="4" t="s">
        <v>2276</v>
      </c>
      <c r="Z2170" s="4" t="s">
        <v>404</v>
      </c>
      <c r="AA2170" s="4" t="s">
        <v>405</v>
      </c>
      <c r="AB2170" s="4" t="s">
        <v>2276</v>
      </c>
      <c r="AC2170" s="4"/>
      <c r="AD2170" s="4" t="s">
        <v>6736</v>
      </c>
    </row>
    <row r="2171" spans="1:30" s="60" customFormat="1" ht="36.5" customHeight="1">
      <c r="A2171" s="4" t="s">
        <v>6151</v>
      </c>
      <c r="B2171" s="4" t="s">
        <v>6199</v>
      </c>
      <c r="C2171" s="205" t="s">
        <v>1105</v>
      </c>
      <c r="D2171" s="205" t="s">
        <v>1105</v>
      </c>
      <c r="E2171" s="205"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5">
        <v>421855</v>
      </c>
      <c r="U2171" s="4" t="s">
        <v>2276</v>
      </c>
      <c r="V2171" s="4" t="s">
        <v>2276</v>
      </c>
      <c r="W2171" s="4" t="s">
        <v>2276</v>
      </c>
      <c r="X2171" s="75">
        <f>T2171/'Record info'!$K$933</f>
        <v>4.5748384158244049</v>
      </c>
      <c r="Y2171" s="4" t="s">
        <v>2276</v>
      </c>
      <c r="Z2171" s="4" t="s">
        <v>404</v>
      </c>
      <c r="AA2171" s="4" t="s">
        <v>405</v>
      </c>
      <c r="AB2171" s="205" t="s">
        <v>64</v>
      </c>
      <c r="AC2171" s="4"/>
      <c r="AD2171" s="4" t="s">
        <v>6741</v>
      </c>
    </row>
    <row r="2172" spans="1:30" s="206" customFormat="1" ht="36.5" customHeight="1">
      <c r="A2172" s="4" t="s">
        <v>6151</v>
      </c>
      <c r="B2172" s="4" t="s">
        <v>6200</v>
      </c>
      <c r="C2172" s="205" t="s">
        <v>1105</v>
      </c>
      <c r="D2172" s="205" t="s">
        <v>1105</v>
      </c>
      <c r="E2172" s="205"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5">
        <v>283836</v>
      </c>
      <c r="U2172" s="4" t="s">
        <v>2276</v>
      </c>
      <c r="V2172" s="75">
        <f>8.6</f>
        <v>8.6</v>
      </c>
      <c r="W2172" s="4" t="s">
        <v>2276</v>
      </c>
      <c r="X2172" s="75">
        <f>T2172/'Record info'!$K$933</f>
        <v>3.0780809439118553</v>
      </c>
      <c r="Y2172" s="4" t="s">
        <v>2276</v>
      </c>
      <c r="Z2172" s="4" t="s">
        <v>404</v>
      </c>
      <c r="AA2172" s="4" t="s">
        <v>405</v>
      </c>
      <c r="AB2172" s="205" t="s">
        <v>64</v>
      </c>
      <c r="AC2172" s="4"/>
      <c r="AD2172" s="4" t="s">
        <v>6741</v>
      </c>
    </row>
    <row r="2173" spans="1:30" s="60" customFormat="1" ht="36.5" customHeight="1">
      <c r="A2173" s="4" t="s">
        <v>6151</v>
      </c>
      <c r="B2173" s="4" t="s">
        <v>6201</v>
      </c>
      <c r="C2173" s="205" t="s">
        <v>1105</v>
      </c>
      <c r="D2173" s="205" t="s">
        <v>1105</v>
      </c>
      <c r="E2173" s="205"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5">
        <v>338262</v>
      </c>
      <c r="U2173" s="4" t="s">
        <v>2276</v>
      </c>
      <c r="V2173" s="75">
        <f>100*T2173/(T2172/0.086)</f>
        <v>10.249063543736524</v>
      </c>
      <c r="W2173" s="4" t="s">
        <v>2276</v>
      </c>
      <c r="X2173" s="75">
        <f>T2173/'Record info'!$K$933</f>
        <v>3.6683078124322215</v>
      </c>
      <c r="Y2173" s="4" t="s">
        <v>2276</v>
      </c>
      <c r="Z2173" s="4" t="s">
        <v>404</v>
      </c>
      <c r="AA2173" s="4" t="s">
        <v>405</v>
      </c>
      <c r="AB2173" s="205" t="s">
        <v>64</v>
      </c>
      <c r="AC2173" s="4"/>
      <c r="AD2173" s="4" t="s">
        <v>6742</v>
      </c>
    </row>
    <row r="2174" spans="1:30" s="206" customFormat="1" ht="36.5" customHeight="1">
      <c r="A2174" s="4" t="s">
        <v>6151</v>
      </c>
      <c r="B2174" s="4" t="s">
        <v>6739</v>
      </c>
      <c r="C2174" s="205" t="s">
        <v>1105</v>
      </c>
      <c r="D2174" s="205" t="s">
        <v>1105</v>
      </c>
      <c r="E2174" s="205"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5">
        <v>130000</v>
      </c>
      <c r="U2174" s="4" t="s">
        <v>2276</v>
      </c>
      <c r="V2174" s="4" t="s">
        <v>2276</v>
      </c>
      <c r="W2174" s="4" t="s">
        <v>2276</v>
      </c>
      <c r="X2174" s="75">
        <f>T2174/'Record info'!$K$933</f>
        <v>1.4097948206307205</v>
      </c>
      <c r="Y2174" s="4" t="s">
        <v>2276</v>
      </c>
      <c r="Z2174" s="4" t="s">
        <v>404</v>
      </c>
      <c r="AA2174" s="4" t="s">
        <v>405</v>
      </c>
      <c r="AB2174" s="205" t="s">
        <v>64</v>
      </c>
      <c r="AC2174" s="4"/>
      <c r="AD2174" s="4" t="s">
        <v>6749</v>
      </c>
    </row>
    <row r="2175" spans="1:30" s="206" customFormat="1" ht="36.5" customHeight="1">
      <c r="A2175" s="4" t="s">
        <v>6151</v>
      </c>
      <c r="B2175" s="4" t="s">
        <v>6740</v>
      </c>
      <c r="C2175" s="205" t="s">
        <v>1105</v>
      </c>
      <c r="D2175" s="205" t="s">
        <v>1105</v>
      </c>
      <c r="E2175" s="205"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5">
        <v>75000</v>
      </c>
      <c r="U2175" s="4" t="s">
        <v>2276</v>
      </c>
      <c r="V2175" s="4" t="s">
        <v>2276</v>
      </c>
      <c r="W2175" s="4" t="s">
        <v>2276</v>
      </c>
      <c r="X2175" s="75">
        <f>T2175/'Record info'!$K$933</f>
        <v>0.81334316574849264</v>
      </c>
      <c r="Y2175" s="4" t="s">
        <v>2276</v>
      </c>
      <c r="Z2175" s="4" t="s">
        <v>404</v>
      </c>
      <c r="AA2175" s="4" t="s">
        <v>405</v>
      </c>
      <c r="AB2175" s="205" t="s">
        <v>64</v>
      </c>
      <c r="AC2175" s="4"/>
      <c r="AD2175" s="4" t="s">
        <v>6749</v>
      </c>
    </row>
    <row r="2176" spans="1:30" s="206" customFormat="1" ht="36.5" customHeight="1">
      <c r="A2176" s="4" t="s">
        <v>6151</v>
      </c>
      <c r="B2176" s="4" t="s">
        <v>6743</v>
      </c>
      <c r="C2176" s="205"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6152</v>
      </c>
      <c r="B2177" s="4" t="s">
        <v>6202</v>
      </c>
      <c r="C2177" s="4" t="s">
        <v>24</v>
      </c>
      <c r="D2177" s="4" t="s">
        <v>2346</v>
      </c>
      <c r="E2177" s="4" t="s">
        <v>2276</v>
      </c>
      <c r="F2177" s="4" t="s">
        <v>2276</v>
      </c>
      <c r="G2177" s="4" t="s">
        <v>2276</v>
      </c>
      <c r="H2177" s="4" t="s">
        <v>523</v>
      </c>
      <c r="I2177" s="4"/>
      <c r="J2177" s="75">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5">
        <f>0.9*T2178</f>
        <v>70200</v>
      </c>
      <c r="U2177" s="4" t="s">
        <v>2276</v>
      </c>
      <c r="V2177" s="4" t="s">
        <v>2276</v>
      </c>
      <c r="W2177" s="4" t="s">
        <v>2276</v>
      </c>
      <c r="X2177" s="75">
        <f>T2177/'Record info'!K934</f>
        <v>2.3737066342057211</v>
      </c>
      <c r="Y2177" s="4" t="s">
        <v>2276</v>
      </c>
      <c r="Z2177" s="4" t="s">
        <v>404</v>
      </c>
      <c r="AA2177" s="4" t="s">
        <v>405</v>
      </c>
      <c r="AB2177" s="205" t="s">
        <v>64</v>
      </c>
      <c r="AC2177" s="4"/>
      <c r="AD2177" s="4"/>
    </row>
    <row r="2178" spans="1:30" s="206" customFormat="1" ht="36.5" customHeight="1">
      <c r="A2178" s="4" t="s">
        <v>6152</v>
      </c>
      <c r="B2178" s="4" t="s">
        <v>6259</v>
      </c>
      <c r="C2178" s="205" t="s">
        <v>1105</v>
      </c>
      <c r="D2178" s="205" t="s">
        <v>1105</v>
      </c>
      <c r="E2178" s="205" t="s">
        <v>1105</v>
      </c>
      <c r="F2178" s="4" t="s">
        <v>2276</v>
      </c>
      <c r="G2178" s="4" t="s">
        <v>2276</v>
      </c>
      <c r="H2178" s="4" t="s">
        <v>523</v>
      </c>
      <c r="I2178" s="4"/>
      <c r="J2178" s="75">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5">
        <v>78000</v>
      </c>
      <c r="U2178" s="4" t="s">
        <v>2276</v>
      </c>
      <c r="V2178" s="4" t="s">
        <v>2276</v>
      </c>
      <c r="W2178" s="4" t="s">
        <v>2276</v>
      </c>
      <c r="X2178" s="75">
        <f>T2178/'Record info'!K934</f>
        <v>2.6374518157841349</v>
      </c>
      <c r="Y2178" s="4" t="s">
        <v>2276</v>
      </c>
      <c r="Z2178" s="4" t="s">
        <v>404</v>
      </c>
      <c r="AA2178" s="4" t="s">
        <v>405</v>
      </c>
      <c r="AB2178" s="205" t="s">
        <v>64</v>
      </c>
      <c r="AC2178" s="4"/>
      <c r="AD2178" s="4"/>
    </row>
    <row r="2179" spans="1:30" s="206" customFormat="1" ht="36.5" customHeight="1">
      <c r="A2179" s="4" t="s">
        <v>6153</v>
      </c>
      <c r="B2179" s="4" t="s">
        <v>6203</v>
      </c>
      <c r="C2179" s="205" t="s">
        <v>1105</v>
      </c>
      <c r="D2179" s="205" t="s">
        <v>1105</v>
      </c>
      <c r="E2179" s="205" t="s">
        <v>1105</v>
      </c>
      <c r="F2179" s="4" t="s">
        <v>2276</v>
      </c>
      <c r="G2179" s="4" t="s">
        <v>2276</v>
      </c>
      <c r="H2179" s="4" t="s">
        <v>523</v>
      </c>
      <c r="I2179" s="4"/>
      <c r="J2179" s="75">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5">
        <v>118833</v>
      </c>
      <c r="U2179" s="4" t="s">
        <v>2276</v>
      </c>
      <c r="V2179" s="4" t="s">
        <v>2276</v>
      </c>
      <c r="W2179" s="4" t="s">
        <v>2276</v>
      </c>
      <c r="X2179" s="75">
        <f>T2179/'Record info'!K935</f>
        <v>0.23485246744006799</v>
      </c>
      <c r="Y2179" s="4" t="s">
        <v>2276</v>
      </c>
      <c r="Z2179" s="4" t="s">
        <v>2276</v>
      </c>
      <c r="AA2179" s="4" t="s">
        <v>2276</v>
      </c>
      <c r="AB2179" s="4" t="s">
        <v>2276</v>
      </c>
      <c r="AC2179" s="4"/>
      <c r="AD2179" s="4"/>
    </row>
    <row r="2180" spans="1:30" s="60" customFormat="1" ht="36.5" customHeight="1">
      <c r="A2180" s="4" t="s">
        <v>6747</v>
      </c>
      <c r="B2180" s="4" t="s">
        <v>6748</v>
      </c>
      <c r="C2180" s="205" t="s">
        <v>1105</v>
      </c>
      <c r="D2180" s="205" t="s">
        <v>1105</v>
      </c>
      <c r="E2180" s="205"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6154</v>
      </c>
      <c r="B2181" s="4" t="s">
        <v>6204</v>
      </c>
      <c r="C2181" s="205" t="s">
        <v>1105</v>
      </c>
      <c r="D2181" s="205" t="s">
        <v>1105</v>
      </c>
      <c r="E2181" s="205"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6155</v>
      </c>
      <c r="B2182" s="4" t="s">
        <v>6205</v>
      </c>
      <c r="C2182" s="205" t="s">
        <v>1105</v>
      </c>
      <c r="D2182" s="205" t="s">
        <v>1105</v>
      </c>
      <c r="E2182" s="205"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6156</v>
      </c>
      <c r="B2183" s="4" t="s">
        <v>6206</v>
      </c>
      <c r="C2183" s="205" t="s">
        <v>1105</v>
      </c>
      <c r="D2183" s="205" t="s">
        <v>1105</v>
      </c>
      <c r="E2183" s="205"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6157</v>
      </c>
      <c r="B2184" s="4" t="s">
        <v>6207</v>
      </c>
      <c r="C2184" s="205" t="s">
        <v>1105</v>
      </c>
      <c r="D2184" s="205" t="s">
        <v>1105</v>
      </c>
      <c r="E2184" s="205"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6158</v>
      </c>
      <c r="B2185" s="4" t="s">
        <v>6208</v>
      </c>
      <c r="C2185" s="205" t="s">
        <v>1105</v>
      </c>
      <c r="D2185" s="205" t="s">
        <v>1105</v>
      </c>
      <c r="E2185" s="205"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6159</v>
      </c>
      <c r="B2186" s="4" t="s">
        <v>6209</v>
      </c>
      <c r="C2186" s="205" t="s">
        <v>1105</v>
      </c>
      <c r="D2186" s="205" t="s">
        <v>1105</v>
      </c>
      <c r="E2186" s="205"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6160</v>
      </c>
      <c r="B2187" s="4" t="s">
        <v>6210</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5">
        <v>8</v>
      </c>
      <c r="Q2187" s="4" t="s">
        <v>2276</v>
      </c>
      <c r="R2187" s="4" t="s">
        <v>2276</v>
      </c>
      <c r="S2187" s="4" t="s">
        <v>2276</v>
      </c>
      <c r="T2187" s="4" t="s">
        <v>2276</v>
      </c>
      <c r="U2187" s="4" t="s">
        <v>2276</v>
      </c>
      <c r="V2187" s="4" t="s">
        <v>2276</v>
      </c>
      <c r="W2187" s="4" t="s">
        <v>2276</v>
      </c>
      <c r="X2187" s="4" t="s">
        <v>2276</v>
      </c>
      <c r="Y2187" s="4" t="s">
        <v>2276</v>
      </c>
      <c r="Z2187" s="205" t="s">
        <v>188</v>
      </c>
      <c r="AA2187" s="205" t="s">
        <v>189</v>
      </c>
      <c r="AB2187" s="4" t="s">
        <v>2276</v>
      </c>
      <c r="AC2187" s="4"/>
      <c r="AD2187" s="4"/>
    </row>
    <row r="2188" spans="1:30" s="206" customFormat="1" ht="36.5" customHeight="1">
      <c r="A2188" s="4" t="s">
        <v>6160</v>
      </c>
      <c r="B2188" s="4" t="s">
        <v>6754</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5">
        <v>8</v>
      </c>
      <c r="Q2188" s="4" t="s">
        <v>2276</v>
      </c>
      <c r="R2188" s="4" t="s">
        <v>2276</v>
      </c>
      <c r="S2188" s="4" t="s">
        <v>2276</v>
      </c>
      <c r="T2188" s="4" t="s">
        <v>2276</v>
      </c>
      <c r="U2188" s="4" t="s">
        <v>2276</v>
      </c>
      <c r="V2188" s="4" t="s">
        <v>2276</v>
      </c>
      <c r="W2188" s="4" t="s">
        <v>2276</v>
      </c>
      <c r="X2188" s="4" t="s">
        <v>2276</v>
      </c>
      <c r="Y2188" s="4" t="s">
        <v>2276</v>
      </c>
      <c r="Z2188" s="205" t="s">
        <v>188</v>
      </c>
      <c r="AA2188" s="205" t="s">
        <v>189</v>
      </c>
      <c r="AB2188" s="4" t="s">
        <v>2276</v>
      </c>
      <c r="AC2188" s="4"/>
      <c r="AD2188" s="4"/>
    </row>
    <row r="2189" spans="1:30" s="60" customFormat="1" ht="36.5" customHeight="1">
      <c r="A2189" s="4" t="s">
        <v>6161</v>
      </c>
      <c r="B2189" s="4" t="s">
        <v>6211</v>
      </c>
      <c r="C2189" s="4" t="s">
        <v>24</v>
      </c>
      <c r="D2189" s="4" t="s">
        <v>2346</v>
      </c>
      <c r="E2189" s="4" t="s">
        <v>2649</v>
      </c>
      <c r="F2189" s="4" t="s">
        <v>74</v>
      </c>
      <c r="G2189" s="4" t="s">
        <v>74</v>
      </c>
      <c r="H2189" s="4" t="s">
        <v>523</v>
      </c>
      <c r="I2189" s="4"/>
      <c r="J2189" s="195">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6766</v>
      </c>
      <c r="AD2189" s="4"/>
    </row>
    <row r="2190" spans="1:30" s="206" customFormat="1" ht="36.5" customHeight="1">
      <c r="A2190" s="4" t="s">
        <v>6161</v>
      </c>
      <c r="B2190" s="4" t="s">
        <v>6212</v>
      </c>
      <c r="C2190" s="205" t="s">
        <v>2656</v>
      </c>
      <c r="D2190" s="4" t="s">
        <v>2276</v>
      </c>
      <c r="E2190" s="4" t="s">
        <v>2649</v>
      </c>
      <c r="F2190" s="4" t="s">
        <v>74</v>
      </c>
      <c r="G2190" s="4" t="s">
        <v>74</v>
      </c>
      <c r="H2190" s="4" t="s">
        <v>523</v>
      </c>
      <c r="I2190" s="4"/>
      <c r="J2190" s="195">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6" customFormat="1" ht="36.5" customHeight="1">
      <c r="A2191" s="4" t="s">
        <v>6161</v>
      </c>
      <c r="B2191" s="4" t="s">
        <v>6213</v>
      </c>
      <c r="C2191" s="205" t="s">
        <v>2658</v>
      </c>
      <c r="D2191" s="4" t="s">
        <v>2276</v>
      </c>
      <c r="E2191" s="4" t="s">
        <v>2649</v>
      </c>
      <c r="F2191" s="4" t="s">
        <v>74</v>
      </c>
      <c r="G2191" s="4" t="s">
        <v>74</v>
      </c>
      <c r="H2191" s="4" t="s">
        <v>523</v>
      </c>
      <c r="I2191" s="4"/>
      <c r="J2191" s="195">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6161</v>
      </c>
      <c r="B2192" s="4" t="s">
        <v>6757</v>
      </c>
      <c r="C2192" s="4" t="s">
        <v>24</v>
      </c>
      <c r="D2192" s="4" t="s">
        <v>2346</v>
      </c>
      <c r="E2192" s="205" t="s">
        <v>863</v>
      </c>
      <c r="F2192" s="4" t="s">
        <v>74</v>
      </c>
      <c r="G2192" s="4" t="s">
        <v>74</v>
      </c>
      <c r="H2192" s="4" t="s">
        <v>523</v>
      </c>
      <c r="I2192" s="4"/>
      <c r="J2192" s="75">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6766</v>
      </c>
      <c r="AD2192" s="4"/>
    </row>
    <row r="2193" spans="1:30" s="206" customFormat="1" ht="36.5" customHeight="1">
      <c r="A2193" s="4" t="s">
        <v>6161</v>
      </c>
      <c r="B2193" s="4" t="s">
        <v>6758</v>
      </c>
      <c r="C2193" s="205" t="s">
        <v>2656</v>
      </c>
      <c r="D2193" s="4" t="s">
        <v>2276</v>
      </c>
      <c r="E2193" s="205" t="s">
        <v>863</v>
      </c>
      <c r="F2193" s="4" t="s">
        <v>74</v>
      </c>
      <c r="G2193" s="4" t="s">
        <v>74</v>
      </c>
      <c r="H2193" s="4" t="s">
        <v>523</v>
      </c>
      <c r="I2193" s="4"/>
      <c r="J2193" s="75">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6" customFormat="1" ht="36.5" customHeight="1">
      <c r="A2194" s="4" t="s">
        <v>6161</v>
      </c>
      <c r="B2194" s="4" t="s">
        <v>6759</v>
      </c>
      <c r="C2194" s="205" t="s">
        <v>2658</v>
      </c>
      <c r="D2194" s="4" t="s">
        <v>2276</v>
      </c>
      <c r="E2194" s="205" t="s">
        <v>863</v>
      </c>
      <c r="F2194" s="4" t="s">
        <v>74</v>
      </c>
      <c r="G2194" s="4" t="s">
        <v>74</v>
      </c>
      <c r="H2194" s="4" t="s">
        <v>523</v>
      </c>
      <c r="I2194" s="4"/>
      <c r="J2194" s="75">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6161</v>
      </c>
      <c r="B2195" s="4" t="s">
        <v>6760</v>
      </c>
      <c r="C2195" s="4" t="s">
        <v>24</v>
      </c>
      <c r="D2195" s="4" t="s">
        <v>2346</v>
      </c>
      <c r="E2195" s="205" t="s">
        <v>137</v>
      </c>
      <c r="F2195" s="4" t="s">
        <v>74</v>
      </c>
      <c r="G2195" s="4" t="s">
        <v>74</v>
      </c>
      <c r="H2195" s="4" t="s">
        <v>523</v>
      </c>
      <c r="I2195" s="4"/>
      <c r="J2195" s="75">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6766</v>
      </c>
      <c r="AD2195" s="4"/>
    </row>
    <row r="2196" spans="1:30" s="206" customFormat="1" ht="36.5" customHeight="1">
      <c r="A2196" s="4" t="s">
        <v>6161</v>
      </c>
      <c r="B2196" s="4" t="s">
        <v>6761</v>
      </c>
      <c r="C2196" s="205" t="s">
        <v>2656</v>
      </c>
      <c r="D2196" s="4" t="s">
        <v>2276</v>
      </c>
      <c r="E2196" s="205" t="s">
        <v>137</v>
      </c>
      <c r="F2196" s="4" t="s">
        <v>74</v>
      </c>
      <c r="G2196" s="4" t="s">
        <v>74</v>
      </c>
      <c r="H2196" s="4" t="s">
        <v>523</v>
      </c>
      <c r="I2196" s="4"/>
      <c r="J2196" s="75">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6" customFormat="1" ht="36.5" customHeight="1">
      <c r="A2197" s="4" t="s">
        <v>6161</v>
      </c>
      <c r="B2197" s="4" t="s">
        <v>6762</v>
      </c>
      <c r="C2197" s="205" t="s">
        <v>2658</v>
      </c>
      <c r="D2197" s="4" t="s">
        <v>2276</v>
      </c>
      <c r="E2197" s="205" t="s">
        <v>137</v>
      </c>
      <c r="F2197" s="4" t="s">
        <v>74</v>
      </c>
      <c r="G2197" s="4" t="s">
        <v>74</v>
      </c>
      <c r="H2197" s="4" t="s">
        <v>523</v>
      </c>
      <c r="I2197" s="4"/>
      <c r="J2197" s="75">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6" customFormat="1" ht="36.5" customHeight="1">
      <c r="A2198" s="4" t="s">
        <v>6161</v>
      </c>
      <c r="B2198" s="4" t="s">
        <v>6763</v>
      </c>
      <c r="C2198" s="4" t="s">
        <v>24</v>
      </c>
      <c r="D2198" s="4" t="s">
        <v>2346</v>
      </c>
      <c r="E2198" s="4" t="s">
        <v>2276</v>
      </c>
      <c r="F2198" s="4" t="s">
        <v>2276</v>
      </c>
      <c r="G2198" s="4" t="s">
        <v>2276</v>
      </c>
      <c r="H2198" s="4" t="s">
        <v>523</v>
      </c>
      <c r="I2198" s="4"/>
      <c r="J2198" s="75">
        <f>(4153/(172737/100))/18</f>
        <v>0.13356850137620904</v>
      </c>
      <c r="K2198" s="4" t="s">
        <v>2276</v>
      </c>
      <c r="L2198" s="4" t="s">
        <v>2276</v>
      </c>
      <c r="M2198" s="4" t="s">
        <v>2276</v>
      </c>
      <c r="N2198" s="4" t="s">
        <v>2276</v>
      </c>
      <c r="O2198" s="4" t="s">
        <v>2276</v>
      </c>
      <c r="P2198" s="75">
        <f>T2198/(4764*0.87)</f>
        <v>3.7152590791086402</v>
      </c>
      <c r="Q2198" s="4" t="s">
        <v>2276</v>
      </c>
      <c r="R2198" s="4" t="s">
        <v>2276</v>
      </c>
      <c r="S2198" s="4" t="s">
        <v>2276</v>
      </c>
      <c r="T2198" s="75">
        <v>15398.56</v>
      </c>
      <c r="U2198" s="4" t="s">
        <v>2276</v>
      </c>
      <c r="V2198" s="4" t="s">
        <v>2276</v>
      </c>
      <c r="W2198" s="4" t="s">
        <v>2276</v>
      </c>
      <c r="X2198" s="75">
        <f>100*T2198/172737.51</f>
        <v>8.9144274454344039</v>
      </c>
      <c r="Y2198" s="4" t="s">
        <v>2276</v>
      </c>
      <c r="Z2198" s="4" t="s">
        <v>2276</v>
      </c>
      <c r="AA2198" s="4" t="s">
        <v>2276</v>
      </c>
      <c r="AB2198" s="4" t="s">
        <v>2276</v>
      </c>
      <c r="AC2198" s="4" t="s">
        <v>6766</v>
      </c>
      <c r="AD2198" s="4"/>
    </row>
    <row r="2199" spans="1:30" s="206" customFormat="1" ht="36.5" customHeight="1">
      <c r="A2199" s="4" t="s">
        <v>6161</v>
      </c>
      <c r="B2199" s="4" t="s">
        <v>6764</v>
      </c>
      <c r="C2199" s="205" t="s">
        <v>2656</v>
      </c>
      <c r="D2199" s="4" t="s">
        <v>2276</v>
      </c>
      <c r="E2199" s="4" t="s">
        <v>2276</v>
      </c>
      <c r="F2199" s="4" t="s">
        <v>2276</v>
      </c>
      <c r="G2199" s="4" t="s">
        <v>2276</v>
      </c>
      <c r="H2199" s="4" t="s">
        <v>523</v>
      </c>
      <c r="I2199" s="4"/>
      <c r="J2199" s="75">
        <f>(279/(172737/100))/18</f>
        <v>8.9731788788736631E-3</v>
      </c>
      <c r="K2199" s="4" t="s">
        <v>2276</v>
      </c>
      <c r="L2199" s="4" t="s">
        <v>2276</v>
      </c>
      <c r="M2199" s="4" t="s">
        <v>2276</v>
      </c>
      <c r="N2199" s="4" t="s">
        <v>2276</v>
      </c>
      <c r="O2199" s="4" t="s">
        <v>2276</v>
      </c>
      <c r="P2199" s="75">
        <f>T2199/(0.0546*4764)</f>
        <v>5.9760916119984131</v>
      </c>
      <c r="Q2199" s="4" t="s">
        <v>2276</v>
      </c>
      <c r="R2199" s="4" t="s">
        <v>2276</v>
      </c>
      <c r="S2199" s="4" t="s">
        <v>2276</v>
      </c>
      <c r="T2199" s="75">
        <f>0.0786*19776.94</f>
        <v>1554.467484</v>
      </c>
      <c r="U2199" s="4" t="s">
        <v>2276</v>
      </c>
      <c r="V2199" s="4" t="s">
        <v>2276</v>
      </c>
      <c r="W2199" s="4" t="s">
        <v>2276</v>
      </c>
      <c r="X2199" s="75">
        <f t="shared" ref="X2199:X2200" si="1">100*T2199/172737.51</f>
        <v>0.89990152341549901</v>
      </c>
      <c r="Y2199" s="4" t="s">
        <v>2276</v>
      </c>
      <c r="Z2199" s="4" t="s">
        <v>2276</v>
      </c>
      <c r="AA2199" s="4" t="s">
        <v>2276</v>
      </c>
      <c r="AB2199" s="4" t="s">
        <v>2276</v>
      </c>
      <c r="AC2199" s="4"/>
      <c r="AD2199" s="4"/>
    </row>
    <row r="2200" spans="1:30" s="206" customFormat="1" ht="36.5" customHeight="1">
      <c r="A2200" s="4" t="s">
        <v>6161</v>
      </c>
      <c r="B2200" s="4" t="s">
        <v>6765</v>
      </c>
      <c r="C2200" s="205" t="s">
        <v>2658</v>
      </c>
      <c r="D2200" s="4" t="s">
        <v>2276</v>
      </c>
      <c r="E2200" s="4" t="s">
        <v>2276</v>
      </c>
      <c r="F2200" s="4" t="s">
        <v>2276</v>
      </c>
      <c r="G2200" s="4" t="s">
        <v>2276</v>
      </c>
      <c r="H2200" s="4" t="s">
        <v>523</v>
      </c>
      <c r="I2200" s="4"/>
      <c r="J2200" s="75">
        <f>(332/(172737/100))/18</f>
        <v>1.0677761246545006E-2</v>
      </c>
      <c r="K2200" s="4" t="s">
        <v>2276</v>
      </c>
      <c r="L2200" s="4" t="s">
        <v>2276</v>
      </c>
      <c r="M2200" s="4" t="s">
        <v>2276</v>
      </c>
      <c r="N2200" s="4" t="s">
        <v>2276</v>
      </c>
      <c r="O2200" s="4" t="s">
        <v>2276</v>
      </c>
      <c r="P2200" s="75">
        <f>T2200/(0.0414*4764)</f>
        <v>4.1513308144416454</v>
      </c>
      <c r="Q2200" s="4" t="s">
        <v>2276</v>
      </c>
      <c r="R2200" s="4" t="s">
        <v>2276</v>
      </c>
      <c r="S2200" s="4" t="s">
        <v>2276</v>
      </c>
      <c r="T2200" s="75">
        <f>0.0414*19776.94</f>
        <v>818.76531599999998</v>
      </c>
      <c r="U2200" s="4" t="s">
        <v>2276</v>
      </c>
      <c r="V2200" s="4" t="s">
        <v>2276</v>
      </c>
      <c r="W2200" s="4" t="s">
        <v>2276</v>
      </c>
      <c r="X2200" s="75">
        <f t="shared" si="1"/>
        <v>0.4739939321806827</v>
      </c>
      <c r="Y2200" s="4" t="s">
        <v>2276</v>
      </c>
      <c r="Z2200" s="4" t="s">
        <v>2276</v>
      </c>
      <c r="AA2200" s="4" t="s">
        <v>2276</v>
      </c>
      <c r="AB2200" s="4" t="s">
        <v>2276</v>
      </c>
      <c r="AC2200" s="4"/>
      <c r="AD2200" s="4"/>
    </row>
    <row r="2201" spans="1:30" s="206" customFormat="1" ht="53.5" customHeight="1">
      <c r="A2201" s="4" t="s">
        <v>6162</v>
      </c>
      <c r="B2201" s="4" t="s">
        <v>6214</v>
      </c>
      <c r="C2201" s="205" t="s">
        <v>1105</v>
      </c>
      <c r="D2201" s="205" t="s">
        <v>1105</v>
      </c>
      <c r="E2201" s="205" t="s">
        <v>1105</v>
      </c>
      <c r="F2201" s="4" t="s">
        <v>2276</v>
      </c>
      <c r="G2201" s="4" t="s">
        <v>2276</v>
      </c>
      <c r="H2201" s="4" t="s">
        <v>523</v>
      </c>
      <c r="I2201" s="4"/>
      <c r="J2201" s="75">
        <f>4000/'Record info'!K945</f>
        <v>0.13525393927098125</v>
      </c>
      <c r="K2201" s="4" t="s">
        <v>2276</v>
      </c>
      <c r="L2201" s="4" t="s">
        <v>2276</v>
      </c>
      <c r="M2201" s="4" t="s">
        <v>2276</v>
      </c>
      <c r="N2201" s="4" t="s">
        <v>2276</v>
      </c>
      <c r="O2201" s="4" t="s">
        <v>2276</v>
      </c>
      <c r="P2201" s="75">
        <f>20000/4000</f>
        <v>5</v>
      </c>
      <c r="Q2201" s="4" t="s">
        <v>2276</v>
      </c>
      <c r="R2201" s="4" t="s">
        <v>2276</v>
      </c>
      <c r="S2201" s="4" t="s">
        <v>2276</v>
      </c>
      <c r="T2201" s="75">
        <v>20000</v>
      </c>
      <c r="U2201" s="4" t="s">
        <v>2276</v>
      </c>
      <c r="V2201" s="4" t="s">
        <v>2276</v>
      </c>
      <c r="W2201" s="4" t="s">
        <v>2276</v>
      </c>
      <c r="X2201" s="75">
        <f>20000/'Record info'!K945</f>
        <v>0.6762696963549063</v>
      </c>
      <c r="Y2201" s="4" t="s">
        <v>2276</v>
      </c>
      <c r="Z2201" s="4" t="s">
        <v>2276</v>
      </c>
      <c r="AA2201" s="4" t="s">
        <v>2276</v>
      </c>
      <c r="AB2201" s="4" t="s">
        <v>2276</v>
      </c>
      <c r="AC2201" s="4"/>
      <c r="AD2201" s="4"/>
    </row>
    <row r="2202" spans="1:30" s="60" customFormat="1" ht="48.5" customHeight="1">
      <c r="A2202" s="4" t="s">
        <v>6162</v>
      </c>
      <c r="B2202" s="4" t="s">
        <v>6215</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6162</v>
      </c>
      <c r="B2203" s="4" t="s">
        <v>6216</v>
      </c>
      <c r="C2203" s="4" t="s">
        <v>24</v>
      </c>
      <c r="D2203" s="205"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6772</v>
      </c>
      <c r="AD2203" s="4"/>
    </row>
    <row r="2204" spans="1:30" s="60" customFormat="1" ht="53" customHeight="1">
      <c r="A2204" s="4" t="s">
        <v>6162</v>
      </c>
      <c r="B2204" s="4" t="s">
        <v>6217</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6773</v>
      </c>
      <c r="AD2204" s="4"/>
    </row>
    <row r="2205" spans="1:30" s="206" customFormat="1" ht="57.5" customHeight="1">
      <c r="A2205" s="4" t="s">
        <v>6162</v>
      </c>
      <c r="B2205" s="4" t="s">
        <v>6261</v>
      </c>
      <c r="C2205" s="4" t="s">
        <v>24</v>
      </c>
      <c r="D2205" s="205"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6772</v>
      </c>
      <c r="AD2205" s="4"/>
    </row>
    <row r="2206" spans="1:30" s="60" customFormat="1" ht="52" customHeight="1">
      <c r="A2206" s="4" t="s">
        <v>6162</v>
      </c>
      <c r="B2206" s="4" t="s">
        <v>6262</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6774</v>
      </c>
      <c r="AD2206" s="4"/>
    </row>
    <row r="2207" spans="1:30" s="206" customFormat="1" ht="52" customHeight="1">
      <c r="A2207" s="4" t="s">
        <v>6162</v>
      </c>
      <c r="B2207" s="4" t="s">
        <v>6767</v>
      </c>
      <c r="C2207" s="205" t="s">
        <v>2458</v>
      </c>
      <c r="D2207" s="205"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6775</v>
      </c>
      <c r="AD2207" s="4"/>
    </row>
    <row r="2208" spans="1:30" s="206" customFormat="1" ht="55.5" customHeight="1">
      <c r="A2208" s="4" t="s">
        <v>6162</v>
      </c>
      <c r="B2208" s="4" t="s">
        <v>6769</v>
      </c>
      <c r="C2208" s="4" t="s">
        <v>24</v>
      </c>
      <c r="D2208" s="205"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6775</v>
      </c>
      <c r="AD2208" s="4"/>
    </row>
    <row r="2209" spans="1:30" s="206" customFormat="1" ht="52" customHeight="1">
      <c r="A2209" s="4" t="s">
        <v>6162</v>
      </c>
      <c r="B2209" s="4" t="s">
        <v>6770</v>
      </c>
      <c r="C2209" s="205" t="s">
        <v>31</v>
      </c>
      <c r="D2209" s="205" t="s">
        <v>30</v>
      </c>
      <c r="E2209" s="205" t="s">
        <v>2276</v>
      </c>
      <c r="F2209" s="205" t="s">
        <v>2276</v>
      </c>
      <c r="G2209" s="205"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6775</v>
      </c>
      <c r="AD2209" s="4"/>
    </row>
    <row r="2210" spans="1:30" s="206" customFormat="1" ht="52" customHeight="1">
      <c r="A2210" s="4" t="s">
        <v>6162</v>
      </c>
      <c r="B2210" s="4" t="s">
        <v>6771</v>
      </c>
      <c r="C2210" s="205" t="s">
        <v>2656</v>
      </c>
      <c r="D2210" s="205" t="s">
        <v>2276</v>
      </c>
      <c r="E2210" s="205" t="s">
        <v>2276</v>
      </c>
      <c r="F2210" s="205" t="s">
        <v>2276</v>
      </c>
      <c r="G2210" s="205"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6163</v>
      </c>
      <c r="B2211" s="4" t="s">
        <v>6218</v>
      </c>
      <c r="C2211" s="205" t="s">
        <v>1105</v>
      </c>
      <c r="D2211" s="205" t="s">
        <v>1105</v>
      </c>
      <c r="E2211" s="205" t="s">
        <v>1105</v>
      </c>
      <c r="F2211" s="205" t="s">
        <v>2276</v>
      </c>
      <c r="G2211" s="205"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3">
        <v>17000</v>
      </c>
      <c r="U2211" s="4" t="s">
        <v>2276</v>
      </c>
      <c r="V2211" s="4" t="s">
        <v>2276</v>
      </c>
      <c r="W2211" s="4" t="s">
        <v>2276</v>
      </c>
      <c r="X2211" s="75">
        <f>T2211/'Record info'!K946</f>
        <v>0.70539419087136934</v>
      </c>
      <c r="Y2211" s="4" t="s">
        <v>2276</v>
      </c>
      <c r="Z2211" s="205" t="s">
        <v>86</v>
      </c>
      <c r="AA2211" s="205" t="s">
        <v>405</v>
      </c>
      <c r="AB2211" s="4" t="s">
        <v>2276</v>
      </c>
      <c r="AC2211" s="4"/>
      <c r="AD2211" s="205" t="s">
        <v>6783</v>
      </c>
    </row>
    <row r="2212" spans="1:30" s="60" customFormat="1" ht="36.5" customHeight="1">
      <c r="A2212" s="4" t="s">
        <v>6164</v>
      </c>
      <c r="B2212" s="4" t="s">
        <v>6219</v>
      </c>
      <c r="C2212" s="205" t="s">
        <v>1105</v>
      </c>
      <c r="D2212" s="205" t="s">
        <v>1105</v>
      </c>
      <c r="E2212" s="205" t="s">
        <v>1105</v>
      </c>
      <c r="F2212" s="205" t="s">
        <v>2276</v>
      </c>
      <c r="G2212" s="205"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5">
        <v>5000</v>
      </c>
      <c r="U2212" s="4" t="s">
        <v>2276</v>
      </c>
      <c r="V2212" s="4" t="s">
        <v>2276</v>
      </c>
      <c r="W2212" s="4" t="s">
        <v>2276</v>
      </c>
      <c r="X2212" s="75">
        <f>T2212/'Record info'!K947</f>
        <v>0.57471264367816088</v>
      </c>
      <c r="Y2212" s="4" t="s">
        <v>2276</v>
      </c>
      <c r="Z2212" s="205" t="s">
        <v>86</v>
      </c>
      <c r="AA2212" s="205" t="s">
        <v>405</v>
      </c>
      <c r="AB2212" s="4" t="s">
        <v>2276</v>
      </c>
      <c r="AC2212" s="4"/>
      <c r="AD2212" s="205" t="s">
        <v>6783</v>
      </c>
    </row>
    <row r="2213" spans="1:30" s="60" customFormat="1" ht="36.5" customHeight="1">
      <c r="A2213" s="4" t="s">
        <v>6165</v>
      </c>
      <c r="B2213" s="4" t="s">
        <v>6220</v>
      </c>
      <c r="C2213" s="205" t="s">
        <v>1105</v>
      </c>
      <c r="D2213" s="205" t="s">
        <v>1105</v>
      </c>
      <c r="E2213" s="205" t="s">
        <v>1105</v>
      </c>
      <c r="F2213" s="205" t="s">
        <v>2276</v>
      </c>
      <c r="G2213" s="205"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5">
        <v>4700</v>
      </c>
      <c r="U2213" s="4" t="s">
        <v>2276</v>
      </c>
      <c r="V2213" s="4" t="s">
        <v>2276</v>
      </c>
      <c r="W2213" s="4" t="s">
        <v>2276</v>
      </c>
      <c r="X2213" s="75">
        <f>T2213/'Record info'!K948</f>
        <v>0.14641744548286603</v>
      </c>
      <c r="Y2213" s="4" t="s">
        <v>2276</v>
      </c>
      <c r="Z2213" s="205" t="s">
        <v>86</v>
      </c>
      <c r="AA2213" s="205" t="s">
        <v>405</v>
      </c>
      <c r="AB2213" s="4" t="s">
        <v>2276</v>
      </c>
      <c r="AC2213" s="4"/>
      <c r="AD2213" s="205" t="s">
        <v>6783</v>
      </c>
    </row>
    <row r="2214" spans="1:30" s="206" customFormat="1" ht="36.5" customHeight="1">
      <c r="A2214" s="4" t="s">
        <v>6163</v>
      </c>
      <c r="B2214" s="4" t="s">
        <v>6776</v>
      </c>
      <c r="C2214" s="205" t="s">
        <v>1105</v>
      </c>
      <c r="D2214" s="205" t="s">
        <v>1105</v>
      </c>
      <c r="E2214" s="205" t="s">
        <v>1105</v>
      </c>
      <c r="F2214" s="205"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5">
        <v>1200</v>
      </c>
      <c r="U2214" s="4" t="s">
        <v>2276</v>
      </c>
      <c r="V2214" s="75">
        <v>0.87</v>
      </c>
      <c r="W2214" s="4" t="s">
        <v>2276</v>
      </c>
      <c r="X2214" s="4" t="s">
        <v>2276</v>
      </c>
      <c r="Y2214" s="4" t="s">
        <v>2276</v>
      </c>
      <c r="Z2214" s="205" t="s">
        <v>86</v>
      </c>
      <c r="AA2214" s="205" t="s">
        <v>405</v>
      </c>
      <c r="AB2214" s="4" t="s">
        <v>2276</v>
      </c>
      <c r="AC2214" s="4"/>
      <c r="AD2214" s="4" t="s">
        <v>6779</v>
      </c>
    </row>
    <row r="2215" spans="1:30" s="206" customFormat="1" ht="36.5" customHeight="1">
      <c r="A2215" s="4" t="s">
        <v>6164</v>
      </c>
      <c r="B2215" s="4" t="s">
        <v>6777</v>
      </c>
      <c r="C2215" s="205" t="s">
        <v>1105</v>
      </c>
      <c r="D2215" s="205" t="s">
        <v>1105</v>
      </c>
      <c r="E2215" s="205" t="s">
        <v>1105</v>
      </c>
      <c r="F2215" s="205"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5">
        <v>165</v>
      </c>
      <c r="U2215" s="4" t="s">
        <v>2276</v>
      </c>
      <c r="V2215" s="75">
        <v>0.26</v>
      </c>
      <c r="W2215" s="4" t="s">
        <v>2276</v>
      </c>
      <c r="X2215" s="4" t="s">
        <v>2276</v>
      </c>
      <c r="Y2215" s="4" t="s">
        <v>2276</v>
      </c>
      <c r="Z2215" s="205" t="s">
        <v>86</v>
      </c>
      <c r="AA2215" s="205" t="s">
        <v>405</v>
      </c>
      <c r="AB2215" s="4" t="s">
        <v>2276</v>
      </c>
      <c r="AC2215" s="4"/>
      <c r="AD2215" s="4" t="s">
        <v>6779</v>
      </c>
    </row>
    <row r="2216" spans="1:30" s="206" customFormat="1" ht="36.5" customHeight="1">
      <c r="A2216" s="4" t="s">
        <v>6165</v>
      </c>
      <c r="B2216" s="4" t="s">
        <v>6778</v>
      </c>
      <c r="C2216" s="205" t="s">
        <v>1105</v>
      </c>
      <c r="D2216" s="205" t="s">
        <v>1105</v>
      </c>
      <c r="E2216" s="205" t="s">
        <v>1105</v>
      </c>
      <c r="F2216" s="205"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5">
        <v>450</v>
      </c>
      <c r="U2216" s="4" t="s">
        <v>2276</v>
      </c>
      <c r="V2216" s="75">
        <v>0.72</v>
      </c>
      <c r="W2216" s="4" t="s">
        <v>2276</v>
      </c>
      <c r="X2216" s="4" t="s">
        <v>2276</v>
      </c>
      <c r="Y2216" s="4" t="s">
        <v>2276</v>
      </c>
      <c r="Z2216" s="205" t="s">
        <v>86</v>
      </c>
      <c r="AA2216" s="205" t="s">
        <v>405</v>
      </c>
      <c r="AB2216" s="4" t="s">
        <v>2276</v>
      </c>
      <c r="AC2216" s="4"/>
      <c r="AD2216" s="4" t="s">
        <v>6779</v>
      </c>
    </row>
    <row r="2217" spans="1:30" s="206" customFormat="1" ht="36.5" customHeight="1">
      <c r="A2217" s="4" t="s">
        <v>6163</v>
      </c>
      <c r="B2217" s="4" t="s">
        <v>6780</v>
      </c>
      <c r="C2217" s="205" t="s">
        <v>1105</v>
      </c>
      <c r="D2217" s="205" t="s">
        <v>1105</v>
      </c>
      <c r="E2217" s="205" t="s">
        <v>1105</v>
      </c>
      <c r="F2217" s="205" t="s">
        <v>2276</v>
      </c>
      <c r="G2217" s="205"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5" t="s">
        <v>86</v>
      </c>
      <c r="AA2217" s="205" t="s">
        <v>405</v>
      </c>
      <c r="AB2217" s="4" t="s">
        <v>2276</v>
      </c>
      <c r="AC2217" s="4"/>
      <c r="AD2217" s="205" t="s">
        <v>6783</v>
      </c>
    </row>
    <row r="2218" spans="1:30" s="206" customFormat="1" ht="36.5" customHeight="1">
      <c r="A2218" s="4" t="s">
        <v>6164</v>
      </c>
      <c r="B2218" s="4" t="s">
        <v>6781</v>
      </c>
      <c r="C2218" s="205" t="s">
        <v>1105</v>
      </c>
      <c r="D2218" s="205" t="s">
        <v>1105</v>
      </c>
      <c r="E2218" s="205" t="s">
        <v>1105</v>
      </c>
      <c r="F2218" s="205" t="s">
        <v>2276</v>
      </c>
      <c r="G2218" s="205"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5" t="s">
        <v>86</v>
      </c>
      <c r="AA2218" s="205" t="s">
        <v>405</v>
      </c>
      <c r="AB2218" s="4" t="s">
        <v>2276</v>
      </c>
      <c r="AC2218" s="4"/>
      <c r="AD2218" s="205" t="s">
        <v>6783</v>
      </c>
    </row>
    <row r="2219" spans="1:30" s="206" customFormat="1" ht="36.5" customHeight="1">
      <c r="A2219" s="4" t="s">
        <v>6165</v>
      </c>
      <c r="B2219" s="4" t="s">
        <v>6782</v>
      </c>
      <c r="C2219" s="205" t="s">
        <v>1105</v>
      </c>
      <c r="D2219" s="205" t="s">
        <v>1105</v>
      </c>
      <c r="E2219" s="205" t="s">
        <v>1105</v>
      </c>
      <c r="F2219" s="205" t="s">
        <v>2276</v>
      </c>
      <c r="G2219" s="205"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5" t="s">
        <v>86</v>
      </c>
      <c r="AA2219" s="205" t="s">
        <v>405</v>
      </c>
      <c r="AB2219" s="4" t="s">
        <v>2276</v>
      </c>
      <c r="AC2219" s="4"/>
      <c r="AD2219" s="4"/>
    </row>
    <row r="2220" spans="1:30" s="206" customFormat="1" ht="36.5" customHeight="1">
      <c r="A2220" s="19" t="s">
        <v>6166</v>
      </c>
      <c r="B2220" s="19" t="s">
        <v>6221</v>
      </c>
      <c r="C2220" s="205" t="s">
        <v>1105</v>
      </c>
      <c r="D2220" s="205" t="s">
        <v>1105</v>
      </c>
      <c r="E2220" s="205" t="s">
        <v>1105</v>
      </c>
      <c r="F2220" s="205" t="s">
        <v>2276</v>
      </c>
      <c r="G2220" s="205" t="s">
        <v>2276</v>
      </c>
      <c r="H2220" s="4" t="s">
        <v>523</v>
      </c>
      <c r="I2220" s="19"/>
      <c r="J2220" s="4">
        <v>0.38</v>
      </c>
      <c r="K2220" s="4" t="s">
        <v>2276</v>
      </c>
      <c r="L2220" s="4" t="s">
        <v>2276</v>
      </c>
      <c r="M2220" s="4" t="s">
        <v>2276</v>
      </c>
      <c r="N2220" s="4" t="s">
        <v>2276</v>
      </c>
      <c r="O2220" s="4" t="s">
        <v>2276</v>
      </c>
      <c r="P2220" s="203">
        <f>T2220/14.1</f>
        <v>7.0921985815602842</v>
      </c>
      <c r="Q2220" s="4" t="s">
        <v>2276</v>
      </c>
      <c r="R2220" s="4" t="s">
        <v>2276</v>
      </c>
      <c r="S2220" s="4" t="s">
        <v>2276</v>
      </c>
      <c r="T2220" s="4">
        <v>100</v>
      </c>
      <c r="U2220" s="4" t="s">
        <v>2276</v>
      </c>
      <c r="V2220" s="4" t="s">
        <v>2276</v>
      </c>
      <c r="W2220" s="4" t="s">
        <v>2276</v>
      </c>
      <c r="X2220" s="75">
        <f>100/'Record info'!K949</f>
        <v>2.7048958615093319</v>
      </c>
      <c r="Y2220" s="4" t="s">
        <v>2276</v>
      </c>
      <c r="Z2220" s="205" t="s">
        <v>86</v>
      </c>
      <c r="AA2220" s="205" t="s">
        <v>405</v>
      </c>
      <c r="AB2220" s="4" t="s">
        <v>2276</v>
      </c>
      <c r="AC2220" s="19"/>
      <c r="AD2220" s="19"/>
    </row>
    <row r="2221" spans="1:30" s="206" customFormat="1" ht="36.5" customHeight="1">
      <c r="A2221" s="19" t="s">
        <v>6167</v>
      </c>
      <c r="B2221" s="19" t="s">
        <v>6222</v>
      </c>
      <c r="C2221" s="205" t="s">
        <v>1105</v>
      </c>
      <c r="D2221" s="205" t="s">
        <v>1105</v>
      </c>
      <c r="E2221" s="205" t="s">
        <v>1105</v>
      </c>
      <c r="F2221" s="205" t="s">
        <v>2276</v>
      </c>
      <c r="G2221" s="205"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6168</v>
      </c>
      <c r="B2222" s="4" t="s">
        <v>6223</v>
      </c>
      <c r="C2222" s="205"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6168</v>
      </c>
      <c r="B2223" s="4" t="s">
        <v>6224</v>
      </c>
      <c r="C2223" s="205" t="s">
        <v>2458</v>
      </c>
      <c r="D2223" s="205"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6168</v>
      </c>
      <c r="B2224" s="4" t="s">
        <v>6225</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6168</v>
      </c>
      <c r="B2225" s="4" t="s">
        <v>6226</v>
      </c>
      <c r="C2225" s="4" t="s">
        <v>24</v>
      </c>
      <c r="D2225" s="205"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6" customFormat="1" ht="52" customHeight="1">
      <c r="A2226" s="4" t="s">
        <v>6168</v>
      </c>
      <c r="B2226" s="4" t="s">
        <v>6227</v>
      </c>
      <c r="C2226" s="205" t="s">
        <v>2458</v>
      </c>
      <c r="D2226" s="205"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6" customFormat="1" ht="54" customHeight="1">
      <c r="A2227" s="4" t="s">
        <v>6168</v>
      </c>
      <c r="B2227" s="4" t="s">
        <v>6228</v>
      </c>
      <c r="C2227" s="4" t="s">
        <v>24</v>
      </c>
      <c r="D2227" s="205"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6168</v>
      </c>
      <c r="B2228" s="4" t="s">
        <v>6786</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6" customFormat="1" ht="45.5" customHeight="1">
      <c r="A2229" s="4" t="s">
        <v>6169</v>
      </c>
      <c r="B2229" s="4" t="s">
        <v>6229</v>
      </c>
      <c r="C2229" s="205"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6" customFormat="1" ht="45.5" customHeight="1">
      <c r="A2230" s="4" t="s">
        <v>6169</v>
      </c>
      <c r="B2230" s="4" t="s">
        <v>6787</v>
      </c>
      <c r="C2230" s="205" t="s">
        <v>2458</v>
      </c>
      <c r="D2230" s="205"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6" customFormat="1" ht="45.5" customHeight="1">
      <c r="A2231" s="4" t="s">
        <v>6169</v>
      </c>
      <c r="B2231" s="4" t="s">
        <v>6788</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6" customFormat="1" ht="45.5" customHeight="1">
      <c r="A2232" s="4" t="s">
        <v>6169</v>
      </c>
      <c r="B2232" s="4" t="s">
        <v>6789</v>
      </c>
      <c r="C2232" s="4" t="s">
        <v>24</v>
      </c>
      <c r="D2232" s="205"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6" customFormat="1" ht="45.5" customHeight="1">
      <c r="A2233" s="4" t="s">
        <v>6169</v>
      </c>
      <c r="B2233" s="4" t="s">
        <v>6790</v>
      </c>
      <c r="C2233" s="205" t="s">
        <v>2458</v>
      </c>
      <c r="D2233" s="205"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6" customFormat="1" ht="45.5" customHeight="1">
      <c r="A2234" s="4" t="s">
        <v>6169</v>
      </c>
      <c r="B2234" s="4" t="s">
        <v>6791</v>
      </c>
      <c r="C2234" s="4" t="s">
        <v>24</v>
      </c>
      <c r="D2234" s="205"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6" customFormat="1" ht="45.5" customHeight="1">
      <c r="A2235" s="4" t="s">
        <v>6169</v>
      </c>
      <c r="B2235" s="4" t="s">
        <v>6792</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6170</v>
      </c>
      <c r="B2236" s="4" t="s">
        <v>6230</v>
      </c>
      <c r="C2236" s="205"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6170</v>
      </c>
      <c r="B2237" s="4" t="s">
        <v>6793</v>
      </c>
      <c r="C2237" s="205" t="s">
        <v>2458</v>
      </c>
      <c r="D2237" s="205"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6170</v>
      </c>
      <c r="B2238" s="4" t="s">
        <v>6794</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6170</v>
      </c>
      <c r="B2239" s="4" t="s">
        <v>6795</v>
      </c>
      <c r="C2239" s="4" t="s">
        <v>24</v>
      </c>
      <c r="D2239" s="205"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6170</v>
      </c>
      <c r="B2240" s="4" t="s">
        <v>6796</v>
      </c>
      <c r="C2240" s="205" t="s">
        <v>2458</v>
      </c>
      <c r="D2240" s="205"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6170</v>
      </c>
      <c r="B2241" s="4" t="s">
        <v>6797</v>
      </c>
      <c r="C2241" s="4" t="s">
        <v>24</v>
      </c>
      <c r="D2241" s="205"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6170</v>
      </c>
      <c r="B2242" s="4" t="s">
        <v>6798</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6" customFormat="1" ht="47.5" customHeight="1">
      <c r="A2243" s="4" t="s">
        <v>6171</v>
      </c>
      <c r="B2243" s="4" t="s">
        <v>6231</v>
      </c>
      <c r="C2243" s="205"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6" customFormat="1" ht="47.5" customHeight="1">
      <c r="A2244" s="4" t="s">
        <v>6171</v>
      </c>
      <c r="B2244" s="4" t="s">
        <v>6799</v>
      </c>
      <c r="C2244" s="205" t="s">
        <v>2458</v>
      </c>
      <c r="D2244" s="205"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6" customFormat="1" ht="47.5" customHeight="1">
      <c r="A2245" s="4" t="s">
        <v>6171</v>
      </c>
      <c r="B2245" s="4" t="s">
        <v>6800</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6" customFormat="1" ht="47.5" customHeight="1">
      <c r="A2246" s="4" t="s">
        <v>6171</v>
      </c>
      <c r="B2246" s="4" t="s">
        <v>6801</v>
      </c>
      <c r="C2246" s="4" t="s">
        <v>24</v>
      </c>
      <c r="D2246" s="205"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6" customFormat="1" ht="47.5" customHeight="1">
      <c r="A2247" s="4" t="s">
        <v>6171</v>
      </c>
      <c r="B2247" s="4" t="s">
        <v>6802</v>
      </c>
      <c r="C2247" s="205" t="s">
        <v>2458</v>
      </c>
      <c r="D2247" s="205"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6" customFormat="1" ht="46.5" customHeight="1">
      <c r="A2248" s="4" t="s">
        <v>6171</v>
      </c>
      <c r="B2248" s="4" t="s">
        <v>6803</v>
      </c>
      <c r="C2248" s="4" t="s">
        <v>24</v>
      </c>
      <c r="D2248" s="205"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6" customFormat="1" ht="46.5" customHeight="1">
      <c r="A2249" s="4" t="s">
        <v>6171</v>
      </c>
      <c r="B2249" s="4" t="s">
        <v>6804</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6" customFormat="1" ht="46.5" customHeight="1">
      <c r="A2250" s="4" t="s">
        <v>6172</v>
      </c>
      <c r="B2250" s="4" t="s">
        <v>6232</v>
      </c>
      <c r="C2250" s="205"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6" customFormat="1" ht="46.5" customHeight="1">
      <c r="A2251" s="4" t="s">
        <v>6172</v>
      </c>
      <c r="B2251" s="4" t="s">
        <v>6805</v>
      </c>
      <c r="C2251" s="205" t="s">
        <v>2458</v>
      </c>
      <c r="D2251" s="205"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6" customFormat="1" ht="46.5" customHeight="1">
      <c r="A2252" s="4" t="s">
        <v>6172</v>
      </c>
      <c r="B2252" s="4" t="s">
        <v>6806</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6" customFormat="1" ht="46.5" customHeight="1">
      <c r="A2253" s="4" t="s">
        <v>6172</v>
      </c>
      <c r="B2253" s="4" t="s">
        <v>6807</v>
      </c>
      <c r="C2253" s="4" t="s">
        <v>24</v>
      </c>
      <c r="D2253" s="205"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6" customFormat="1" ht="46.5" customHeight="1">
      <c r="A2254" s="4" t="s">
        <v>6172</v>
      </c>
      <c r="B2254" s="4" t="s">
        <v>6808</v>
      </c>
      <c r="C2254" s="205" t="s">
        <v>2458</v>
      </c>
      <c r="D2254" s="205"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6" customFormat="1" ht="46.5" customHeight="1">
      <c r="A2255" s="4" t="s">
        <v>6172</v>
      </c>
      <c r="B2255" s="4" t="s">
        <v>6809</v>
      </c>
      <c r="C2255" s="4" t="s">
        <v>24</v>
      </c>
      <c r="D2255" s="205"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6" customFormat="1" ht="46.5" customHeight="1">
      <c r="A2256" s="4" t="s">
        <v>6172</v>
      </c>
      <c r="B2256" s="4" t="s">
        <v>6810</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6173</v>
      </c>
      <c r="B2257" s="4" t="s">
        <v>6233</v>
      </c>
      <c r="C2257" s="205"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6173</v>
      </c>
      <c r="B2258" s="4" t="s">
        <v>6811</v>
      </c>
      <c r="C2258" s="205" t="s">
        <v>2458</v>
      </c>
      <c r="D2258" s="205"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6173</v>
      </c>
      <c r="B2259" s="4" t="s">
        <v>6812</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6173</v>
      </c>
      <c r="B2260" s="4" t="s">
        <v>6813</v>
      </c>
      <c r="C2260" s="4" t="s">
        <v>24</v>
      </c>
      <c r="D2260" s="205"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6173</v>
      </c>
      <c r="B2261" s="4" t="s">
        <v>6814</v>
      </c>
      <c r="C2261" s="205" t="s">
        <v>2458</v>
      </c>
      <c r="D2261" s="205"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6" customFormat="1" ht="46.5" customHeight="1">
      <c r="A2262" s="4" t="s">
        <v>6173</v>
      </c>
      <c r="B2262" s="4" t="s">
        <v>6815</v>
      </c>
      <c r="C2262" s="4" t="s">
        <v>24</v>
      </c>
      <c r="D2262" s="205"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6173</v>
      </c>
      <c r="B2263" s="4" t="s">
        <v>6816</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6" customFormat="1" ht="46.5" customHeight="1">
      <c r="A2264" s="4" t="s">
        <v>6174</v>
      </c>
      <c r="B2264" s="4" t="s">
        <v>6234</v>
      </c>
      <c r="C2264" s="205"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6" customFormat="1" ht="46.5" customHeight="1">
      <c r="A2265" s="4" t="s">
        <v>6174</v>
      </c>
      <c r="B2265" s="4" t="s">
        <v>6817</v>
      </c>
      <c r="C2265" s="205" t="s">
        <v>2458</v>
      </c>
      <c r="D2265" s="205"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6" customFormat="1" ht="46.5" customHeight="1">
      <c r="A2266" s="4" t="s">
        <v>6174</v>
      </c>
      <c r="B2266" s="4" t="s">
        <v>6818</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6" customFormat="1" ht="46.5" customHeight="1">
      <c r="A2267" s="4" t="s">
        <v>6174</v>
      </c>
      <c r="B2267" s="4" t="s">
        <v>6819</v>
      </c>
      <c r="C2267" s="4" t="s">
        <v>24</v>
      </c>
      <c r="D2267" s="205"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6" customFormat="1" ht="46.5" customHeight="1">
      <c r="A2268" s="4" t="s">
        <v>6174</v>
      </c>
      <c r="B2268" s="4" t="s">
        <v>6820</v>
      </c>
      <c r="C2268" s="205" t="s">
        <v>2458</v>
      </c>
      <c r="D2268" s="205"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6" customFormat="1" ht="46.5" customHeight="1">
      <c r="A2269" s="4" t="s">
        <v>6174</v>
      </c>
      <c r="B2269" s="4" t="s">
        <v>6821</v>
      </c>
      <c r="C2269" s="4" t="s">
        <v>24</v>
      </c>
      <c r="D2269" s="205"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6" customFormat="1" ht="46.5" customHeight="1">
      <c r="A2270" s="4" t="s">
        <v>6174</v>
      </c>
      <c r="B2270" s="4" t="s">
        <v>6822</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6" customFormat="1" ht="46.5" customHeight="1">
      <c r="A2271" s="4" t="s">
        <v>6175</v>
      </c>
      <c r="B2271" s="4" t="s">
        <v>6235</v>
      </c>
      <c r="C2271" s="205"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6" customFormat="1" ht="46.5" customHeight="1">
      <c r="A2272" s="4" t="s">
        <v>6175</v>
      </c>
      <c r="B2272" s="4" t="s">
        <v>6823</v>
      </c>
      <c r="C2272" s="205" t="s">
        <v>2458</v>
      </c>
      <c r="D2272" s="205"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6" customFormat="1" ht="46.5" customHeight="1">
      <c r="A2273" s="4" t="s">
        <v>6175</v>
      </c>
      <c r="B2273" s="4" t="s">
        <v>6824</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6" customFormat="1" ht="46.5" customHeight="1">
      <c r="A2274" s="4" t="s">
        <v>6175</v>
      </c>
      <c r="B2274" s="4" t="s">
        <v>6825</v>
      </c>
      <c r="C2274" s="4" t="s">
        <v>24</v>
      </c>
      <c r="D2274" s="205"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6" customFormat="1" ht="46.5" customHeight="1">
      <c r="A2275" s="4" t="s">
        <v>6175</v>
      </c>
      <c r="B2275" s="4" t="s">
        <v>6826</v>
      </c>
      <c r="C2275" s="205" t="s">
        <v>2458</v>
      </c>
      <c r="D2275" s="205"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6" customFormat="1" ht="46.5" customHeight="1">
      <c r="A2276" s="4" t="s">
        <v>6175</v>
      </c>
      <c r="B2276" s="4" t="s">
        <v>6827</v>
      </c>
      <c r="C2276" s="4" t="s">
        <v>24</v>
      </c>
      <c r="D2276" s="205"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6" customFormat="1" ht="46.5" customHeight="1">
      <c r="A2277" s="4" t="s">
        <v>6175</v>
      </c>
      <c r="B2277" s="4" t="s">
        <v>6828</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6" customFormat="1" ht="46.5" customHeight="1">
      <c r="A2278" s="4" t="s">
        <v>6176</v>
      </c>
      <c r="B2278" s="4" t="s">
        <v>6236</v>
      </c>
      <c r="C2278" s="205"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6" customFormat="1" ht="46.5" customHeight="1">
      <c r="A2279" s="4" t="s">
        <v>6176</v>
      </c>
      <c r="B2279" s="4" t="s">
        <v>6829</v>
      </c>
      <c r="C2279" s="205" t="s">
        <v>2458</v>
      </c>
      <c r="D2279" s="205"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6" customFormat="1" ht="46.5" customHeight="1">
      <c r="A2280" s="4" t="s">
        <v>6176</v>
      </c>
      <c r="B2280" s="4" t="s">
        <v>6830</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6" customFormat="1" ht="46.5" customHeight="1">
      <c r="A2281" s="4" t="s">
        <v>6176</v>
      </c>
      <c r="B2281" s="4" t="s">
        <v>6831</v>
      </c>
      <c r="C2281" s="4" t="s">
        <v>24</v>
      </c>
      <c r="D2281" s="205"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6" customFormat="1" ht="46.5" customHeight="1">
      <c r="A2282" s="4" t="s">
        <v>6176</v>
      </c>
      <c r="B2282" s="4" t="s">
        <v>6832</v>
      </c>
      <c r="C2282" s="205" t="s">
        <v>2458</v>
      </c>
      <c r="D2282" s="205"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6" customFormat="1" ht="46.5" customHeight="1">
      <c r="A2283" s="4" t="s">
        <v>6176</v>
      </c>
      <c r="B2283" s="4" t="s">
        <v>6833</v>
      </c>
      <c r="C2283" s="4" t="s">
        <v>24</v>
      </c>
      <c r="D2283" s="205"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6" customFormat="1" ht="49" customHeight="1">
      <c r="A2284" s="4" t="s">
        <v>6176</v>
      </c>
      <c r="B2284" s="4" t="s">
        <v>6834</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6" customFormat="1" ht="49" customHeight="1">
      <c r="A2285" s="4" t="s">
        <v>6177</v>
      </c>
      <c r="B2285" s="4" t="s">
        <v>6237</v>
      </c>
      <c r="C2285" s="205"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6" customFormat="1" ht="49" customHeight="1">
      <c r="A2286" s="4" t="s">
        <v>6177</v>
      </c>
      <c r="B2286" s="4" t="s">
        <v>6835</v>
      </c>
      <c r="C2286" s="205" t="s">
        <v>2458</v>
      </c>
      <c r="D2286" s="205"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6" customFormat="1" ht="49" customHeight="1">
      <c r="A2287" s="4" t="s">
        <v>6177</v>
      </c>
      <c r="B2287" s="4" t="s">
        <v>6836</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6" customFormat="1" ht="49" customHeight="1">
      <c r="A2288" s="4" t="s">
        <v>6177</v>
      </c>
      <c r="B2288" s="4" t="s">
        <v>6837</v>
      </c>
      <c r="C2288" s="4" t="s">
        <v>24</v>
      </c>
      <c r="D2288" s="205"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6" customFormat="1" ht="49" customHeight="1">
      <c r="A2289" s="4" t="s">
        <v>6177</v>
      </c>
      <c r="B2289" s="4" t="s">
        <v>6838</v>
      </c>
      <c r="C2289" s="205" t="s">
        <v>2458</v>
      </c>
      <c r="D2289" s="205"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6" customFormat="1" ht="49" customHeight="1">
      <c r="A2290" s="4" t="s">
        <v>6177</v>
      </c>
      <c r="B2290" s="4" t="s">
        <v>6839</v>
      </c>
      <c r="C2290" s="4" t="s">
        <v>24</v>
      </c>
      <c r="D2290" s="205"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6" customFormat="1" ht="49" customHeight="1">
      <c r="A2291" s="4" t="s">
        <v>6177</v>
      </c>
      <c r="B2291" s="4" t="s">
        <v>6840</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6" customFormat="1" ht="49" customHeight="1">
      <c r="A2292" s="4" t="s">
        <v>6178</v>
      </c>
      <c r="B2292" s="4" t="s">
        <v>6238</v>
      </c>
      <c r="C2292" s="205"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6" customFormat="1" ht="49" customHeight="1">
      <c r="A2293" s="4" t="s">
        <v>6178</v>
      </c>
      <c r="B2293" s="4" t="s">
        <v>6841</v>
      </c>
      <c r="C2293" s="205" t="s">
        <v>2458</v>
      </c>
      <c r="D2293" s="205"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6" customFormat="1" ht="49" customHeight="1">
      <c r="A2294" s="4" t="s">
        <v>6178</v>
      </c>
      <c r="B2294" s="4" t="s">
        <v>6842</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6" customFormat="1" ht="49" customHeight="1">
      <c r="A2295" s="4" t="s">
        <v>6178</v>
      </c>
      <c r="B2295" s="4" t="s">
        <v>6843</v>
      </c>
      <c r="C2295" s="4" t="s">
        <v>24</v>
      </c>
      <c r="D2295" s="205"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6" customFormat="1" ht="49" customHeight="1">
      <c r="A2296" s="4" t="s">
        <v>6178</v>
      </c>
      <c r="B2296" s="4" t="s">
        <v>6844</v>
      </c>
      <c r="C2296" s="205" t="s">
        <v>2458</v>
      </c>
      <c r="D2296" s="205"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6" customFormat="1" ht="49" customHeight="1">
      <c r="A2297" s="4" t="s">
        <v>6178</v>
      </c>
      <c r="B2297" s="4" t="s">
        <v>6845</v>
      </c>
      <c r="C2297" s="4" t="s">
        <v>24</v>
      </c>
      <c r="D2297" s="205"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6" customFormat="1" ht="51" customHeight="1">
      <c r="A2298" s="4" t="s">
        <v>6178</v>
      </c>
      <c r="B2298" s="4" t="s">
        <v>6846</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6" customFormat="1" ht="46.5" customHeight="1">
      <c r="A2299" s="4" t="s">
        <v>6179</v>
      </c>
      <c r="B2299" s="4" t="s">
        <v>6239</v>
      </c>
      <c r="C2299" s="205"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6" customFormat="1" ht="46.5" customHeight="1">
      <c r="A2300" s="4" t="s">
        <v>6179</v>
      </c>
      <c r="B2300" s="4" t="s">
        <v>6847</v>
      </c>
      <c r="C2300" s="205" t="s">
        <v>2458</v>
      </c>
      <c r="D2300" s="205"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6" customFormat="1" ht="46.5" customHeight="1">
      <c r="A2301" s="4" t="s">
        <v>6179</v>
      </c>
      <c r="B2301" s="4" t="s">
        <v>6848</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6" customFormat="1" ht="46.5" customHeight="1">
      <c r="A2302" s="4" t="s">
        <v>6179</v>
      </c>
      <c r="B2302" s="4" t="s">
        <v>6849</v>
      </c>
      <c r="C2302" s="4" t="s">
        <v>24</v>
      </c>
      <c r="D2302" s="205"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6" customFormat="1" ht="46.5" customHeight="1">
      <c r="A2303" s="4" t="s">
        <v>6179</v>
      </c>
      <c r="B2303" s="4" t="s">
        <v>6850</v>
      </c>
      <c r="C2303" s="205" t="s">
        <v>2458</v>
      </c>
      <c r="D2303" s="205"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6" customFormat="1" ht="46.5" customHeight="1">
      <c r="A2304" s="4" t="s">
        <v>6179</v>
      </c>
      <c r="B2304" s="4" t="s">
        <v>6851</v>
      </c>
      <c r="C2304" s="4" t="s">
        <v>24</v>
      </c>
      <c r="D2304" s="205"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6" customFormat="1" ht="46.5" customHeight="1">
      <c r="A2305" s="4" t="s">
        <v>6179</v>
      </c>
      <c r="B2305" s="4" t="s">
        <v>6852</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6" customFormat="1" ht="46.5" customHeight="1">
      <c r="A2306" s="4" t="s">
        <v>6180</v>
      </c>
      <c r="B2306" s="4" t="s">
        <v>6240</v>
      </c>
      <c r="C2306" s="4" t="s">
        <v>24</v>
      </c>
      <c r="D2306" s="205"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6" customFormat="1" ht="46.5" customHeight="1">
      <c r="A2307" s="4" t="s">
        <v>6180</v>
      </c>
      <c r="B2307" s="4" t="s">
        <v>6263</v>
      </c>
      <c r="C2307" s="4" t="s">
        <v>24</v>
      </c>
      <c r="D2307" s="205"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6" customFormat="1" ht="46.5" customHeight="1">
      <c r="A2308" s="4" t="s">
        <v>6180</v>
      </c>
      <c r="B2308" s="4" t="s">
        <v>6264</v>
      </c>
      <c r="C2308" s="4" t="s">
        <v>24</v>
      </c>
      <c r="D2308" s="205"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6182</v>
      </c>
      <c r="B2309" s="4" t="s">
        <v>6243</v>
      </c>
      <c r="C2309" s="4" t="s">
        <v>1105</v>
      </c>
      <c r="D2309" s="4" t="s">
        <v>1105</v>
      </c>
      <c r="E2309" s="4" t="s">
        <v>1105</v>
      </c>
      <c r="F2309" s="4" t="s">
        <v>2276</v>
      </c>
      <c r="G2309" s="4" t="s">
        <v>2276</v>
      </c>
      <c r="H2309" s="4" t="s">
        <v>523</v>
      </c>
      <c r="I2309" s="4"/>
      <c r="J2309" s="82">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6182</v>
      </c>
      <c r="B2310" s="4" t="s">
        <v>6244</v>
      </c>
      <c r="C2310" s="4" t="s">
        <v>1105</v>
      </c>
      <c r="D2310" s="4" t="s">
        <v>1105</v>
      </c>
      <c r="E2310" s="4" t="s">
        <v>5801</v>
      </c>
      <c r="F2310" s="4" t="s">
        <v>2276</v>
      </c>
      <c r="G2310" s="4" t="s">
        <v>2276</v>
      </c>
      <c r="H2310" s="4" t="s">
        <v>523</v>
      </c>
      <c r="I2310" s="4"/>
      <c r="J2310" s="82">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6861</v>
      </c>
      <c r="AD2310" s="4"/>
    </row>
    <row r="2311" spans="1:30" s="206" customFormat="1" ht="48" customHeight="1">
      <c r="A2311" s="4" t="s">
        <v>6182</v>
      </c>
      <c r="B2311" s="4" t="s">
        <v>6862</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6864</v>
      </c>
      <c r="AD2311" s="4"/>
    </row>
    <row r="2312" spans="1:30" s="206" customFormat="1" ht="48" customHeight="1">
      <c r="A2312" s="4" t="s">
        <v>6182</v>
      </c>
      <c r="B2312" s="4" t="s">
        <v>6863</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6864</v>
      </c>
      <c r="AD2312" s="4"/>
    </row>
    <row r="2313" spans="1:30" s="60" customFormat="1" ht="65.5" customHeight="1">
      <c r="A2313" s="4" t="s">
        <v>6183</v>
      </c>
      <c r="B2313" s="4" t="s">
        <v>6245</v>
      </c>
      <c r="C2313" s="4" t="s">
        <v>1105</v>
      </c>
      <c r="D2313" s="4" t="s">
        <v>2276</v>
      </c>
      <c r="E2313" s="4" t="s">
        <v>2276</v>
      </c>
      <c r="F2313" s="4" t="s">
        <v>2276</v>
      </c>
      <c r="G2313" s="4" t="s">
        <v>2276</v>
      </c>
      <c r="H2313" s="4" t="s">
        <v>523</v>
      </c>
      <c r="I2313" s="4"/>
      <c r="J2313" s="75">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6" customFormat="1" ht="65.5" customHeight="1">
      <c r="A2314" s="4" t="s">
        <v>6183</v>
      </c>
      <c r="B2314" s="4" t="s">
        <v>6865</v>
      </c>
      <c r="C2314" s="205"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6867</v>
      </c>
    </row>
    <row r="2315" spans="1:30" s="206" customFormat="1" ht="65.5" customHeight="1">
      <c r="A2315" s="4" t="s">
        <v>6183</v>
      </c>
      <c r="B2315" s="4" t="s">
        <v>6866</v>
      </c>
      <c r="C2315" s="205"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6" customFormat="1" ht="65.5" customHeight="1">
      <c r="A2316" s="4" t="s">
        <v>6184</v>
      </c>
      <c r="B2316" s="4" t="s">
        <v>6246</v>
      </c>
      <c r="C2316" s="205" t="s">
        <v>1105</v>
      </c>
      <c r="D2316" s="4" t="s">
        <v>2276</v>
      </c>
      <c r="E2316" s="4" t="s">
        <v>2276</v>
      </c>
      <c r="F2316" s="4" t="s">
        <v>2276</v>
      </c>
      <c r="G2316" s="4" t="s">
        <v>74</v>
      </c>
      <c r="H2316" s="4" t="s">
        <v>523</v>
      </c>
      <c r="I2316" s="4"/>
      <c r="J2316" s="75">
        <f>177365/19/SUM('Record info'!$K990)</f>
        <v>0.32069119516300798</v>
      </c>
      <c r="K2316" s="4" t="s">
        <v>2276</v>
      </c>
      <c r="L2316" s="4" t="s">
        <v>2276</v>
      </c>
      <c r="M2316" s="4" t="s">
        <v>2276</v>
      </c>
      <c r="N2316" s="4" t="s">
        <v>2276</v>
      </c>
      <c r="O2316" s="4" t="s">
        <v>2276</v>
      </c>
      <c r="P2316" s="75">
        <f>797595/177365</f>
        <v>4.4969131452090325</v>
      </c>
      <c r="Q2316" s="4" t="s">
        <v>2276</v>
      </c>
      <c r="R2316" s="4" t="s">
        <v>2276</v>
      </c>
      <c r="S2316" s="4" t="s">
        <v>2276</v>
      </c>
      <c r="T2316" s="75">
        <f>797595/19</f>
        <v>41978.684210526313</v>
      </c>
      <c r="U2316" s="4" t="s">
        <v>2276</v>
      </c>
      <c r="V2316" s="75">
        <f>16129/41154*100/19</f>
        <v>2.0627271634400186</v>
      </c>
      <c r="W2316" s="4" t="s">
        <v>2276</v>
      </c>
      <c r="X2316" s="75">
        <f>797595/'Record info'!K990/19</f>
        <v>1.4421204510813259</v>
      </c>
      <c r="Y2316" s="4" t="s">
        <v>2276</v>
      </c>
      <c r="Z2316" s="4" t="s">
        <v>2276</v>
      </c>
      <c r="AA2316" s="4" t="s">
        <v>2276</v>
      </c>
      <c r="AB2316" s="4" t="s">
        <v>2276</v>
      </c>
      <c r="AC2316" s="4"/>
      <c r="AD2316" s="4"/>
    </row>
    <row r="2317" spans="1:30" s="206" customFormat="1" ht="65.5" customHeight="1">
      <c r="A2317" s="4" t="s">
        <v>6184</v>
      </c>
      <c r="B2317" s="4" t="s">
        <v>6976</v>
      </c>
      <c r="C2317" s="205" t="s">
        <v>24</v>
      </c>
      <c r="D2317" s="4" t="s">
        <v>2276</v>
      </c>
      <c r="E2317" s="4" t="s">
        <v>2276</v>
      </c>
      <c r="F2317" s="4" t="s">
        <v>2276</v>
      </c>
      <c r="G2317" s="4" t="s">
        <v>74</v>
      </c>
      <c r="H2317" s="4" t="s">
        <v>523</v>
      </c>
      <c r="I2317" s="4"/>
      <c r="J2317" s="75">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6" customFormat="1" ht="65.5" customHeight="1">
      <c r="A2318" s="4" t="s">
        <v>6184</v>
      </c>
      <c r="B2318" s="4" t="s">
        <v>6977</v>
      </c>
      <c r="C2318" s="205" t="s">
        <v>31</v>
      </c>
      <c r="D2318" s="4" t="s">
        <v>2276</v>
      </c>
      <c r="E2318" s="4" t="s">
        <v>2276</v>
      </c>
      <c r="F2318" s="4" t="s">
        <v>2276</v>
      </c>
      <c r="G2318" s="4" t="s">
        <v>74</v>
      </c>
      <c r="H2318" s="4" t="s">
        <v>523</v>
      </c>
      <c r="I2318" s="4"/>
      <c r="J2318" s="75">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6" customFormat="1" ht="65.5" customHeight="1">
      <c r="A2319" s="4" t="s">
        <v>6184</v>
      </c>
      <c r="B2319" s="4" t="s">
        <v>6978</v>
      </c>
      <c r="C2319" s="205" t="s">
        <v>2658</v>
      </c>
      <c r="D2319" s="4" t="s">
        <v>2276</v>
      </c>
      <c r="E2319" s="4" t="s">
        <v>2276</v>
      </c>
      <c r="F2319" s="4" t="s">
        <v>2276</v>
      </c>
      <c r="G2319" s="4" t="s">
        <v>74</v>
      </c>
      <c r="H2319" s="4" t="s">
        <v>523</v>
      </c>
      <c r="I2319" s="4"/>
      <c r="J2319" s="75">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6" customFormat="1" ht="65.5" customHeight="1">
      <c r="A2320" s="4" t="s">
        <v>6184</v>
      </c>
      <c r="B2320" s="4" t="s">
        <v>6979</v>
      </c>
      <c r="C2320" s="205" t="s">
        <v>2656</v>
      </c>
      <c r="D2320" s="4" t="s">
        <v>2276</v>
      </c>
      <c r="E2320" s="4" t="s">
        <v>2276</v>
      </c>
      <c r="F2320" s="4" t="s">
        <v>2276</v>
      </c>
      <c r="G2320" s="4" t="s">
        <v>74</v>
      </c>
      <c r="H2320" s="4" t="s">
        <v>523</v>
      </c>
      <c r="I2320" s="4"/>
      <c r="J2320" s="75">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6" customFormat="1" ht="65.5" customHeight="1">
      <c r="A2321" s="4" t="s">
        <v>6184</v>
      </c>
      <c r="B2321" s="4" t="s">
        <v>6980</v>
      </c>
      <c r="C2321" s="205"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6" customFormat="1" ht="65.5" customHeight="1">
      <c r="A2322" s="4" t="s">
        <v>6184</v>
      </c>
      <c r="B2322" s="4" t="s">
        <v>6981</v>
      </c>
      <c r="C2322" s="205"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6" customFormat="1" ht="65.5" customHeight="1">
      <c r="A2323" s="4" t="s">
        <v>6184</v>
      </c>
      <c r="B2323" s="4" t="s">
        <v>6982</v>
      </c>
      <c r="C2323" s="205"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6987</v>
      </c>
      <c r="AD2323" s="4"/>
    </row>
    <row r="2324" spans="1:30" s="206" customFormat="1" ht="65.5" customHeight="1">
      <c r="A2324" s="4" t="s">
        <v>6184</v>
      </c>
      <c r="B2324" s="4" t="s">
        <v>6983</v>
      </c>
      <c r="C2324" s="205"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6987</v>
      </c>
      <c r="AD2324" s="4"/>
    </row>
    <row r="2325" spans="1:30" s="206" customFormat="1" ht="65.5" customHeight="1">
      <c r="A2325" s="4" t="s">
        <v>6184</v>
      </c>
      <c r="B2325" s="4" t="s">
        <v>6984</v>
      </c>
      <c r="C2325" s="205"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D2325" s="4"/>
    </row>
    <row r="2326" spans="1:30" s="206" customFormat="1" ht="65.5" customHeight="1">
      <c r="A2326" s="4" t="s">
        <v>6184</v>
      </c>
      <c r="B2326" s="4" t="s">
        <v>6985</v>
      </c>
      <c r="C2326" s="205"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6" customFormat="1" ht="65.5" customHeight="1">
      <c r="A2327" s="4" t="s">
        <v>6184</v>
      </c>
      <c r="B2327" s="4" t="s">
        <v>6998</v>
      </c>
      <c r="C2327" s="205"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6986</v>
      </c>
      <c r="AD2327" s="4"/>
    </row>
    <row r="2328" spans="1:30" s="206" customFormat="1" ht="65.5" customHeight="1">
      <c r="A2328" s="4" t="s">
        <v>6184</v>
      </c>
      <c r="B2328" s="4" t="s">
        <v>6999</v>
      </c>
      <c r="C2328" s="205"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6185</v>
      </c>
      <c r="B2329" s="4" t="s">
        <v>6247</v>
      </c>
      <c r="C2329" s="4" t="s">
        <v>1105</v>
      </c>
      <c r="D2329" s="4" t="s">
        <v>1105</v>
      </c>
      <c r="E2329" s="4" t="s">
        <v>1105</v>
      </c>
      <c r="F2329" s="4" t="s">
        <v>2276</v>
      </c>
      <c r="G2329" s="4" t="s">
        <v>74</v>
      </c>
      <c r="H2329" s="4" t="s">
        <v>523</v>
      </c>
      <c r="I2329" s="4"/>
      <c r="J2329" s="75">
        <f>31348.8/19/'Record info'!$K$991</f>
        <v>0.49281267685342389</v>
      </c>
      <c r="K2329" s="4" t="s">
        <v>2276</v>
      </c>
      <c r="L2329" s="4" t="s">
        <v>2276</v>
      </c>
      <c r="M2329" s="4" t="s">
        <v>2276</v>
      </c>
      <c r="N2329" s="4" t="s">
        <v>2276</v>
      </c>
      <c r="O2329" s="4" t="s">
        <v>2276</v>
      </c>
      <c r="P2329" s="75">
        <v>2.8730000000000002</v>
      </c>
      <c r="Q2329" s="4" t="s">
        <v>2276</v>
      </c>
      <c r="R2329" s="4" t="s">
        <v>2276</v>
      </c>
      <c r="S2329" s="4" t="s">
        <v>2276</v>
      </c>
      <c r="T2329" s="75">
        <f>90072/19</f>
        <v>4740.6315789473683</v>
      </c>
      <c r="U2329" s="4" t="s">
        <v>2276</v>
      </c>
      <c r="V2329" s="75">
        <f>2502/3594*100/19</f>
        <v>3.6640014058518586</v>
      </c>
      <c r="W2329" s="4" t="s">
        <v>2276</v>
      </c>
      <c r="X2329" s="4" t="s">
        <v>2276</v>
      </c>
      <c r="Y2329" s="4" t="s">
        <v>2276</v>
      </c>
      <c r="Z2329" s="4" t="s">
        <v>2276</v>
      </c>
      <c r="AA2329" s="4" t="s">
        <v>2276</v>
      </c>
      <c r="AB2329" s="4" t="s">
        <v>2276</v>
      </c>
      <c r="AC2329" s="4" t="s">
        <v>6989</v>
      </c>
      <c r="AD2329" s="4"/>
    </row>
    <row r="2330" spans="1:30" s="206" customFormat="1" ht="53" customHeight="1">
      <c r="A2330" s="4" t="s">
        <v>6185</v>
      </c>
      <c r="B2330" s="4" t="s">
        <v>6990</v>
      </c>
      <c r="C2330" s="205" t="s">
        <v>24</v>
      </c>
      <c r="D2330" s="4" t="s">
        <v>2276</v>
      </c>
      <c r="E2330" s="4" t="s">
        <v>2649</v>
      </c>
      <c r="F2330" s="4" t="s">
        <v>74</v>
      </c>
      <c r="G2330" s="4" t="s">
        <v>74</v>
      </c>
      <c r="H2330" s="4" t="s">
        <v>523</v>
      </c>
      <c r="I2330" s="4"/>
      <c r="J2330" s="75">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6" customFormat="1" ht="51.5" customHeight="1">
      <c r="A2331" s="4" t="s">
        <v>6185</v>
      </c>
      <c r="B2331" s="4" t="s">
        <v>6991</v>
      </c>
      <c r="C2331" s="205" t="s">
        <v>24</v>
      </c>
      <c r="D2331" s="4" t="s">
        <v>2276</v>
      </c>
      <c r="E2331" s="4" t="s">
        <v>3855</v>
      </c>
      <c r="F2331" s="4" t="s">
        <v>74</v>
      </c>
      <c r="G2331" s="4" t="s">
        <v>74</v>
      </c>
      <c r="H2331" s="4" t="s">
        <v>523</v>
      </c>
      <c r="I2331" s="4"/>
      <c r="J2331" s="75">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6" customFormat="1" ht="48" customHeight="1">
      <c r="A2332" s="4" t="s">
        <v>6185</v>
      </c>
      <c r="B2332" s="4" t="s">
        <v>6992</v>
      </c>
      <c r="C2332" s="205" t="s">
        <v>2458</v>
      </c>
      <c r="D2332" s="4" t="s">
        <v>2276</v>
      </c>
      <c r="E2332" s="4" t="s">
        <v>3855</v>
      </c>
      <c r="F2332" s="4" t="s">
        <v>2276</v>
      </c>
      <c r="G2332" s="4" t="s">
        <v>74</v>
      </c>
      <c r="H2332" s="4" t="s">
        <v>523</v>
      </c>
      <c r="I2332" s="4"/>
      <c r="J2332" s="75">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6" customFormat="1" ht="46.5" customHeight="1">
      <c r="A2333" s="4" t="s">
        <v>6185</v>
      </c>
      <c r="B2333" s="4" t="s">
        <v>6993</v>
      </c>
      <c r="C2333" s="205" t="s">
        <v>2458</v>
      </c>
      <c r="D2333" s="4" t="s">
        <v>2276</v>
      </c>
      <c r="E2333" s="4" t="s">
        <v>2649</v>
      </c>
      <c r="F2333" s="4" t="s">
        <v>2662</v>
      </c>
      <c r="G2333" s="4" t="s">
        <v>74</v>
      </c>
      <c r="H2333" s="4" t="s">
        <v>523</v>
      </c>
      <c r="I2333" s="4"/>
      <c r="J2333" s="75">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6" customFormat="1" ht="49" customHeight="1">
      <c r="A2334" s="4" t="s">
        <v>6185</v>
      </c>
      <c r="B2334" s="4" t="s">
        <v>6994</v>
      </c>
      <c r="C2334" s="205" t="s">
        <v>24</v>
      </c>
      <c r="D2334" s="4" t="s">
        <v>2346</v>
      </c>
      <c r="E2334" s="4" t="s">
        <v>3855</v>
      </c>
      <c r="F2334" s="4" t="s">
        <v>2663</v>
      </c>
      <c r="G2334" s="4" t="s">
        <v>2663</v>
      </c>
      <c r="H2334" s="4" t="s">
        <v>523</v>
      </c>
      <c r="I2334" s="4"/>
      <c r="J2334" s="75">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6" customFormat="1" ht="49" customHeight="1">
      <c r="A2335" s="4" t="s">
        <v>6185</v>
      </c>
      <c r="B2335" s="4" t="s">
        <v>6995</v>
      </c>
      <c r="C2335" s="205" t="s">
        <v>31</v>
      </c>
      <c r="D2335" s="4" t="s">
        <v>30</v>
      </c>
      <c r="E2335" s="4" t="s">
        <v>2276</v>
      </c>
      <c r="F2335" s="4" t="s">
        <v>2276</v>
      </c>
      <c r="G2335" s="4" t="s">
        <v>74</v>
      </c>
      <c r="H2335" s="4" t="s">
        <v>523</v>
      </c>
      <c r="I2335" s="4"/>
      <c r="J2335" s="75">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6" customFormat="1" ht="49" customHeight="1">
      <c r="A2336" s="4" t="s">
        <v>6185</v>
      </c>
      <c r="B2336" s="4" t="s">
        <v>6996</v>
      </c>
      <c r="C2336" s="205" t="s">
        <v>2656</v>
      </c>
      <c r="D2336" s="4" t="s">
        <v>2276</v>
      </c>
      <c r="E2336" s="4" t="s">
        <v>3855</v>
      </c>
      <c r="F2336" s="4" t="s">
        <v>2276</v>
      </c>
      <c r="G2336" s="4" t="s">
        <v>74</v>
      </c>
      <c r="H2336" s="4" t="s">
        <v>523</v>
      </c>
      <c r="I2336" s="4"/>
      <c r="J2336" s="75">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D2336" s="4"/>
    </row>
    <row r="2337" spans="1:30" s="206" customFormat="1" ht="49" customHeight="1">
      <c r="A2337" s="4" t="s">
        <v>6185</v>
      </c>
      <c r="B2337" s="4" t="s">
        <v>6997</v>
      </c>
      <c r="C2337" s="205" t="s">
        <v>2658</v>
      </c>
      <c r="D2337" s="4" t="s">
        <v>2276</v>
      </c>
      <c r="E2337" s="4" t="s">
        <v>2276</v>
      </c>
      <c r="F2337" s="4" t="s">
        <v>2276</v>
      </c>
      <c r="G2337" s="4" t="s">
        <v>74</v>
      </c>
      <c r="H2337" s="4" t="s">
        <v>523</v>
      </c>
      <c r="I2337" s="4"/>
      <c r="J2337" s="75">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6" customFormat="1" ht="49" customHeight="1">
      <c r="A2338" s="4" t="s">
        <v>6186</v>
      </c>
      <c r="B2338" s="4" t="s">
        <v>6248</v>
      </c>
      <c r="C2338" s="4" t="s">
        <v>1105</v>
      </c>
      <c r="D2338" s="4" t="s">
        <v>1105</v>
      </c>
      <c r="E2338" s="4" t="s">
        <v>1105</v>
      </c>
      <c r="F2338" s="4" t="s">
        <v>2276</v>
      </c>
      <c r="G2338" s="4" t="s">
        <v>74</v>
      </c>
      <c r="H2338" s="4" t="s">
        <v>523</v>
      </c>
      <c r="I2338" s="4"/>
      <c r="J2338" s="75">
        <f>29666.6/19/'Record info'!$K$992</f>
        <v>0.45376344086021503</v>
      </c>
      <c r="K2338" s="4" t="s">
        <v>2276</v>
      </c>
      <c r="L2338" s="4" t="s">
        <v>2276</v>
      </c>
      <c r="M2338" s="4" t="s">
        <v>2276</v>
      </c>
      <c r="N2338" s="4" t="s">
        <v>2276</v>
      </c>
      <c r="O2338" s="4" t="s">
        <v>2276</v>
      </c>
      <c r="P2338" s="75">
        <v>4.4287850000000004</v>
      </c>
      <c r="Q2338" s="4" t="s">
        <v>2276</v>
      </c>
      <c r="R2338" s="4" t="s">
        <v>2276</v>
      </c>
      <c r="S2338" s="4" t="s">
        <v>2276</v>
      </c>
      <c r="T2338" s="75">
        <v>131387</v>
      </c>
      <c r="U2338" s="4" t="s">
        <v>2276</v>
      </c>
      <c r="V2338" s="75">
        <f>3551/7577*100/19</f>
        <v>2.4666060029313086</v>
      </c>
      <c r="W2338" s="4" t="s">
        <v>2276</v>
      </c>
      <c r="X2338" s="4" t="s">
        <v>2276</v>
      </c>
      <c r="Y2338" s="4" t="s">
        <v>2276</v>
      </c>
      <c r="Z2338" s="4" t="s">
        <v>2276</v>
      </c>
      <c r="AA2338" s="4" t="s">
        <v>2276</v>
      </c>
      <c r="AB2338" s="4" t="s">
        <v>2276</v>
      </c>
      <c r="AC2338" s="4"/>
      <c r="AD2338" s="4"/>
    </row>
    <row r="2339" spans="1:30" s="206" customFormat="1" ht="49" customHeight="1">
      <c r="A2339" s="4" t="s">
        <v>6186</v>
      </c>
      <c r="B2339" s="4" t="s">
        <v>7001</v>
      </c>
      <c r="C2339" s="205" t="s">
        <v>24</v>
      </c>
      <c r="D2339" s="4" t="s">
        <v>2276</v>
      </c>
      <c r="E2339" s="4" t="s">
        <v>2649</v>
      </c>
      <c r="F2339" s="4" t="s">
        <v>74</v>
      </c>
      <c r="G2339" s="4" t="s">
        <v>74</v>
      </c>
      <c r="H2339" s="4" t="s">
        <v>523</v>
      </c>
      <c r="I2339" s="4"/>
      <c r="J2339" s="75">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6" customFormat="1" ht="49" customHeight="1">
      <c r="A2340" s="4" t="s">
        <v>6186</v>
      </c>
      <c r="B2340" s="4" t="s">
        <v>7002</v>
      </c>
      <c r="C2340" s="205" t="s">
        <v>24</v>
      </c>
      <c r="D2340" s="4" t="s">
        <v>2276</v>
      </c>
      <c r="E2340" s="4" t="s">
        <v>3855</v>
      </c>
      <c r="F2340" s="4" t="s">
        <v>74</v>
      </c>
      <c r="G2340" s="4" t="s">
        <v>74</v>
      </c>
      <c r="H2340" s="4" t="s">
        <v>523</v>
      </c>
      <c r="I2340" s="4"/>
      <c r="J2340" s="75">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6" customFormat="1" ht="49" customHeight="1">
      <c r="A2341" s="4" t="s">
        <v>6186</v>
      </c>
      <c r="B2341" s="4" t="s">
        <v>7003</v>
      </c>
      <c r="C2341" s="205" t="s">
        <v>2458</v>
      </c>
      <c r="D2341" s="4" t="s">
        <v>2276</v>
      </c>
      <c r="E2341" s="4" t="s">
        <v>3855</v>
      </c>
      <c r="F2341" s="4" t="s">
        <v>2276</v>
      </c>
      <c r="G2341" s="4" t="s">
        <v>74</v>
      </c>
      <c r="H2341" s="4" t="s">
        <v>523</v>
      </c>
      <c r="I2341" s="4"/>
      <c r="J2341" s="75">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6" customFormat="1" ht="49" customHeight="1">
      <c r="A2342" s="4" t="s">
        <v>6186</v>
      </c>
      <c r="B2342" s="4" t="s">
        <v>7004</v>
      </c>
      <c r="C2342" s="205" t="s">
        <v>2458</v>
      </c>
      <c r="D2342" s="4" t="s">
        <v>2276</v>
      </c>
      <c r="E2342" s="4" t="s">
        <v>2649</v>
      </c>
      <c r="F2342" s="4" t="s">
        <v>2662</v>
      </c>
      <c r="G2342" s="4" t="s">
        <v>74</v>
      </c>
      <c r="H2342" s="4" t="s">
        <v>523</v>
      </c>
      <c r="I2342" s="4"/>
      <c r="J2342" s="75">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6" customFormat="1" ht="49" customHeight="1">
      <c r="A2343" s="4" t="s">
        <v>6186</v>
      </c>
      <c r="B2343" s="4" t="s">
        <v>7005</v>
      </c>
      <c r="C2343" s="205" t="s">
        <v>24</v>
      </c>
      <c r="D2343" s="4" t="s">
        <v>2346</v>
      </c>
      <c r="E2343" s="4" t="s">
        <v>3855</v>
      </c>
      <c r="F2343" s="4" t="s">
        <v>2663</v>
      </c>
      <c r="G2343" s="4" t="s">
        <v>2663</v>
      </c>
      <c r="H2343" s="4" t="s">
        <v>523</v>
      </c>
      <c r="I2343" s="4"/>
      <c r="J2343" s="75">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6" customFormat="1" ht="49" customHeight="1">
      <c r="A2344" s="4" t="s">
        <v>6186</v>
      </c>
      <c r="B2344" s="4" t="s">
        <v>7006</v>
      </c>
      <c r="C2344" s="205" t="s">
        <v>31</v>
      </c>
      <c r="D2344" s="4" t="s">
        <v>30</v>
      </c>
      <c r="E2344" s="4" t="s">
        <v>2276</v>
      </c>
      <c r="F2344" s="4" t="s">
        <v>2276</v>
      </c>
      <c r="G2344" s="4" t="s">
        <v>74</v>
      </c>
      <c r="H2344" s="4" t="s">
        <v>523</v>
      </c>
      <c r="I2344" s="4"/>
      <c r="J2344" s="75">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6" customFormat="1" ht="49" customHeight="1">
      <c r="A2345" s="4" t="s">
        <v>6186</v>
      </c>
      <c r="B2345" s="4" t="s">
        <v>7007</v>
      </c>
      <c r="C2345" s="205" t="s">
        <v>2656</v>
      </c>
      <c r="D2345" s="4" t="s">
        <v>2276</v>
      </c>
      <c r="E2345" s="4" t="s">
        <v>3855</v>
      </c>
      <c r="F2345" s="4" t="s">
        <v>2276</v>
      </c>
      <c r="G2345" s="4" t="s">
        <v>74</v>
      </c>
      <c r="H2345" s="4" t="s">
        <v>523</v>
      </c>
      <c r="I2345" s="4"/>
      <c r="J2345" s="75">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6" customFormat="1" ht="49" customHeight="1">
      <c r="A2346" s="4" t="s">
        <v>6186</v>
      </c>
      <c r="B2346" s="4" t="s">
        <v>7008</v>
      </c>
      <c r="C2346" s="205" t="s">
        <v>2658</v>
      </c>
      <c r="D2346" s="4" t="s">
        <v>2276</v>
      </c>
      <c r="E2346" s="4" t="s">
        <v>2276</v>
      </c>
      <c r="F2346" s="4" t="s">
        <v>2276</v>
      </c>
      <c r="G2346" s="4" t="s">
        <v>74</v>
      </c>
      <c r="H2346" s="4" t="s">
        <v>523</v>
      </c>
      <c r="I2346" s="4"/>
      <c r="J2346" s="75">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6" customFormat="1" ht="49" customHeight="1">
      <c r="A2347" s="4" t="s">
        <v>6973</v>
      </c>
      <c r="B2347" s="4" t="s">
        <v>7009</v>
      </c>
      <c r="C2347" s="4" t="s">
        <v>1105</v>
      </c>
      <c r="D2347" s="4" t="s">
        <v>1105</v>
      </c>
      <c r="E2347" s="4" t="s">
        <v>1105</v>
      </c>
      <c r="F2347" s="4" t="s">
        <v>2276</v>
      </c>
      <c r="G2347" s="4" t="s">
        <v>74</v>
      </c>
      <c r="H2347" s="4" t="s">
        <v>523</v>
      </c>
      <c r="I2347" s="4"/>
      <c r="J2347" s="75">
        <f>52403.2/19/'Record info'!$K$993</f>
        <v>0.32235427277872097</v>
      </c>
      <c r="K2347" s="4" t="s">
        <v>2276</v>
      </c>
      <c r="L2347" s="4" t="s">
        <v>2276</v>
      </c>
      <c r="M2347" s="4" t="s">
        <v>2276</v>
      </c>
      <c r="N2347" s="4" t="s">
        <v>2276</v>
      </c>
      <c r="O2347" s="4" t="s">
        <v>2276</v>
      </c>
      <c r="P2347" s="75">
        <v>4.4740000000000002</v>
      </c>
      <c r="Q2347" s="4" t="s">
        <v>2276</v>
      </c>
      <c r="R2347" s="4" t="s">
        <v>2276</v>
      </c>
      <c r="S2347" s="4" t="s">
        <v>2276</v>
      </c>
      <c r="T2347" s="75">
        <v>248768</v>
      </c>
      <c r="U2347" s="4" t="s">
        <v>2276</v>
      </c>
      <c r="V2347" s="75">
        <f>2704/6261*100/19</f>
        <v>2.2730520599534296</v>
      </c>
      <c r="W2347" s="4" t="s">
        <v>2276</v>
      </c>
      <c r="X2347" s="4" t="s">
        <v>2276</v>
      </c>
      <c r="Y2347" s="4" t="s">
        <v>2276</v>
      </c>
      <c r="Z2347" s="4" t="s">
        <v>2276</v>
      </c>
      <c r="AA2347" s="4" t="s">
        <v>2276</v>
      </c>
      <c r="AB2347" s="4" t="s">
        <v>2276</v>
      </c>
      <c r="AC2347" s="4"/>
      <c r="AD2347" s="4"/>
    </row>
    <row r="2348" spans="1:30" s="206" customFormat="1" ht="49" customHeight="1">
      <c r="A2348" s="4" t="s">
        <v>6973</v>
      </c>
      <c r="B2348" s="4" t="s">
        <v>7010</v>
      </c>
      <c r="C2348" s="205" t="s">
        <v>24</v>
      </c>
      <c r="D2348" s="4" t="s">
        <v>2276</v>
      </c>
      <c r="E2348" s="4" t="s">
        <v>2649</v>
      </c>
      <c r="F2348" s="4" t="s">
        <v>74</v>
      </c>
      <c r="G2348" s="4" t="s">
        <v>74</v>
      </c>
      <c r="H2348" s="4" t="s">
        <v>523</v>
      </c>
      <c r="I2348" s="4"/>
      <c r="J2348" s="75">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6" customFormat="1" ht="49" customHeight="1">
      <c r="A2349" s="4" t="s">
        <v>6973</v>
      </c>
      <c r="B2349" s="4" t="s">
        <v>7011</v>
      </c>
      <c r="C2349" s="205" t="s">
        <v>24</v>
      </c>
      <c r="D2349" s="4" t="s">
        <v>2276</v>
      </c>
      <c r="E2349" s="4" t="s">
        <v>3855</v>
      </c>
      <c r="F2349" s="4" t="s">
        <v>74</v>
      </c>
      <c r="G2349" s="4" t="s">
        <v>74</v>
      </c>
      <c r="H2349" s="4" t="s">
        <v>523</v>
      </c>
      <c r="I2349" s="4"/>
      <c r="J2349" s="75">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6" customFormat="1" ht="49" customHeight="1">
      <c r="A2350" s="4" t="s">
        <v>6973</v>
      </c>
      <c r="B2350" s="4" t="s">
        <v>7012</v>
      </c>
      <c r="C2350" s="205" t="s">
        <v>2458</v>
      </c>
      <c r="D2350" s="4" t="s">
        <v>2276</v>
      </c>
      <c r="E2350" s="4" t="s">
        <v>3855</v>
      </c>
      <c r="F2350" s="4" t="s">
        <v>2276</v>
      </c>
      <c r="G2350" s="4" t="s">
        <v>74</v>
      </c>
      <c r="H2350" s="4" t="s">
        <v>523</v>
      </c>
      <c r="I2350" s="4"/>
      <c r="J2350" s="75">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6" customFormat="1" ht="49" customHeight="1">
      <c r="A2351" s="4" t="s">
        <v>6973</v>
      </c>
      <c r="B2351" s="4" t="s">
        <v>7013</v>
      </c>
      <c r="C2351" s="205" t="s">
        <v>2458</v>
      </c>
      <c r="D2351" s="4" t="s">
        <v>2276</v>
      </c>
      <c r="E2351" s="4" t="s">
        <v>2649</v>
      </c>
      <c r="F2351" s="4" t="s">
        <v>2662</v>
      </c>
      <c r="G2351" s="4" t="s">
        <v>74</v>
      </c>
      <c r="H2351" s="4" t="s">
        <v>523</v>
      </c>
      <c r="I2351" s="4"/>
      <c r="J2351" s="75">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6" customFormat="1" ht="49" customHeight="1">
      <c r="A2352" s="4" t="s">
        <v>6973</v>
      </c>
      <c r="B2352" s="4" t="s">
        <v>7014</v>
      </c>
      <c r="C2352" s="205" t="s">
        <v>24</v>
      </c>
      <c r="D2352" s="4" t="s">
        <v>2346</v>
      </c>
      <c r="E2352" s="4" t="s">
        <v>3855</v>
      </c>
      <c r="F2352" s="4" t="s">
        <v>2663</v>
      </c>
      <c r="G2352" s="4" t="s">
        <v>2663</v>
      </c>
      <c r="H2352" s="4" t="s">
        <v>523</v>
      </c>
      <c r="I2352" s="4"/>
      <c r="J2352" s="75">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6" customFormat="1" ht="49" customHeight="1">
      <c r="A2353" s="4" t="s">
        <v>6973</v>
      </c>
      <c r="B2353" s="4" t="s">
        <v>7015</v>
      </c>
      <c r="C2353" s="205" t="s">
        <v>31</v>
      </c>
      <c r="D2353" s="4" t="s">
        <v>30</v>
      </c>
      <c r="E2353" s="4" t="s">
        <v>2276</v>
      </c>
      <c r="F2353" s="4" t="s">
        <v>2276</v>
      </c>
      <c r="G2353" s="4" t="s">
        <v>74</v>
      </c>
      <c r="H2353" s="4" t="s">
        <v>523</v>
      </c>
      <c r="I2353" s="4"/>
      <c r="J2353" s="75">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6" customFormat="1" ht="49" customHeight="1">
      <c r="A2354" s="4" t="s">
        <v>6973</v>
      </c>
      <c r="B2354" s="4" t="s">
        <v>7016</v>
      </c>
      <c r="C2354" s="205" t="s">
        <v>2656</v>
      </c>
      <c r="D2354" s="4" t="s">
        <v>2276</v>
      </c>
      <c r="E2354" s="4" t="s">
        <v>3855</v>
      </c>
      <c r="F2354" s="4" t="s">
        <v>2276</v>
      </c>
      <c r="G2354" s="4" t="s">
        <v>74</v>
      </c>
      <c r="H2354" s="4" t="s">
        <v>523</v>
      </c>
      <c r="I2354" s="4"/>
      <c r="J2354" s="75">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6" customFormat="1" ht="49" customHeight="1">
      <c r="A2355" s="4" t="s">
        <v>6973</v>
      </c>
      <c r="B2355" s="4" t="s">
        <v>7017</v>
      </c>
      <c r="C2355" s="205" t="s">
        <v>2658</v>
      </c>
      <c r="D2355" s="4" t="s">
        <v>2276</v>
      </c>
      <c r="E2355" s="4" t="s">
        <v>2276</v>
      </c>
      <c r="F2355" s="4" t="s">
        <v>2276</v>
      </c>
      <c r="G2355" s="4" t="s">
        <v>74</v>
      </c>
      <c r="H2355" s="4" t="s">
        <v>523</v>
      </c>
      <c r="I2355" s="4"/>
      <c r="J2355" s="75">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6" customFormat="1" ht="49" customHeight="1">
      <c r="A2356" s="4" t="s">
        <v>6974</v>
      </c>
      <c r="B2356" s="4" t="s">
        <v>7018</v>
      </c>
      <c r="C2356" s="4" t="s">
        <v>1105</v>
      </c>
      <c r="D2356" s="4" t="s">
        <v>1105</v>
      </c>
      <c r="E2356" s="4" t="s">
        <v>1105</v>
      </c>
      <c r="F2356" s="4" t="s">
        <v>2276</v>
      </c>
      <c r="G2356" s="4" t="s">
        <v>74</v>
      </c>
      <c r="H2356" s="4" t="s">
        <v>523</v>
      </c>
      <c r="I2356" s="4"/>
      <c r="J2356" s="75">
        <f>43736/19/'Record info'!$K$994</f>
        <v>0.22501414827391059</v>
      </c>
      <c r="K2356" s="4" t="s">
        <v>2276</v>
      </c>
      <c r="L2356" s="4" t="s">
        <v>2276</v>
      </c>
      <c r="M2356" s="4" t="s">
        <v>2276</v>
      </c>
      <c r="N2356" s="4" t="s">
        <v>2276</v>
      </c>
      <c r="O2356" s="4" t="s">
        <v>2276</v>
      </c>
      <c r="P2356" s="75">
        <v>5.3719999999999999</v>
      </c>
      <c r="Q2356" s="4" t="s">
        <v>2276</v>
      </c>
      <c r="R2356" s="4" t="s">
        <v>2276</v>
      </c>
      <c r="S2356" s="4" t="s">
        <v>2276</v>
      </c>
      <c r="T2356" s="75">
        <v>234960</v>
      </c>
      <c r="U2356" s="4" t="s">
        <v>2276</v>
      </c>
      <c r="V2356" s="75">
        <f>2136/6630*100/19</f>
        <v>1.6956418194808287</v>
      </c>
      <c r="W2356" s="4" t="s">
        <v>2276</v>
      </c>
      <c r="X2356" s="4" t="s">
        <v>2276</v>
      </c>
      <c r="Y2356" s="4" t="s">
        <v>2276</v>
      </c>
      <c r="Z2356" s="4" t="s">
        <v>2276</v>
      </c>
      <c r="AA2356" s="4" t="s">
        <v>2276</v>
      </c>
      <c r="AB2356" s="4" t="s">
        <v>2276</v>
      </c>
      <c r="AC2356" s="4"/>
      <c r="AD2356" s="4"/>
    </row>
    <row r="2357" spans="1:30" s="206" customFormat="1" ht="49" customHeight="1">
      <c r="A2357" s="4" t="s">
        <v>6974</v>
      </c>
      <c r="B2357" s="4" t="s">
        <v>7019</v>
      </c>
      <c r="C2357" s="205" t="s">
        <v>24</v>
      </c>
      <c r="D2357" s="4" t="s">
        <v>2276</v>
      </c>
      <c r="E2357" s="4" t="s">
        <v>2649</v>
      </c>
      <c r="F2357" s="4" t="s">
        <v>74</v>
      </c>
      <c r="G2357" s="4" t="s">
        <v>74</v>
      </c>
      <c r="H2357" s="4" t="s">
        <v>523</v>
      </c>
      <c r="I2357" s="4"/>
      <c r="J2357" s="75">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6" customFormat="1" ht="49" customHeight="1">
      <c r="A2358" s="4" t="s">
        <v>6974</v>
      </c>
      <c r="B2358" s="4" t="s">
        <v>7020</v>
      </c>
      <c r="C2358" s="205" t="s">
        <v>24</v>
      </c>
      <c r="D2358" s="4" t="s">
        <v>2276</v>
      </c>
      <c r="E2358" s="4" t="s">
        <v>3855</v>
      </c>
      <c r="F2358" s="4" t="s">
        <v>74</v>
      </c>
      <c r="G2358" s="4" t="s">
        <v>74</v>
      </c>
      <c r="H2358" s="4" t="s">
        <v>523</v>
      </c>
      <c r="I2358" s="4"/>
      <c r="J2358" s="75">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6" customFormat="1" ht="49" customHeight="1">
      <c r="A2359" s="4" t="s">
        <v>6974</v>
      </c>
      <c r="B2359" s="4" t="s">
        <v>7021</v>
      </c>
      <c r="C2359" s="205" t="s">
        <v>2458</v>
      </c>
      <c r="D2359" s="4" t="s">
        <v>2276</v>
      </c>
      <c r="E2359" s="4" t="s">
        <v>3855</v>
      </c>
      <c r="F2359" s="4" t="s">
        <v>2276</v>
      </c>
      <c r="G2359" s="4" t="s">
        <v>74</v>
      </c>
      <c r="H2359" s="4" t="s">
        <v>523</v>
      </c>
      <c r="I2359" s="4"/>
      <c r="J2359" s="75">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6" customFormat="1" ht="49" customHeight="1">
      <c r="A2360" s="4" t="s">
        <v>6974</v>
      </c>
      <c r="B2360" s="4" t="s">
        <v>7022</v>
      </c>
      <c r="C2360" s="205" t="s">
        <v>2458</v>
      </c>
      <c r="D2360" s="4" t="s">
        <v>2276</v>
      </c>
      <c r="E2360" s="4" t="s">
        <v>2649</v>
      </c>
      <c r="F2360" s="4" t="s">
        <v>2662</v>
      </c>
      <c r="G2360" s="4" t="s">
        <v>74</v>
      </c>
      <c r="H2360" s="4" t="s">
        <v>523</v>
      </c>
      <c r="I2360" s="4"/>
      <c r="J2360" s="75">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6" customFormat="1" ht="49" customHeight="1">
      <c r="A2361" s="4" t="s">
        <v>6974</v>
      </c>
      <c r="B2361" s="4" t="s">
        <v>7023</v>
      </c>
      <c r="C2361" s="205" t="s">
        <v>24</v>
      </c>
      <c r="D2361" s="4" t="s">
        <v>2346</v>
      </c>
      <c r="E2361" s="4" t="s">
        <v>3855</v>
      </c>
      <c r="F2361" s="4" t="s">
        <v>2663</v>
      </c>
      <c r="G2361" s="4" t="s">
        <v>2663</v>
      </c>
      <c r="H2361" s="4" t="s">
        <v>523</v>
      </c>
      <c r="I2361" s="4"/>
      <c r="J2361" s="75">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6" customFormat="1" ht="49" customHeight="1">
      <c r="A2362" s="4" t="s">
        <v>6974</v>
      </c>
      <c r="B2362" s="4" t="s">
        <v>7024</v>
      </c>
      <c r="C2362" s="205" t="s">
        <v>31</v>
      </c>
      <c r="D2362" s="4" t="s">
        <v>30</v>
      </c>
      <c r="E2362" s="4" t="s">
        <v>2276</v>
      </c>
      <c r="F2362" s="4" t="s">
        <v>2276</v>
      </c>
      <c r="G2362" s="4" t="s">
        <v>74</v>
      </c>
      <c r="H2362" s="4" t="s">
        <v>523</v>
      </c>
      <c r="I2362" s="4"/>
      <c r="J2362" s="75">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6" customFormat="1" ht="49" customHeight="1">
      <c r="A2363" s="4" t="s">
        <v>6974</v>
      </c>
      <c r="B2363" s="4" t="s">
        <v>7025</v>
      </c>
      <c r="C2363" s="205" t="s">
        <v>2656</v>
      </c>
      <c r="D2363" s="4" t="s">
        <v>2276</v>
      </c>
      <c r="E2363" s="4" t="s">
        <v>3855</v>
      </c>
      <c r="F2363" s="4" t="s">
        <v>2276</v>
      </c>
      <c r="G2363" s="4" t="s">
        <v>74</v>
      </c>
      <c r="H2363" s="4" t="s">
        <v>523</v>
      </c>
      <c r="I2363" s="4"/>
      <c r="J2363" s="75">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6" customFormat="1" ht="49" customHeight="1">
      <c r="A2364" s="4" t="s">
        <v>6974</v>
      </c>
      <c r="B2364" s="4" t="s">
        <v>7026</v>
      </c>
      <c r="C2364" s="205" t="s">
        <v>2658</v>
      </c>
      <c r="D2364" s="4" t="s">
        <v>2276</v>
      </c>
      <c r="E2364" s="4" t="s">
        <v>2276</v>
      </c>
      <c r="F2364" s="4" t="s">
        <v>2276</v>
      </c>
      <c r="G2364" s="4" t="s">
        <v>74</v>
      </c>
      <c r="H2364" s="4" t="s">
        <v>523</v>
      </c>
      <c r="I2364" s="4"/>
      <c r="J2364" s="75">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6" customFormat="1" ht="49" customHeight="1">
      <c r="A2365" s="4" t="s">
        <v>6975</v>
      </c>
      <c r="B2365" s="4" t="s">
        <v>7027</v>
      </c>
      <c r="C2365" s="4" t="s">
        <v>1105</v>
      </c>
      <c r="D2365" s="4" t="s">
        <v>1105</v>
      </c>
      <c r="E2365" s="4" t="s">
        <v>1105</v>
      </c>
      <c r="F2365" s="4" t="s">
        <v>2276</v>
      </c>
      <c r="G2365" s="4" t="s">
        <v>74</v>
      </c>
      <c r="H2365" s="4" t="s">
        <v>523</v>
      </c>
      <c r="I2365" s="4"/>
      <c r="J2365" s="75">
        <f>17501.5/19/'Record info'!$K$995</f>
        <v>0.58262591963780419</v>
      </c>
      <c r="K2365" s="4" t="s">
        <v>2276</v>
      </c>
      <c r="L2365" s="4" t="s">
        <v>2276</v>
      </c>
      <c r="M2365" s="4" t="s">
        <v>2276</v>
      </c>
      <c r="N2365" s="4" t="s">
        <v>2276</v>
      </c>
      <c r="O2365" s="4" t="s">
        <v>2276</v>
      </c>
      <c r="P2365" s="75">
        <v>4.2610000000000001</v>
      </c>
      <c r="Q2365" s="4" t="s">
        <v>2276</v>
      </c>
      <c r="R2365" s="4" t="s">
        <v>2276</v>
      </c>
      <c r="S2365" s="4" t="s">
        <v>2276</v>
      </c>
      <c r="T2365" s="75">
        <v>74579</v>
      </c>
      <c r="U2365" s="4" t="s">
        <v>2276</v>
      </c>
      <c r="V2365" s="75">
        <f>4387/10871*100/19</f>
        <v>2.1239512173866735</v>
      </c>
      <c r="W2365" s="4" t="s">
        <v>2276</v>
      </c>
      <c r="X2365" s="4" t="s">
        <v>2276</v>
      </c>
      <c r="Y2365" s="4" t="s">
        <v>2276</v>
      </c>
      <c r="Z2365" s="4" t="s">
        <v>2276</v>
      </c>
      <c r="AA2365" s="4" t="s">
        <v>2276</v>
      </c>
      <c r="AB2365" s="4" t="s">
        <v>2276</v>
      </c>
      <c r="AC2365" s="4"/>
      <c r="AD2365" s="4"/>
    </row>
    <row r="2366" spans="1:30" s="206" customFormat="1" ht="49" customHeight="1">
      <c r="A2366" s="4" t="s">
        <v>6975</v>
      </c>
      <c r="B2366" s="4" t="s">
        <v>7028</v>
      </c>
      <c r="C2366" s="205" t="s">
        <v>24</v>
      </c>
      <c r="D2366" s="4" t="s">
        <v>2276</v>
      </c>
      <c r="E2366" s="4" t="s">
        <v>2649</v>
      </c>
      <c r="F2366" s="4" t="s">
        <v>74</v>
      </c>
      <c r="G2366" s="4" t="s">
        <v>74</v>
      </c>
      <c r="H2366" s="4" t="s">
        <v>523</v>
      </c>
      <c r="I2366" s="4"/>
      <c r="J2366" s="75">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6" customFormat="1" ht="49" customHeight="1">
      <c r="A2367" s="4" t="s">
        <v>6975</v>
      </c>
      <c r="B2367" s="4" t="s">
        <v>7029</v>
      </c>
      <c r="C2367" s="205" t="s">
        <v>24</v>
      </c>
      <c r="D2367" s="4" t="s">
        <v>2276</v>
      </c>
      <c r="E2367" s="4" t="s">
        <v>3855</v>
      </c>
      <c r="F2367" s="4" t="s">
        <v>74</v>
      </c>
      <c r="G2367" s="4" t="s">
        <v>74</v>
      </c>
      <c r="H2367" s="4" t="s">
        <v>523</v>
      </c>
      <c r="I2367" s="4"/>
      <c r="J2367" s="75">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6" customFormat="1" ht="49" customHeight="1">
      <c r="A2368" s="4" t="s">
        <v>6975</v>
      </c>
      <c r="B2368" s="4" t="s">
        <v>7030</v>
      </c>
      <c r="C2368" s="205" t="s">
        <v>2458</v>
      </c>
      <c r="D2368" s="4" t="s">
        <v>2276</v>
      </c>
      <c r="E2368" s="4" t="s">
        <v>3855</v>
      </c>
      <c r="F2368" s="4" t="s">
        <v>2276</v>
      </c>
      <c r="G2368" s="4" t="s">
        <v>74</v>
      </c>
      <c r="H2368" s="4" t="s">
        <v>523</v>
      </c>
      <c r="I2368" s="4"/>
      <c r="J2368" s="75">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6" customFormat="1" ht="49" customHeight="1">
      <c r="A2369" s="4" t="s">
        <v>6975</v>
      </c>
      <c r="B2369" s="4" t="s">
        <v>7031</v>
      </c>
      <c r="C2369" s="205" t="s">
        <v>2458</v>
      </c>
      <c r="D2369" s="4" t="s">
        <v>2276</v>
      </c>
      <c r="E2369" s="4" t="s">
        <v>2649</v>
      </c>
      <c r="F2369" s="4" t="s">
        <v>2662</v>
      </c>
      <c r="G2369" s="4" t="s">
        <v>74</v>
      </c>
      <c r="H2369" s="4" t="s">
        <v>523</v>
      </c>
      <c r="I2369" s="4"/>
      <c r="J2369" s="75">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6" customFormat="1" ht="49" customHeight="1">
      <c r="A2370" s="4" t="s">
        <v>6975</v>
      </c>
      <c r="B2370" s="4" t="s">
        <v>7032</v>
      </c>
      <c r="C2370" s="205" t="s">
        <v>24</v>
      </c>
      <c r="D2370" s="4" t="s">
        <v>2346</v>
      </c>
      <c r="E2370" s="4" t="s">
        <v>3855</v>
      </c>
      <c r="F2370" s="4" t="s">
        <v>2663</v>
      </c>
      <c r="G2370" s="4" t="s">
        <v>2663</v>
      </c>
      <c r="H2370" s="4" t="s">
        <v>523</v>
      </c>
      <c r="I2370" s="4"/>
      <c r="J2370" s="75">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6" customFormat="1" ht="49" customHeight="1">
      <c r="A2371" s="4" t="s">
        <v>6975</v>
      </c>
      <c r="B2371" s="4" t="s">
        <v>7033</v>
      </c>
      <c r="C2371" s="205" t="s">
        <v>31</v>
      </c>
      <c r="D2371" s="4" t="s">
        <v>30</v>
      </c>
      <c r="E2371" s="4" t="s">
        <v>2276</v>
      </c>
      <c r="F2371" s="4" t="s">
        <v>2276</v>
      </c>
      <c r="G2371" s="4" t="s">
        <v>74</v>
      </c>
      <c r="H2371" s="4" t="s">
        <v>523</v>
      </c>
      <c r="I2371" s="4"/>
      <c r="J2371" s="75">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6" customFormat="1" ht="49" customHeight="1">
      <c r="A2372" s="4" t="s">
        <v>6975</v>
      </c>
      <c r="B2372" s="4" t="s">
        <v>7034</v>
      </c>
      <c r="C2372" s="205" t="s">
        <v>2656</v>
      </c>
      <c r="D2372" s="4" t="s">
        <v>2276</v>
      </c>
      <c r="E2372" s="4" t="s">
        <v>3855</v>
      </c>
      <c r="F2372" s="4" t="s">
        <v>2276</v>
      </c>
      <c r="G2372" s="4" t="s">
        <v>74</v>
      </c>
      <c r="H2372" s="4" t="s">
        <v>523</v>
      </c>
      <c r="I2372" s="4"/>
      <c r="J2372" s="75">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6" customFormat="1" ht="49" customHeight="1">
      <c r="A2373" s="4" t="s">
        <v>6975</v>
      </c>
      <c r="B2373" s="4" t="s">
        <v>7035</v>
      </c>
      <c r="C2373" s="205" t="s">
        <v>2658</v>
      </c>
      <c r="D2373" s="4" t="s">
        <v>2276</v>
      </c>
      <c r="E2373" s="4" t="s">
        <v>2276</v>
      </c>
      <c r="F2373" s="4" t="s">
        <v>2276</v>
      </c>
      <c r="G2373" s="4" t="s">
        <v>74</v>
      </c>
      <c r="H2373" s="4" t="s">
        <v>523</v>
      </c>
      <c r="I2373" s="4"/>
      <c r="J2373" s="75">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6" customFormat="1" ht="49" customHeight="1">
      <c r="A2374" s="4" t="s">
        <v>7000</v>
      </c>
      <c r="B2374" s="4" t="s">
        <v>7036</v>
      </c>
      <c r="C2374" s="4" t="s">
        <v>1105</v>
      </c>
      <c r="D2374" s="4" t="s">
        <v>1105</v>
      </c>
      <c r="E2374" s="4" t="s">
        <v>1105</v>
      </c>
      <c r="F2374" s="4" t="s">
        <v>2276</v>
      </c>
      <c r="G2374" s="4" t="s">
        <v>74</v>
      </c>
      <c r="H2374" s="4" t="s">
        <v>523</v>
      </c>
      <c r="I2374" s="4"/>
      <c r="J2374" s="75">
        <f>2709/19/'Record info'!$K$996</f>
        <v>7.3005093378607805E-2</v>
      </c>
      <c r="K2374" s="4" t="s">
        <v>2276</v>
      </c>
      <c r="L2374" s="4" t="s">
        <v>2276</v>
      </c>
      <c r="M2374" s="4" t="s">
        <v>2276</v>
      </c>
      <c r="N2374" s="4" t="s">
        <v>2276</v>
      </c>
      <c r="O2374" s="4" t="s">
        <v>2276</v>
      </c>
      <c r="P2374" s="75">
        <v>6.5810000000000004</v>
      </c>
      <c r="Q2374" s="4" t="s">
        <v>2276</v>
      </c>
      <c r="R2374" s="4" t="s">
        <v>2276</v>
      </c>
      <c r="S2374" s="4" t="s">
        <v>2276</v>
      </c>
      <c r="T2374" s="75">
        <v>17829</v>
      </c>
      <c r="U2374" s="4" t="s">
        <v>2276</v>
      </c>
      <c r="V2374" s="75">
        <f>849/6221*100/19</f>
        <v>0.71828018849567254</v>
      </c>
      <c r="W2374" s="4" t="s">
        <v>2276</v>
      </c>
      <c r="X2374" s="4" t="s">
        <v>2276</v>
      </c>
      <c r="Y2374" s="4" t="s">
        <v>2276</v>
      </c>
      <c r="Z2374" s="4" t="s">
        <v>2276</v>
      </c>
      <c r="AA2374" s="4" t="s">
        <v>2276</v>
      </c>
      <c r="AB2374" s="4" t="s">
        <v>2276</v>
      </c>
      <c r="AC2374" s="4"/>
      <c r="AD2374" s="4"/>
    </row>
    <row r="2375" spans="1:30" s="206" customFormat="1" ht="49" customHeight="1">
      <c r="A2375" s="4" t="s">
        <v>7000</v>
      </c>
      <c r="B2375" s="4" t="s">
        <v>7037</v>
      </c>
      <c r="C2375" s="205" t="s">
        <v>24</v>
      </c>
      <c r="D2375" s="4" t="s">
        <v>2276</v>
      </c>
      <c r="E2375" s="4" t="s">
        <v>2649</v>
      </c>
      <c r="F2375" s="4" t="s">
        <v>74</v>
      </c>
      <c r="G2375" s="4" t="s">
        <v>74</v>
      </c>
      <c r="H2375" s="4" t="s">
        <v>523</v>
      </c>
      <c r="I2375" s="4"/>
      <c r="J2375" s="75">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6" customFormat="1" ht="49" customHeight="1">
      <c r="A2376" s="4" t="s">
        <v>7000</v>
      </c>
      <c r="B2376" s="4" t="s">
        <v>7038</v>
      </c>
      <c r="C2376" s="205" t="s">
        <v>24</v>
      </c>
      <c r="D2376" s="4" t="s">
        <v>2276</v>
      </c>
      <c r="E2376" s="4" t="s">
        <v>3855</v>
      </c>
      <c r="F2376" s="4" t="s">
        <v>74</v>
      </c>
      <c r="G2376" s="4" t="s">
        <v>74</v>
      </c>
      <c r="H2376" s="4" t="s">
        <v>523</v>
      </c>
      <c r="I2376" s="4"/>
      <c r="J2376" s="75">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6" customFormat="1" ht="49" customHeight="1">
      <c r="A2377" s="4" t="s">
        <v>7000</v>
      </c>
      <c r="B2377" s="4" t="s">
        <v>7039</v>
      </c>
      <c r="C2377" s="205" t="s">
        <v>2458</v>
      </c>
      <c r="D2377" s="4" t="s">
        <v>2276</v>
      </c>
      <c r="E2377" s="4" t="s">
        <v>3855</v>
      </c>
      <c r="F2377" s="4" t="s">
        <v>2276</v>
      </c>
      <c r="G2377" s="4" t="s">
        <v>74</v>
      </c>
      <c r="H2377" s="4" t="s">
        <v>523</v>
      </c>
      <c r="I2377" s="4"/>
      <c r="J2377" s="75">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6" customFormat="1" ht="49" customHeight="1">
      <c r="A2378" s="4" t="s">
        <v>7000</v>
      </c>
      <c r="B2378" s="4" t="s">
        <v>7040</v>
      </c>
      <c r="C2378" s="205" t="s">
        <v>2458</v>
      </c>
      <c r="D2378" s="4" t="s">
        <v>2276</v>
      </c>
      <c r="E2378" s="4" t="s">
        <v>2649</v>
      </c>
      <c r="F2378" s="4" t="s">
        <v>2662</v>
      </c>
      <c r="G2378" s="4" t="s">
        <v>74</v>
      </c>
      <c r="H2378" s="4" t="s">
        <v>523</v>
      </c>
      <c r="I2378" s="4"/>
      <c r="J2378" s="75">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6" customFormat="1" ht="49" customHeight="1">
      <c r="A2379" s="4" t="s">
        <v>7000</v>
      </c>
      <c r="B2379" s="4" t="s">
        <v>7041</v>
      </c>
      <c r="C2379" s="205" t="s">
        <v>24</v>
      </c>
      <c r="D2379" s="4" t="s">
        <v>2346</v>
      </c>
      <c r="E2379" s="4" t="s">
        <v>3855</v>
      </c>
      <c r="F2379" s="4" t="s">
        <v>2663</v>
      </c>
      <c r="G2379" s="4" t="s">
        <v>2663</v>
      </c>
      <c r="H2379" s="4" t="s">
        <v>523</v>
      </c>
      <c r="I2379" s="4"/>
      <c r="J2379" s="75">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6" customFormat="1" ht="49" customHeight="1">
      <c r="A2380" s="4" t="s">
        <v>7000</v>
      </c>
      <c r="B2380" s="4" t="s">
        <v>7042</v>
      </c>
      <c r="C2380" s="205" t="s">
        <v>31</v>
      </c>
      <c r="D2380" s="4" t="s">
        <v>30</v>
      </c>
      <c r="E2380" s="4" t="s">
        <v>2276</v>
      </c>
      <c r="F2380" s="4" t="s">
        <v>2276</v>
      </c>
      <c r="G2380" s="4" t="s">
        <v>74</v>
      </c>
      <c r="H2380" s="4" t="s">
        <v>523</v>
      </c>
      <c r="I2380" s="4"/>
      <c r="J2380" s="75">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6" customFormat="1" ht="49" customHeight="1">
      <c r="A2381" s="4" t="s">
        <v>7000</v>
      </c>
      <c r="B2381" s="4" t="s">
        <v>7043</v>
      </c>
      <c r="C2381" s="205" t="s">
        <v>2656</v>
      </c>
      <c r="D2381" s="4" t="s">
        <v>2276</v>
      </c>
      <c r="E2381" s="4" t="s">
        <v>3855</v>
      </c>
      <c r="F2381" s="4" t="s">
        <v>2276</v>
      </c>
      <c r="G2381" s="4" t="s">
        <v>74</v>
      </c>
      <c r="H2381" s="4" t="s">
        <v>523</v>
      </c>
      <c r="I2381" s="4"/>
      <c r="J2381" s="75">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6" customFormat="1" ht="49" customHeight="1">
      <c r="A2382" s="4" t="s">
        <v>7000</v>
      </c>
      <c r="B2382" s="4" t="s">
        <v>7044</v>
      </c>
      <c r="C2382" s="205" t="s">
        <v>2658</v>
      </c>
      <c r="D2382" s="4" t="s">
        <v>2276</v>
      </c>
      <c r="E2382" s="4" t="s">
        <v>2276</v>
      </c>
      <c r="F2382" s="4" t="s">
        <v>2276</v>
      </c>
      <c r="G2382" s="4" t="s">
        <v>74</v>
      </c>
      <c r="H2382" s="4" t="s">
        <v>523</v>
      </c>
      <c r="I2382" s="4"/>
      <c r="J2382" s="75">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6378</v>
      </c>
      <c r="B2383" s="4" t="s">
        <v>6475</v>
      </c>
      <c r="C2383" s="4" t="s">
        <v>24</v>
      </c>
      <c r="D2383" s="4" t="s">
        <v>2659</v>
      </c>
      <c r="E2383" s="4" t="s">
        <v>397</v>
      </c>
      <c r="F2383" s="4" t="s">
        <v>28</v>
      </c>
      <c r="G2383" s="4" t="s">
        <v>2276</v>
      </c>
      <c r="H2383" s="4" t="s">
        <v>523</v>
      </c>
      <c r="I2383" s="4"/>
      <c r="J2383" s="4" t="s">
        <v>2276</v>
      </c>
      <c r="K2383" s="4" t="s">
        <v>2276</v>
      </c>
      <c r="L2383" s="4" t="s">
        <v>2276</v>
      </c>
      <c r="M2383" s="4" t="s">
        <v>2276</v>
      </c>
      <c r="N2383" s="4" t="s">
        <v>2276</v>
      </c>
      <c r="O2383" s="4" t="s">
        <v>2276</v>
      </c>
      <c r="P2383" s="4" t="s">
        <v>2276</v>
      </c>
      <c r="Q2383" s="4" t="s">
        <v>2276</v>
      </c>
      <c r="R2383" s="4" t="s">
        <v>2276</v>
      </c>
      <c r="S2383" s="4" t="s">
        <v>2276</v>
      </c>
      <c r="T2383" s="4" t="s">
        <v>2276</v>
      </c>
      <c r="U2383" s="75">
        <f>100*2/177*((177)/(177+869+94))</f>
        <v>0.17543859649122809</v>
      </c>
      <c r="V2383" s="4" t="s">
        <v>2276</v>
      </c>
      <c r="W2383" s="4" t="s">
        <v>2276</v>
      </c>
      <c r="X2383" s="4" t="s">
        <v>2276</v>
      </c>
      <c r="Y2383" s="4" t="s">
        <v>2276</v>
      </c>
      <c r="Z2383" s="4" t="s">
        <v>399</v>
      </c>
      <c r="AA2383" s="4" t="s">
        <v>38</v>
      </c>
      <c r="AB2383" s="4" t="s">
        <v>64</v>
      </c>
      <c r="AC2383" s="4" t="s">
        <v>6449</v>
      </c>
      <c r="AD2383" s="4" t="s">
        <v>6450</v>
      </c>
    </row>
    <row r="2384" spans="1:30" ht="29">
      <c r="A2384" s="4" t="s">
        <v>6378</v>
      </c>
      <c r="B2384" s="4" t="s">
        <v>6476</v>
      </c>
      <c r="C2384" s="4" t="s">
        <v>24</v>
      </c>
      <c r="D2384" s="4" t="s">
        <v>2659</v>
      </c>
      <c r="E2384" s="4" t="s">
        <v>396</v>
      </c>
      <c r="F2384" s="4" t="s">
        <v>28</v>
      </c>
      <c r="G2384" s="4" t="s">
        <v>2276</v>
      </c>
      <c r="H2384" s="4" t="s">
        <v>523</v>
      </c>
      <c r="I2384" s="4"/>
      <c r="J2384" s="4" t="s">
        <v>2276</v>
      </c>
      <c r="K2384" s="4" t="s">
        <v>2276</v>
      </c>
      <c r="L2384" s="4" t="s">
        <v>2276</v>
      </c>
      <c r="M2384" s="4" t="s">
        <v>2276</v>
      </c>
      <c r="N2384" s="4" t="s">
        <v>2276</v>
      </c>
      <c r="O2384" s="4" t="s">
        <v>2276</v>
      </c>
      <c r="P2384" s="4" t="s">
        <v>2276</v>
      </c>
      <c r="Q2384" s="4" t="s">
        <v>2276</v>
      </c>
      <c r="R2384" s="4" t="s">
        <v>2276</v>
      </c>
      <c r="S2384" s="4" t="s">
        <v>2276</v>
      </c>
      <c r="T2384" s="4" t="s">
        <v>2276</v>
      </c>
      <c r="U2384" s="75">
        <f>100*(53+657+141*1/9+15*1/9)/(869+94)*((869+94)/(177+869+94))</f>
        <v>63.801169590643269</v>
      </c>
      <c r="V2384" s="4" t="s">
        <v>2276</v>
      </c>
      <c r="W2384" s="4" t="s">
        <v>2276</v>
      </c>
      <c r="X2384" s="4" t="s">
        <v>2276</v>
      </c>
      <c r="Y2384" s="4" t="s">
        <v>2276</v>
      </c>
      <c r="Z2384" s="4" t="s">
        <v>399</v>
      </c>
      <c r="AA2384" s="4" t="s">
        <v>38</v>
      </c>
      <c r="AB2384" s="4" t="s">
        <v>64</v>
      </c>
      <c r="AC2384" s="4" t="s">
        <v>6449</v>
      </c>
      <c r="AD2384" s="4" t="s">
        <v>6450</v>
      </c>
    </row>
    <row r="2385" spans="1:30" ht="29">
      <c r="A2385" s="4" t="s">
        <v>6379</v>
      </c>
      <c r="B2385" s="4" t="s">
        <v>6477</v>
      </c>
      <c r="C2385" s="4" t="s">
        <v>24</v>
      </c>
      <c r="D2385" s="4" t="s">
        <v>2659</v>
      </c>
      <c r="E2385" s="4" t="s">
        <v>397</v>
      </c>
      <c r="F2385" s="4" t="s">
        <v>28</v>
      </c>
      <c r="G2385" s="4" t="s">
        <v>2276</v>
      </c>
      <c r="H2385" s="4" t="s">
        <v>523</v>
      </c>
      <c r="I2385" s="4"/>
      <c r="J2385" s="4" t="s">
        <v>2276</v>
      </c>
      <c r="K2385" s="4" t="s">
        <v>2276</v>
      </c>
      <c r="L2385" s="4" t="s">
        <v>2276</v>
      </c>
      <c r="M2385" s="4" t="s">
        <v>2276</v>
      </c>
      <c r="N2385" s="4" t="s">
        <v>2276</v>
      </c>
      <c r="O2385" s="4" t="s">
        <v>2276</v>
      </c>
      <c r="P2385" s="4" t="s">
        <v>2276</v>
      </c>
      <c r="Q2385" s="4" t="s">
        <v>2276</v>
      </c>
      <c r="R2385" s="4" t="s">
        <v>2276</v>
      </c>
      <c r="S2385" s="4" t="s">
        <v>2276</v>
      </c>
      <c r="T2385" s="4" t="s">
        <v>2276</v>
      </c>
      <c r="U2385" s="75">
        <f t="shared" ref="U2385:U2388" si="2">100*2/177*((177)/(177+869+94))</f>
        <v>0.17543859649122809</v>
      </c>
      <c r="V2385" s="4" t="s">
        <v>2276</v>
      </c>
      <c r="W2385" s="4" t="s">
        <v>2276</v>
      </c>
      <c r="X2385" s="4" t="s">
        <v>2276</v>
      </c>
      <c r="Y2385" s="4" t="s">
        <v>2276</v>
      </c>
      <c r="Z2385" s="4" t="s">
        <v>399</v>
      </c>
      <c r="AA2385" s="4" t="s">
        <v>38</v>
      </c>
      <c r="AB2385" s="4" t="s">
        <v>64</v>
      </c>
      <c r="AC2385" s="4" t="s">
        <v>6449</v>
      </c>
      <c r="AD2385" s="4" t="s">
        <v>6450</v>
      </c>
    </row>
    <row r="2386" spans="1:30" ht="29">
      <c r="A2386" s="4" t="s">
        <v>6379</v>
      </c>
      <c r="B2386" s="4" t="s">
        <v>6478</v>
      </c>
      <c r="C2386" s="4" t="s">
        <v>24</v>
      </c>
      <c r="D2386" s="4" t="s">
        <v>2659</v>
      </c>
      <c r="E2386" s="4" t="s">
        <v>396</v>
      </c>
      <c r="F2386" s="4" t="s">
        <v>28</v>
      </c>
      <c r="G2386" s="4" t="s">
        <v>2276</v>
      </c>
      <c r="H2386" s="4" t="s">
        <v>523</v>
      </c>
      <c r="I2386" s="4"/>
      <c r="J2386" s="4" t="s">
        <v>2276</v>
      </c>
      <c r="K2386" s="4" t="s">
        <v>2276</v>
      </c>
      <c r="L2386" s="4" t="s">
        <v>2276</v>
      </c>
      <c r="M2386" s="4" t="s">
        <v>2276</v>
      </c>
      <c r="N2386" s="4" t="s">
        <v>2276</v>
      </c>
      <c r="O2386" s="4" t="s">
        <v>2276</v>
      </c>
      <c r="P2386" s="4" t="s">
        <v>2276</v>
      </c>
      <c r="Q2386" s="4" t="s">
        <v>2276</v>
      </c>
      <c r="R2386" s="4" t="s">
        <v>2276</v>
      </c>
      <c r="S2386" s="4" t="s">
        <v>2276</v>
      </c>
      <c r="T2386" s="4" t="s">
        <v>2276</v>
      </c>
      <c r="U2386" s="75">
        <f t="shared" ref="U2386:U2388" si="3">100*(53+657+141*1/9+15*1/9)/(869+94)*((869+94)/(177+869+94))</f>
        <v>63.801169590643269</v>
      </c>
      <c r="V2386" s="4" t="s">
        <v>2276</v>
      </c>
      <c r="W2386" s="4" t="s">
        <v>2276</v>
      </c>
      <c r="X2386" s="4" t="s">
        <v>2276</v>
      </c>
      <c r="Y2386" s="4" t="s">
        <v>2276</v>
      </c>
      <c r="Z2386" s="4" t="s">
        <v>399</v>
      </c>
      <c r="AA2386" s="4" t="s">
        <v>38</v>
      </c>
      <c r="AB2386" s="4" t="s">
        <v>64</v>
      </c>
      <c r="AC2386" s="4" t="s">
        <v>6449</v>
      </c>
      <c r="AD2386" s="4" t="s">
        <v>6450</v>
      </c>
    </row>
    <row r="2387" spans="1:30" ht="29">
      <c r="A2387" s="4" t="s">
        <v>6380</v>
      </c>
      <c r="B2387" s="4" t="s">
        <v>6479</v>
      </c>
      <c r="C2387" s="4" t="s">
        <v>24</v>
      </c>
      <c r="D2387" s="4" t="s">
        <v>2659</v>
      </c>
      <c r="E2387" s="4" t="s">
        <v>397</v>
      </c>
      <c r="F2387" s="4" t="s">
        <v>28</v>
      </c>
      <c r="G2387" s="4" t="s">
        <v>2276</v>
      </c>
      <c r="H2387" s="4" t="s">
        <v>523</v>
      </c>
      <c r="I2387" s="4"/>
      <c r="J2387" s="4" t="s">
        <v>2276</v>
      </c>
      <c r="K2387" s="4" t="s">
        <v>2276</v>
      </c>
      <c r="L2387" s="4" t="s">
        <v>2276</v>
      </c>
      <c r="M2387" s="4" t="s">
        <v>2276</v>
      </c>
      <c r="N2387" s="4" t="s">
        <v>2276</v>
      </c>
      <c r="O2387" s="4" t="s">
        <v>2276</v>
      </c>
      <c r="P2387" s="4" t="s">
        <v>2276</v>
      </c>
      <c r="Q2387" s="4" t="s">
        <v>2276</v>
      </c>
      <c r="R2387" s="4" t="s">
        <v>2276</v>
      </c>
      <c r="S2387" s="4" t="s">
        <v>2276</v>
      </c>
      <c r="T2387" s="4" t="s">
        <v>2276</v>
      </c>
      <c r="U2387" s="75">
        <f t="shared" ref="U2387:U2388" si="4">100*2/177*((177)/(177+869+94))</f>
        <v>0.17543859649122809</v>
      </c>
      <c r="V2387" s="4" t="s">
        <v>2276</v>
      </c>
      <c r="W2387" s="4" t="s">
        <v>2276</v>
      </c>
      <c r="X2387" s="4" t="s">
        <v>2276</v>
      </c>
      <c r="Y2387" s="4" t="s">
        <v>2276</v>
      </c>
      <c r="Z2387" s="4" t="s">
        <v>399</v>
      </c>
      <c r="AA2387" s="4" t="s">
        <v>38</v>
      </c>
      <c r="AB2387" s="4" t="s">
        <v>64</v>
      </c>
      <c r="AC2387" s="4" t="s">
        <v>6449</v>
      </c>
      <c r="AD2387" s="4" t="s">
        <v>6450</v>
      </c>
    </row>
    <row r="2388" spans="1:30" ht="29">
      <c r="A2388" s="4" t="s">
        <v>6380</v>
      </c>
      <c r="B2388" s="4" t="s">
        <v>6480</v>
      </c>
      <c r="C2388" s="4" t="s">
        <v>24</v>
      </c>
      <c r="D2388" s="4" t="s">
        <v>2659</v>
      </c>
      <c r="E2388" s="4" t="s">
        <v>396</v>
      </c>
      <c r="F2388" s="4" t="s">
        <v>28</v>
      </c>
      <c r="G2388" s="4" t="s">
        <v>2276</v>
      </c>
      <c r="H2388" s="4" t="s">
        <v>523</v>
      </c>
      <c r="I2388" s="4"/>
      <c r="J2388" s="4" t="s">
        <v>2276</v>
      </c>
      <c r="K2388" s="4" t="s">
        <v>2276</v>
      </c>
      <c r="L2388" s="4" t="s">
        <v>2276</v>
      </c>
      <c r="M2388" s="4" t="s">
        <v>2276</v>
      </c>
      <c r="N2388" s="4" t="s">
        <v>2276</v>
      </c>
      <c r="O2388" s="4" t="s">
        <v>2276</v>
      </c>
      <c r="P2388" s="4" t="s">
        <v>2276</v>
      </c>
      <c r="Q2388" s="4" t="s">
        <v>2276</v>
      </c>
      <c r="R2388" s="4" t="s">
        <v>2276</v>
      </c>
      <c r="S2388" s="4" t="s">
        <v>2276</v>
      </c>
      <c r="T2388" s="4" t="s">
        <v>2276</v>
      </c>
      <c r="U2388" s="75">
        <f t="shared" ref="U2388" si="5">100*(53+657+141*1/9+15*1/9)/(869+94)*((869+94)/(177+869+94))</f>
        <v>63.801169590643269</v>
      </c>
      <c r="V2388" s="4" t="s">
        <v>2276</v>
      </c>
      <c r="W2388" s="4" t="s">
        <v>2276</v>
      </c>
      <c r="X2388" s="4" t="s">
        <v>2276</v>
      </c>
      <c r="Y2388" s="4" t="s">
        <v>2276</v>
      </c>
      <c r="Z2388" s="4" t="s">
        <v>399</v>
      </c>
      <c r="AA2388" s="4" t="s">
        <v>38</v>
      </c>
      <c r="AB2388" s="4" t="s">
        <v>64</v>
      </c>
      <c r="AC2388" s="4" t="s">
        <v>6449</v>
      </c>
      <c r="AD2388" s="4" t="s">
        <v>6450</v>
      </c>
    </row>
    <row r="2389" spans="1:30" ht="58">
      <c r="A2389" s="4" t="s">
        <v>6381</v>
      </c>
      <c r="B2389" s="4" t="s">
        <v>6481</v>
      </c>
      <c r="C2389" s="4" t="s">
        <v>24</v>
      </c>
      <c r="D2389" s="4" t="s">
        <v>2659</v>
      </c>
      <c r="E2389" s="4" t="s">
        <v>396</v>
      </c>
      <c r="F2389" s="4" t="s">
        <v>28</v>
      </c>
      <c r="G2389" s="4" t="s">
        <v>2276</v>
      </c>
      <c r="H2389" s="4" t="s">
        <v>523</v>
      </c>
      <c r="I2389" s="4"/>
      <c r="J2389" s="4" t="s">
        <v>2276</v>
      </c>
      <c r="K2389" s="4" t="s">
        <v>2276</v>
      </c>
      <c r="L2389" s="4" t="s">
        <v>2276</v>
      </c>
      <c r="M2389" s="4" t="s">
        <v>2276</v>
      </c>
      <c r="N2389" s="4" t="s">
        <v>2276</v>
      </c>
      <c r="O2389" s="4" t="s">
        <v>2276</v>
      </c>
      <c r="P2389" s="4" t="s">
        <v>2276</v>
      </c>
      <c r="Q2389" s="4" t="s">
        <v>2276</v>
      </c>
      <c r="R2389" s="4" t="s">
        <v>2276</v>
      </c>
      <c r="S2389" s="4" t="s">
        <v>2276</v>
      </c>
      <c r="T2389" s="4" t="s">
        <v>2276</v>
      </c>
      <c r="U2389" s="4" t="s">
        <v>2276</v>
      </c>
      <c r="V2389" s="4" t="s">
        <v>2276</v>
      </c>
      <c r="W2389" s="4" t="s">
        <v>2276</v>
      </c>
      <c r="X2389" s="4" t="s">
        <v>2276</v>
      </c>
      <c r="Y2389" s="75">
        <v>1</v>
      </c>
      <c r="Z2389" s="4" t="s">
        <v>399</v>
      </c>
      <c r="AA2389" s="4" t="s">
        <v>38</v>
      </c>
      <c r="AB2389" s="4" t="s">
        <v>64</v>
      </c>
      <c r="AC2389" s="4" t="s">
        <v>6451</v>
      </c>
      <c r="AD2389" s="4" t="s">
        <v>6452</v>
      </c>
    </row>
    <row r="2390" spans="1:30" ht="58">
      <c r="A2390" s="4" t="s">
        <v>6381</v>
      </c>
      <c r="B2390" s="4" t="s">
        <v>6482</v>
      </c>
      <c r="C2390" s="4" t="s">
        <v>24</v>
      </c>
      <c r="D2390" s="4" t="s">
        <v>2659</v>
      </c>
      <c r="E2390" s="4" t="s">
        <v>396</v>
      </c>
      <c r="F2390" s="4" t="s">
        <v>28</v>
      </c>
      <c r="G2390" s="4" t="s">
        <v>2276</v>
      </c>
      <c r="H2390" s="4" t="s">
        <v>523</v>
      </c>
      <c r="I2390" s="4"/>
      <c r="J2390" s="4" t="s">
        <v>2276</v>
      </c>
      <c r="K2390" s="4" t="s">
        <v>2276</v>
      </c>
      <c r="L2390" s="4" t="s">
        <v>2276</v>
      </c>
      <c r="M2390" s="4" t="s">
        <v>2276</v>
      </c>
      <c r="N2390" s="4" t="s">
        <v>2276</v>
      </c>
      <c r="O2390" s="4" t="s">
        <v>2276</v>
      </c>
      <c r="P2390" s="4" t="s">
        <v>2276</v>
      </c>
      <c r="Q2390" s="4" t="s">
        <v>2276</v>
      </c>
      <c r="R2390" s="4" t="s">
        <v>2276</v>
      </c>
      <c r="S2390" s="4" t="s">
        <v>2276</v>
      </c>
      <c r="T2390" s="4" t="s">
        <v>2276</v>
      </c>
      <c r="U2390" s="4" t="s">
        <v>2276</v>
      </c>
      <c r="V2390" s="4" t="s">
        <v>2276</v>
      </c>
      <c r="W2390" s="4" t="s">
        <v>2276</v>
      </c>
      <c r="X2390" s="4" t="s">
        <v>2276</v>
      </c>
      <c r="Y2390" s="75">
        <v>1</v>
      </c>
      <c r="Z2390" s="4" t="s">
        <v>399</v>
      </c>
      <c r="AA2390" s="4" t="s">
        <v>38</v>
      </c>
      <c r="AB2390" s="4" t="s">
        <v>64</v>
      </c>
      <c r="AC2390" s="4" t="s">
        <v>6453</v>
      </c>
      <c r="AD2390" s="4" t="s">
        <v>6452</v>
      </c>
    </row>
    <row r="2391" spans="1:30" ht="58">
      <c r="A2391" s="4" t="s">
        <v>6381</v>
      </c>
      <c r="B2391" s="4" t="s">
        <v>6483</v>
      </c>
      <c r="C2391" s="4" t="s">
        <v>24</v>
      </c>
      <c r="D2391" s="4" t="s">
        <v>2659</v>
      </c>
      <c r="E2391" s="4" t="s">
        <v>396</v>
      </c>
      <c r="F2391" s="4" t="s">
        <v>28</v>
      </c>
      <c r="G2391" s="4" t="s">
        <v>2276</v>
      </c>
      <c r="H2391" s="4" t="s">
        <v>523</v>
      </c>
      <c r="I2391" s="4"/>
      <c r="J2391" s="4" t="s">
        <v>2276</v>
      </c>
      <c r="K2391" s="4" t="s">
        <v>2276</v>
      </c>
      <c r="L2391" s="4" t="s">
        <v>2276</v>
      </c>
      <c r="M2391" s="4" t="s">
        <v>2276</v>
      </c>
      <c r="N2391" s="4" t="s">
        <v>2276</v>
      </c>
      <c r="O2391" s="4" t="s">
        <v>2276</v>
      </c>
      <c r="P2391" s="4" t="s">
        <v>2276</v>
      </c>
      <c r="Q2391" s="4" t="s">
        <v>2276</v>
      </c>
      <c r="R2391" s="4" t="s">
        <v>2276</v>
      </c>
      <c r="S2391" s="4" t="s">
        <v>2276</v>
      </c>
      <c r="T2391" s="4" t="s">
        <v>2276</v>
      </c>
      <c r="U2391" s="4" t="s">
        <v>2276</v>
      </c>
      <c r="V2391" s="4" t="s">
        <v>2276</v>
      </c>
      <c r="W2391" s="4" t="s">
        <v>2276</v>
      </c>
      <c r="X2391" s="4" t="s">
        <v>2276</v>
      </c>
      <c r="Y2391" s="75">
        <v>1</v>
      </c>
      <c r="Z2391" s="4" t="s">
        <v>2276</v>
      </c>
      <c r="AA2391" s="4" t="s">
        <v>2276</v>
      </c>
      <c r="AB2391" s="4" t="s">
        <v>64</v>
      </c>
      <c r="AC2391" s="4" t="s">
        <v>6454</v>
      </c>
      <c r="AD2391" s="4" t="s">
        <v>6452</v>
      </c>
    </row>
    <row r="2392" spans="1:30" ht="58">
      <c r="A2392" s="4" t="s">
        <v>6381</v>
      </c>
      <c r="B2392" s="4" t="s">
        <v>6484</v>
      </c>
      <c r="C2392" s="4" t="s">
        <v>24</v>
      </c>
      <c r="D2392" s="4" t="s">
        <v>2659</v>
      </c>
      <c r="E2392" s="4" t="s">
        <v>396</v>
      </c>
      <c r="F2392" s="4" t="s">
        <v>28</v>
      </c>
      <c r="G2392" s="4" t="s">
        <v>2276</v>
      </c>
      <c r="H2392" s="4" t="s">
        <v>523</v>
      </c>
      <c r="I2392" s="4"/>
      <c r="J2392" s="4" t="s">
        <v>2276</v>
      </c>
      <c r="K2392" s="4" t="s">
        <v>2276</v>
      </c>
      <c r="L2392" s="4" t="s">
        <v>2276</v>
      </c>
      <c r="M2392" s="4" t="s">
        <v>2276</v>
      </c>
      <c r="N2392" s="4" t="s">
        <v>2276</v>
      </c>
      <c r="O2392" s="4" t="s">
        <v>2276</v>
      </c>
      <c r="P2392" s="4" t="s">
        <v>2276</v>
      </c>
      <c r="Q2392" s="4" t="s">
        <v>2276</v>
      </c>
      <c r="R2392" s="4" t="s">
        <v>2276</v>
      </c>
      <c r="S2392" s="4" t="s">
        <v>2276</v>
      </c>
      <c r="T2392" s="4" t="s">
        <v>2276</v>
      </c>
      <c r="U2392" s="4" t="s">
        <v>2276</v>
      </c>
      <c r="V2392" s="4" t="s">
        <v>2276</v>
      </c>
      <c r="W2392" s="4" t="s">
        <v>2276</v>
      </c>
      <c r="X2392" s="4" t="s">
        <v>2276</v>
      </c>
      <c r="Y2392" s="75">
        <v>1</v>
      </c>
      <c r="Z2392" s="4" t="s">
        <v>2276</v>
      </c>
      <c r="AA2392" s="4" t="s">
        <v>2276</v>
      </c>
      <c r="AB2392" s="4" t="s">
        <v>64</v>
      </c>
      <c r="AC2392" s="4" t="s">
        <v>6453</v>
      </c>
      <c r="AD2392" s="4" t="s">
        <v>6452</v>
      </c>
    </row>
    <row r="2393" spans="1:30" ht="58">
      <c r="A2393" s="4" t="s">
        <v>6381</v>
      </c>
      <c r="B2393" s="4" t="s">
        <v>6485</v>
      </c>
      <c r="C2393" s="4" t="s">
        <v>24</v>
      </c>
      <c r="D2393" s="4" t="s">
        <v>2659</v>
      </c>
      <c r="E2393" s="4" t="s">
        <v>396</v>
      </c>
      <c r="F2393" s="4" t="s">
        <v>28</v>
      </c>
      <c r="G2393" s="4" t="s">
        <v>2276</v>
      </c>
      <c r="H2393" s="4" t="s">
        <v>523</v>
      </c>
      <c r="I2393" s="4"/>
      <c r="J2393" s="4" t="s">
        <v>2276</v>
      </c>
      <c r="K2393" s="4" t="s">
        <v>2276</v>
      </c>
      <c r="L2393" s="4" t="s">
        <v>2276</v>
      </c>
      <c r="M2393" s="4" t="s">
        <v>2276</v>
      </c>
      <c r="N2393" s="4" t="s">
        <v>2276</v>
      </c>
      <c r="O2393" s="4" t="s">
        <v>2276</v>
      </c>
      <c r="P2393" s="4" t="s">
        <v>2276</v>
      </c>
      <c r="Q2393" s="4" t="s">
        <v>2276</v>
      </c>
      <c r="R2393" s="4" t="s">
        <v>2276</v>
      </c>
      <c r="S2393" s="4" t="s">
        <v>2276</v>
      </c>
      <c r="T2393" s="4" t="s">
        <v>2276</v>
      </c>
      <c r="U2393" s="4" t="s">
        <v>2276</v>
      </c>
      <c r="V2393" s="4" t="s">
        <v>2276</v>
      </c>
      <c r="W2393" s="4" t="s">
        <v>2276</v>
      </c>
      <c r="X2393" s="4" t="s">
        <v>2276</v>
      </c>
      <c r="Y2393" s="75">
        <v>1</v>
      </c>
      <c r="Z2393" s="4" t="s">
        <v>2276</v>
      </c>
      <c r="AA2393" s="4" t="s">
        <v>2276</v>
      </c>
      <c r="AB2393" s="4" t="s">
        <v>64</v>
      </c>
      <c r="AC2393" s="4" t="s">
        <v>6455</v>
      </c>
      <c r="AD2393" s="4" t="s">
        <v>6452</v>
      </c>
    </row>
    <row r="2394" spans="1:30" ht="58">
      <c r="A2394" s="4" t="s">
        <v>6381</v>
      </c>
      <c r="B2394" s="4" t="s">
        <v>6486</v>
      </c>
      <c r="C2394" s="4" t="s">
        <v>24</v>
      </c>
      <c r="D2394" s="4" t="s">
        <v>2659</v>
      </c>
      <c r="E2394" s="4" t="s">
        <v>396</v>
      </c>
      <c r="F2394" s="4" t="s">
        <v>28</v>
      </c>
      <c r="G2394" s="4" t="s">
        <v>2276</v>
      </c>
      <c r="H2394" s="4" t="s">
        <v>523</v>
      </c>
      <c r="I2394" s="4"/>
      <c r="J2394" s="4" t="s">
        <v>2276</v>
      </c>
      <c r="K2394" s="4" t="s">
        <v>2276</v>
      </c>
      <c r="L2394" s="4" t="s">
        <v>2276</v>
      </c>
      <c r="M2394" s="4" t="s">
        <v>2276</v>
      </c>
      <c r="N2394" s="4" t="s">
        <v>2276</v>
      </c>
      <c r="O2394" s="4" t="s">
        <v>2276</v>
      </c>
      <c r="P2394" s="4" t="s">
        <v>2276</v>
      </c>
      <c r="Q2394" s="4" t="s">
        <v>2276</v>
      </c>
      <c r="R2394" s="4" t="s">
        <v>2276</v>
      </c>
      <c r="S2394" s="4" t="s">
        <v>2276</v>
      </c>
      <c r="T2394" s="4" t="s">
        <v>2276</v>
      </c>
      <c r="U2394" s="4" t="s">
        <v>2276</v>
      </c>
      <c r="V2394" s="4" t="s">
        <v>2276</v>
      </c>
      <c r="W2394" s="4" t="s">
        <v>2276</v>
      </c>
      <c r="X2394" s="4" t="s">
        <v>2276</v>
      </c>
      <c r="Y2394" s="75">
        <v>1</v>
      </c>
      <c r="Z2394" s="4" t="s">
        <v>2276</v>
      </c>
      <c r="AA2394" s="4" t="s">
        <v>2276</v>
      </c>
      <c r="AB2394" s="4" t="s">
        <v>64</v>
      </c>
      <c r="AC2394" s="4" t="s">
        <v>6453</v>
      </c>
      <c r="AD2394" s="4" t="s">
        <v>6452</v>
      </c>
    </row>
    <row r="2395" spans="1:30" ht="58">
      <c r="A2395" s="4" t="s">
        <v>6381</v>
      </c>
      <c r="B2395" s="4" t="s">
        <v>6487</v>
      </c>
      <c r="C2395" s="4" t="s">
        <v>24</v>
      </c>
      <c r="D2395" s="4" t="s">
        <v>2659</v>
      </c>
      <c r="E2395" s="4" t="s">
        <v>397</v>
      </c>
      <c r="F2395" s="4" t="s">
        <v>28</v>
      </c>
      <c r="G2395" s="4" t="s">
        <v>2276</v>
      </c>
      <c r="H2395" s="4" t="s">
        <v>523</v>
      </c>
      <c r="I2395" s="4"/>
      <c r="J2395" s="4" t="s">
        <v>2276</v>
      </c>
      <c r="K2395" s="4" t="s">
        <v>2276</v>
      </c>
      <c r="L2395" s="4" t="s">
        <v>2276</v>
      </c>
      <c r="M2395" s="4" t="s">
        <v>2276</v>
      </c>
      <c r="N2395" s="4" t="s">
        <v>2276</v>
      </c>
      <c r="O2395" s="4" t="s">
        <v>2276</v>
      </c>
      <c r="P2395" s="4" t="s">
        <v>2276</v>
      </c>
      <c r="Q2395" s="4" t="s">
        <v>2276</v>
      </c>
      <c r="R2395" s="4" t="s">
        <v>2276</v>
      </c>
      <c r="S2395" s="4" t="s">
        <v>2276</v>
      </c>
      <c r="T2395" s="4" t="s">
        <v>2276</v>
      </c>
      <c r="U2395" s="4" t="s">
        <v>2276</v>
      </c>
      <c r="V2395" s="4" t="s">
        <v>2276</v>
      </c>
      <c r="W2395" s="4" t="s">
        <v>2276</v>
      </c>
      <c r="X2395" s="4" t="s">
        <v>2276</v>
      </c>
      <c r="Y2395" s="75">
        <v>1</v>
      </c>
      <c r="Z2395" s="4" t="s">
        <v>2276</v>
      </c>
      <c r="AA2395" s="4" t="s">
        <v>2276</v>
      </c>
      <c r="AB2395" s="4" t="s">
        <v>64</v>
      </c>
      <c r="AC2395" s="4" t="s">
        <v>6451</v>
      </c>
      <c r="AD2395" s="4" t="s">
        <v>6452</v>
      </c>
    </row>
    <row r="2396" spans="1:30" ht="58">
      <c r="A2396" s="4" t="s">
        <v>6381</v>
      </c>
      <c r="B2396" s="4" t="s">
        <v>6488</v>
      </c>
      <c r="C2396" s="4" t="s">
        <v>24</v>
      </c>
      <c r="D2396" s="4" t="s">
        <v>2659</v>
      </c>
      <c r="E2396" s="4" t="s">
        <v>397</v>
      </c>
      <c r="F2396" s="4" t="s">
        <v>28</v>
      </c>
      <c r="G2396" s="4" t="s">
        <v>2276</v>
      </c>
      <c r="H2396" s="4" t="s">
        <v>523</v>
      </c>
      <c r="I2396" s="4"/>
      <c r="J2396" s="4" t="s">
        <v>2276</v>
      </c>
      <c r="K2396" s="4" t="s">
        <v>2276</v>
      </c>
      <c r="L2396" s="4" t="s">
        <v>2276</v>
      </c>
      <c r="M2396" s="4" t="s">
        <v>2276</v>
      </c>
      <c r="N2396" s="4" t="s">
        <v>2276</v>
      </c>
      <c r="O2396" s="4" t="s">
        <v>2276</v>
      </c>
      <c r="P2396" s="4" t="s">
        <v>2276</v>
      </c>
      <c r="Q2396" s="4" t="s">
        <v>2276</v>
      </c>
      <c r="R2396" s="4" t="s">
        <v>2276</v>
      </c>
      <c r="S2396" s="4" t="s">
        <v>2276</v>
      </c>
      <c r="T2396" s="4" t="s">
        <v>2276</v>
      </c>
      <c r="U2396" s="4" t="s">
        <v>2276</v>
      </c>
      <c r="V2396" s="4" t="s">
        <v>2276</v>
      </c>
      <c r="W2396" s="4" t="s">
        <v>2276</v>
      </c>
      <c r="X2396" s="4" t="s">
        <v>2276</v>
      </c>
      <c r="Y2396" s="75">
        <v>1</v>
      </c>
      <c r="Z2396" s="4" t="s">
        <v>2276</v>
      </c>
      <c r="AA2396" s="4" t="s">
        <v>2276</v>
      </c>
      <c r="AB2396" s="4" t="s">
        <v>64</v>
      </c>
      <c r="AC2396" s="4" t="s">
        <v>6453</v>
      </c>
      <c r="AD2396" s="4" t="s">
        <v>6452</v>
      </c>
    </row>
    <row r="2397" spans="1:30" ht="58">
      <c r="A2397" s="4" t="s">
        <v>6381</v>
      </c>
      <c r="B2397" s="4" t="s">
        <v>6489</v>
      </c>
      <c r="C2397" s="4" t="s">
        <v>24</v>
      </c>
      <c r="D2397" s="4" t="s">
        <v>2659</v>
      </c>
      <c r="E2397" s="4" t="s">
        <v>397</v>
      </c>
      <c r="F2397" s="4" t="s">
        <v>28</v>
      </c>
      <c r="G2397" s="4" t="s">
        <v>2276</v>
      </c>
      <c r="H2397" s="4" t="s">
        <v>523</v>
      </c>
      <c r="I2397" s="4"/>
      <c r="J2397" s="4" t="s">
        <v>2276</v>
      </c>
      <c r="K2397" s="4" t="s">
        <v>2276</v>
      </c>
      <c r="L2397" s="4" t="s">
        <v>2276</v>
      </c>
      <c r="M2397" s="4" t="s">
        <v>2276</v>
      </c>
      <c r="N2397" s="4" t="s">
        <v>2276</v>
      </c>
      <c r="O2397" s="4" t="s">
        <v>2276</v>
      </c>
      <c r="P2397" s="4" t="s">
        <v>2276</v>
      </c>
      <c r="Q2397" s="4" t="s">
        <v>2276</v>
      </c>
      <c r="R2397" s="4" t="s">
        <v>2276</v>
      </c>
      <c r="S2397" s="4" t="s">
        <v>2276</v>
      </c>
      <c r="T2397" s="4" t="s">
        <v>2276</v>
      </c>
      <c r="U2397" s="4" t="s">
        <v>2276</v>
      </c>
      <c r="V2397" s="4" t="s">
        <v>2276</v>
      </c>
      <c r="W2397" s="4" t="s">
        <v>2276</v>
      </c>
      <c r="X2397" s="4" t="s">
        <v>2276</v>
      </c>
      <c r="Y2397" s="75">
        <v>1</v>
      </c>
      <c r="Z2397" s="4" t="s">
        <v>2276</v>
      </c>
      <c r="AA2397" s="4" t="s">
        <v>2276</v>
      </c>
      <c r="AB2397" s="4" t="s">
        <v>64</v>
      </c>
      <c r="AC2397" s="4" t="s">
        <v>6454</v>
      </c>
      <c r="AD2397" s="4" t="s">
        <v>6452</v>
      </c>
    </row>
    <row r="2398" spans="1:30" ht="58">
      <c r="A2398" s="4" t="s">
        <v>6381</v>
      </c>
      <c r="B2398" s="4" t="s">
        <v>6490</v>
      </c>
      <c r="C2398" s="4" t="s">
        <v>24</v>
      </c>
      <c r="D2398" s="4" t="s">
        <v>2659</v>
      </c>
      <c r="E2398" s="4" t="s">
        <v>397</v>
      </c>
      <c r="F2398" s="4" t="s">
        <v>28</v>
      </c>
      <c r="G2398" s="4" t="s">
        <v>2276</v>
      </c>
      <c r="H2398" s="4" t="s">
        <v>523</v>
      </c>
      <c r="I2398" s="4"/>
      <c r="J2398" s="4" t="s">
        <v>2276</v>
      </c>
      <c r="K2398" s="4" t="s">
        <v>2276</v>
      </c>
      <c r="L2398" s="4" t="s">
        <v>2276</v>
      </c>
      <c r="M2398" s="4" t="s">
        <v>2276</v>
      </c>
      <c r="N2398" s="4" t="s">
        <v>2276</v>
      </c>
      <c r="O2398" s="4" t="s">
        <v>2276</v>
      </c>
      <c r="P2398" s="4" t="s">
        <v>2276</v>
      </c>
      <c r="Q2398" s="4" t="s">
        <v>2276</v>
      </c>
      <c r="R2398" s="4" t="s">
        <v>2276</v>
      </c>
      <c r="S2398" s="4" t="s">
        <v>2276</v>
      </c>
      <c r="T2398" s="4" t="s">
        <v>2276</v>
      </c>
      <c r="U2398" s="4" t="s">
        <v>2276</v>
      </c>
      <c r="V2398" s="4" t="s">
        <v>2276</v>
      </c>
      <c r="W2398" s="4" t="s">
        <v>2276</v>
      </c>
      <c r="X2398" s="4" t="s">
        <v>2276</v>
      </c>
      <c r="Y2398" s="75">
        <v>1</v>
      </c>
      <c r="Z2398" s="4" t="s">
        <v>2276</v>
      </c>
      <c r="AA2398" s="4" t="s">
        <v>2276</v>
      </c>
      <c r="AB2398" s="4" t="s">
        <v>64</v>
      </c>
      <c r="AC2398" s="4" t="s">
        <v>6453</v>
      </c>
      <c r="AD2398" s="4" t="s">
        <v>6452</v>
      </c>
    </row>
    <row r="2399" spans="1:30" ht="58">
      <c r="A2399" s="4" t="s">
        <v>6381</v>
      </c>
      <c r="B2399" s="4" t="s">
        <v>6491</v>
      </c>
      <c r="C2399" s="4" t="s">
        <v>24</v>
      </c>
      <c r="D2399" s="4" t="s">
        <v>2659</v>
      </c>
      <c r="E2399" s="4" t="s">
        <v>397</v>
      </c>
      <c r="F2399" s="4" t="s">
        <v>28</v>
      </c>
      <c r="G2399" s="4" t="s">
        <v>2276</v>
      </c>
      <c r="H2399" s="4" t="s">
        <v>523</v>
      </c>
      <c r="I2399" s="4"/>
      <c r="J2399" s="4" t="s">
        <v>2276</v>
      </c>
      <c r="K2399" s="4" t="s">
        <v>2276</v>
      </c>
      <c r="L2399" s="4" t="s">
        <v>2276</v>
      </c>
      <c r="M2399" s="4" t="s">
        <v>2276</v>
      </c>
      <c r="N2399" s="4" t="s">
        <v>2276</v>
      </c>
      <c r="O2399" s="4" t="s">
        <v>2276</v>
      </c>
      <c r="P2399" s="4" t="s">
        <v>2276</v>
      </c>
      <c r="Q2399" s="4" t="s">
        <v>2276</v>
      </c>
      <c r="R2399" s="4" t="s">
        <v>2276</v>
      </c>
      <c r="S2399" s="4" t="s">
        <v>2276</v>
      </c>
      <c r="T2399" s="4" t="s">
        <v>2276</v>
      </c>
      <c r="U2399" s="4" t="s">
        <v>2276</v>
      </c>
      <c r="V2399" s="4" t="s">
        <v>2276</v>
      </c>
      <c r="W2399" s="4" t="s">
        <v>2276</v>
      </c>
      <c r="X2399" s="4" t="s">
        <v>2276</v>
      </c>
      <c r="Y2399" s="75">
        <v>1</v>
      </c>
      <c r="Z2399" s="4" t="s">
        <v>2276</v>
      </c>
      <c r="AA2399" s="4" t="s">
        <v>2276</v>
      </c>
      <c r="AB2399" s="4" t="s">
        <v>64</v>
      </c>
      <c r="AC2399" s="4" t="s">
        <v>6455</v>
      </c>
      <c r="AD2399" s="4" t="s">
        <v>6452</v>
      </c>
    </row>
    <row r="2400" spans="1:30" ht="58">
      <c r="A2400" s="4" t="s">
        <v>6381</v>
      </c>
      <c r="B2400" s="4" t="s">
        <v>6492</v>
      </c>
      <c r="C2400" s="4" t="s">
        <v>24</v>
      </c>
      <c r="D2400" s="4" t="s">
        <v>2659</v>
      </c>
      <c r="E2400" s="4" t="s">
        <v>397</v>
      </c>
      <c r="F2400" s="4" t="s">
        <v>28</v>
      </c>
      <c r="G2400" s="4" t="s">
        <v>2276</v>
      </c>
      <c r="H2400" s="4" t="s">
        <v>523</v>
      </c>
      <c r="I2400" s="4"/>
      <c r="J2400" s="4" t="s">
        <v>2276</v>
      </c>
      <c r="K2400" s="4" t="s">
        <v>2276</v>
      </c>
      <c r="L2400" s="4" t="s">
        <v>2276</v>
      </c>
      <c r="M2400" s="4" t="s">
        <v>2276</v>
      </c>
      <c r="N2400" s="4" t="s">
        <v>2276</v>
      </c>
      <c r="O2400" s="4" t="s">
        <v>2276</v>
      </c>
      <c r="P2400" s="4" t="s">
        <v>2276</v>
      </c>
      <c r="Q2400" s="4" t="s">
        <v>2276</v>
      </c>
      <c r="R2400" s="4" t="s">
        <v>2276</v>
      </c>
      <c r="S2400" s="4" t="s">
        <v>2276</v>
      </c>
      <c r="T2400" s="4" t="s">
        <v>2276</v>
      </c>
      <c r="U2400" s="4" t="s">
        <v>2276</v>
      </c>
      <c r="V2400" s="4" t="s">
        <v>2276</v>
      </c>
      <c r="W2400" s="4" t="s">
        <v>2276</v>
      </c>
      <c r="X2400" s="4" t="s">
        <v>2276</v>
      </c>
      <c r="Y2400" s="75">
        <v>1</v>
      </c>
      <c r="Z2400" s="4" t="s">
        <v>2276</v>
      </c>
      <c r="AA2400" s="4" t="s">
        <v>2276</v>
      </c>
      <c r="AB2400" s="4" t="s">
        <v>64</v>
      </c>
      <c r="AC2400" s="4" t="s">
        <v>6453</v>
      </c>
      <c r="AD2400" s="4" t="s">
        <v>6452</v>
      </c>
    </row>
    <row r="2401" spans="1:30" ht="29">
      <c r="A2401" s="4" t="s">
        <v>6336</v>
      </c>
      <c r="B2401" s="4" t="s">
        <v>6493</v>
      </c>
      <c r="C2401" s="4" t="s">
        <v>24</v>
      </c>
      <c r="D2401" s="4" t="s">
        <v>2659</v>
      </c>
      <c r="E2401" s="4" t="s">
        <v>396</v>
      </c>
      <c r="F2401" s="4" t="s">
        <v>28</v>
      </c>
      <c r="G2401" s="4" t="s">
        <v>2276</v>
      </c>
      <c r="H2401" s="4" t="s">
        <v>523</v>
      </c>
      <c r="I2401" s="4"/>
      <c r="J2401" s="75"/>
      <c r="K2401" s="75"/>
      <c r="L2401" s="75"/>
      <c r="M2401" s="75"/>
      <c r="N2401" s="75"/>
      <c r="O2401" s="75"/>
      <c r="P2401" s="75"/>
      <c r="Q2401" s="75"/>
      <c r="R2401" s="75"/>
      <c r="S2401" s="75"/>
      <c r="T2401" s="75"/>
      <c r="U2401" s="75"/>
      <c r="V2401" s="75"/>
      <c r="W2401" s="75"/>
      <c r="X2401" s="75"/>
      <c r="Y2401" s="75"/>
      <c r="Z2401" s="4" t="s">
        <v>2276</v>
      </c>
      <c r="AA2401" s="4" t="s">
        <v>2276</v>
      </c>
      <c r="AB2401" s="4" t="s">
        <v>64</v>
      </c>
      <c r="AC2401" s="4" t="s">
        <v>6451</v>
      </c>
      <c r="AD2401" s="4"/>
    </row>
    <row r="2402" spans="1:30" ht="29">
      <c r="A2402" s="4" t="s">
        <v>6336</v>
      </c>
      <c r="B2402" s="4" t="s">
        <v>6494</v>
      </c>
      <c r="C2402" s="4" t="s">
        <v>24</v>
      </c>
      <c r="D2402" s="4" t="s">
        <v>2659</v>
      </c>
      <c r="E2402" s="4" t="s">
        <v>396</v>
      </c>
      <c r="F2402" s="4" t="s">
        <v>28</v>
      </c>
      <c r="G2402" s="4" t="s">
        <v>2276</v>
      </c>
      <c r="H2402" s="4" t="s">
        <v>523</v>
      </c>
      <c r="I2402" s="4"/>
      <c r="J2402" s="75"/>
      <c r="K2402" s="75"/>
      <c r="L2402" s="75"/>
      <c r="M2402" s="75"/>
      <c r="N2402" s="75"/>
      <c r="O2402" s="75"/>
      <c r="P2402" s="75"/>
      <c r="Q2402" s="75"/>
      <c r="R2402" s="75"/>
      <c r="S2402" s="75"/>
      <c r="T2402" s="75"/>
      <c r="U2402" s="75"/>
      <c r="V2402" s="75"/>
      <c r="W2402" s="75"/>
      <c r="X2402" s="75"/>
      <c r="Y2402" s="75"/>
      <c r="Z2402" s="4" t="s">
        <v>2276</v>
      </c>
      <c r="AA2402" s="4" t="s">
        <v>2276</v>
      </c>
      <c r="AB2402" s="4" t="s">
        <v>64</v>
      </c>
      <c r="AC2402" s="4" t="s">
        <v>6453</v>
      </c>
      <c r="AD2402" s="4"/>
    </row>
    <row r="2403" spans="1:30" ht="29">
      <c r="A2403" s="4" t="s">
        <v>6336</v>
      </c>
      <c r="B2403" s="4" t="s">
        <v>6495</v>
      </c>
      <c r="C2403" s="4" t="s">
        <v>24</v>
      </c>
      <c r="D2403" s="4" t="s">
        <v>2659</v>
      </c>
      <c r="E2403" s="4" t="s">
        <v>397</v>
      </c>
      <c r="F2403" s="4" t="s">
        <v>28</v>
      </c>
      <c r="G2403" s="4" t="s">
        <v>2276</v>
      </c>
      <c r="H2403" s="4" t="s">
        <v>523</v>
      </c>
      <c r="I2403" s="4"/>
      <c r="J2403" s="75"/>
      <c r="K2403" s="75"/>
      <c r="L2403" s="75"/>
      <c r="M2403" s="75"/>
      <c r="N2403" s="75"/>
      <c r="O2403" s="75"/>
      <c r="P2403" s="75"/>
      <c r="Q2403" s="75"/>
      <c r="R2403" s="75"/>
      <c r="S2403" s="75"/>
      <c r="T2403" s="75"/>
      <c r="U2403" s="75"/>
      <c r="V2403" s="75"/>
      <c r="W2403" s="75"/>
      <c r="X2403" s="75"/>
      <c r="Y2403" s="75"/>
      <c r="Z2403" s="4" t="s">
        <v>2276</v>
      </c>
      <c r="AA2403" s="4" t="s">
        <v>2276</v>
      </c>
      <c r="AB2403" s="4" t="s">
        <v>64</v>
      </c>
      <c r="AC2403" s="4" t="s">
        <v>6451</v>
      </c>
      <c r="AD2403" s="4"/>
    </row>
    <row r="2404" spans="1:30" ht="29">
      <c r="A2404" s="4" t="s">
        <v>6336</v>
      </c>
      <c r="B2404" s="4" t="s">
        <v>6496</v>
      </c>
      <c r="C2404" s="4" t="s">
        <v>24</v>
      </c>
      <c r="D2404" s="4" t="s">
        <v>2659</v>
      </c>
      <c r="E2404" s="4" t="s">
        <v>397</v>
      </c>
      <c r="F2404" s="4" t="s">
        <v>28</v>
      </c>
      <c r="G2404" s="4" t="s">
        <v>2276</v>
      </c>
      <c r="H2404" s="4" t="s">
        <v>523</v>
      </c>
      <c r="I2404" s="4"/>
      <c r="J2404" s="75"/>
      <c r="K2404" s="75"/>
      <c r="L2404" s="75"/>
      <c r="M2404" s="75"/>
      <c r="N2404" s="75"/>
      <c r="O2404" s="75"/>
      <c r="P2404" s="75"/>
      <c r="Q2404" s="75"/>
      <c r="R2404" s="75"/>
      <c r="S2404" s="75"/>
      <c r="T2404" s="75"/>
      <c r="U2404" s="75"/>
      <c r="V2404" s="75"/>
      <c r="W2404" s="75"/>
      <c r="X2404" s="75"/>
      <c r="Y2404" s="75"/>
      <c r="Z2404" s="4" t="s">
        <v>2276</v>
      </c>
      <c r="AA2404" s="4" t="s">
        <v>2276</v>
      </c>
      <c r="AB2404" s="4" t="s">
        <v>64</v>
      </c>
      <c r="AC2404" s="4" t="s">
        <v>6453</v>
      </c>
      <c r="AD2404" s="4"/>
    </row>
    <row r="2405" spans="1:30" ht="29">
      <c r="A2405" s="4" t="s">
        <v>6337</v>
      </c>
      <c r="B2405" s="4" t="s">
        <v>6497</v>
      </c>
      <c r="C2405" s="4" t="s">
        <v>24</v>
      </c>
      <c r="D2405" s="4" t="s">
        <v>2659</v>
      </c>
      <c r="E2405" s="4" t="s">
        <v>396</v>
      </c>
      <c r="F2405" s="4" t="s">
        <v>28</v>
      </c>
      <c r="G2405" s="4" t="s">
        <v>2276</v>
      </c>
      <c r="H2405" s="4" t="s">
        <v>523</v>
      </c>
      <c r="I2405" s="4"/>
      <c r="J2405" s="75"/>
      <c r="K2405" s="75"/>
      <c r="L2405" s="75"/>
      <c r="M2405" s="75"/>
      <c r="N2405" s="75"/>
      <c r="O2405" s="75"/>
      <c r="P2405" s="75"/>
      <c r="Q2405" s="75"/>
      <c r="R2405" s="75"/>
      <c r="S2405" s="75"/>
      <c r="T2405" s="75"/>
      <c r="U2405" s="75"/>
      <c r="V2405" s="75"/>
      <c r="W2405" s="75"/>
      <c r="X2405" s="75"/>
      <c r="Y2405" s="75"/>
      <c r="Z2405" s="4" t="s">
        <v>2276</v>
      </c>
      <c r="AA2405" s="4" t="s">
        <v>2276</v>
      </c>
      <c r="AB2405" s="4" t="s">
        <v>64</v>
      </c>
      <c r="AC2405" s="4" t="s">
        <v>6451</v>
      </c>
      <c r="AD2405" s="4"/>
    </row>
    <row r="2406" spans="1:30" ht="29">
      <c r="A2406" s="4" t="s">
        <v>6337</v>
      </c>
      <c r="B2406" s="4" t="s">
        <v>6498</v>
      </c>
      <c r="C2406" s="4" t="s">
        <v>24</v>
      </c>
      <c r="D2406" s="4" t="s">
        <v>2659</v>
      </c>
      <c r="E2406" s="4" t="s">
        <v>396</v>
      </c>
      <c r="F2406" s="4" t="s">
        <v>28</v>
      </c>
      <c r="G2406" s="4" t="s">
        <v>2276</v>
      </c>
      <c r="H2406" s="4" t="s">
        <v>523</v>
      </c>
      <c r="I2406" s="4"/>
      <c r="J2406" s="75"/>
      <c r="K2406" s="75"/>
      <c r="L2406" s="75"/>
      <c r="M2406" s="75"/>
      <c r="N2406" s="75"/>
      <c r="O2406" s="75"/>
      <c r="P2406" s="75"/>
      <c r="Q2406" s="75"/>
      <c r="R2406" s="75"/>
      <c r="S2406" s="75"/>
      <c r="T2406" s="75"/>
      <c r="U2406" s="75"/>
      <c r="V2406" s="75"/>
      <c r="W2406" s="75"/>
      <c r="X2406" s="75"/>
      <c r="Y2406" s="75"/>
      <c r="Z2406" s="4" t="s">
        <v>2276</v>
      </c>
      <c r="AA2406" s="4" t="s">
        <v>2276</v>
      </c>
      <c r="AB2406" s="4" t="s">
        <v>64</v>
      </c>
      <c r="AC2406" s="4" t="s">
        <v>6453</v>
      </c>
      <c r="AD2406" s="4"/>
    </row>
    <row r="2407" spans="1:30" ht="29">
      <c r="A2407" s="4" t="s">
        <v>6337</v>
      </c>
      <c r="B2407" s="4" t="s">
        <v>6499</v>
      </c>
      <c r="C2407" s="4" t="s">
        <v>24</v>
      </c>
      <c r="D2407" s="4" t="s">
        <v>2659</v>
      </c>
      <c r="E2407" s="4" t="s">
        <v>397</v>
      </c>
      <c r="F2407" s="4" t="s">
        <v>28</v>
      </c>
      <c r="G2407" s="4" t="s">
        <v>2276</v>
      </c>
      <c r="H2407" s="4" t="s">
        <v>523</v>
      </c>
      <c r="I2407" s="4"/>
      <c r="J2407" s="75"/>
      <c r="K2407" s="75"/>
      <c r="L2407" s="75"/>
      <c r="M2407" s="75"/>
      <c r="N2407" s="75"/>
      <c r="O2407" s="75"/>
      <c r="P2407" s="75"/>
      <c r="Q2407" s="75"/>
      <c r="R2407" s="75"/>
      <c r="S2407" s="75"/>
      <c r="T2407" s="75"/>
      <c r="U2407" s="75"/>
      <c r="V2407" s="75"/>
      <c r="W2407" s="75"/>
      <c r="X2407" s="75"/>
      <c r="Y2407" s="75"/>
      <c r="Z2407" s="4" t="s">
        <v>2276</v>
      </c>
      <c r="AA2407" s="4" t="s">
        <v>2276</v>
      </c>
      <c r="AB2407" s="4" t="s">
        <v>64</v>
      </c>
      <c r="AC2407" s="4" t="s">
        <v>6451</v>
      </c>
      <c r="AD2407" s="4"/>
    </row>
    <row r="2408" spans="1:30" ht="29">
      <c r="A2408" s="4" t="s">
        <v>6337</v>
      </c>
      <c r="B2408" s="4" t="s">
        <v>6500</v>
      </c>
      <c r="C2408" s="4" t="s">
        <v>24</v>
      </c>
      <c r="D2408" s="4" t="s">
        <v>2659</v>
      </c>
      <c r="E2408" s="4" t="s">
        <v>397</v>
      </c>
      <c r="F2408" s="4" t="s">
        <v>28</v>
      </c>
      <c r="G2408" s="4" t="s">
        <v>2276</v>
      </c>
      <c r="H2408" s="4" t="s">
        <v>523</v>
      </c>
      <c r="I2408" s="4"/>
      <c r="J2408" s="75"/>
      <c r="K2408" s="75"/>
      <c r="L2408" s="75"/>
      <c r="M2408" s="75"/>
      <c r="N2408" s="75"/>
      <c r="O2408" s="75"/>
      <c r="P2408" s="75"/>
      <c r="Q2408" s="75"/>
      <c r="R2408" s="75"/>
      <c r="S2408" s="75"/>
      <c r="T2408" s="75"/>
      <c r="U2408" s="75"/>
      <c r="V2408" s="75"/>
      <c r="W2408" s="75"/>
      <c r="X2408" s="75"/>
      <c r="Y2408" s="75"/>
      <c r="Z2408" s="4" t="s">
        <v>2276</v>
      </c>
      <c r="AA2408" s="4" t="s">
        <v>2276</v>
      </c>
      <c r="AB2408" s="4" t="s">
        <v>64</v>
      </c>
      <c r="AC2408" s="4" t="s">
        <v>6453</v>
      </c>
      <c r="AD2408" s="4"/>
    </row>
    <row r="2409" spans="1:30" ht="29">
      <c r="A2409" s="4" t="s">
        <v>6338</v>
      </c>
      <c r="B2409" s="4" t="s">
        <v>6501</v>
      </c>
      <c r="C2409" s="4" t="s">
        <v>24</v>
      </c>
      <c r="D2409" s="4" t="s">
        <v>2659</v>
      </c>
      <c r="E2409" s="4" t="s">
        <v>396</v>
      </c>
      <c r="F2409" s="4" t="s">
        <v>28</v>
      </c>
      <c r="G2409" s="4" t="s">
        <v>2276</v>
      </c>
      <c r="H2409" s="4" t="s">
        <v>523</v>
      </c>
      <c r="I2409" s="4"/>
      <c r="J2409" s="75"/>
      <c r="K2409" s="75"/>
      <c r="L2409" s="75"/>
      <c r="M2409" s="75"/>
      <c r="N2409" s="75"/>
      <c r="O2409" s="75"/>
      <c r="P2409" s="75"/>
      <c r="Q2409" s="75"/>
      <c r="R2409" s="75"/>
      <c r="S2409" s="75"/>
      <c r="T2409" s="75"/>
      <c r="U2409" s="75"/>
      <c r="V2409" s="75"/>
      <c r="W2409" s="75"/>
      <c r="X2409" s="75"/>
      <c r="Y2409" s="75"/>
      <c r="Z2409" s="4" t="s">
        <v>2276</v>
      </c>
      <c r="AA2409" s="4" t="s">
        <v>2276</v>
      </c>
      <c r="AB2409" s="4" t="s">
        <v>64</v>
      </c>
      <c r="AC2409" s="4" t="s">
        <v>6456</v>
      </c>
      <c r="AD2409" s="4"/>
    </row>
    <row r="2410" spans="1:30" ht="29">
      <c r="A2410" s="4" t="s">
        <v>6338</v>
      </c>
      <c r="B2410" s="4" t="s">
        <v>6502</v>
      </c>
      <c r="C2410" s="4" t="s">
        <v>24</v>
      </c>
      <c r="D2410" s="4" t="s">
        <v>2659</v>
      </c>
      <c r="E2410" s="4" t="s">
        <v>397</v>
      </c>
      <c r="F2410" s="4" t="s">
        <v>28</v>
      </c>
      <c r="G2410" s="4" t="s">
        <v>2276</v>
      </c>
      <c r="H2410" s="4" t="s">
        <v>523</v>
      </c>
      <c r="I2410" s="4"/>
      <c r="J2410" s="75"/>
      <c r="K2410" s="75"/>
      <c r="L2410" s="75"/>
      <c r="M2410" s="75"/>
      <c r="N2410" s="75"/>
      <c r="O2410" s="75"/>
      <c r="P2410" s="75"/>
      <c r="Q2410" s="75"/>
      <c r="R2410" s="75"/>
      <c r="S2410" s="75"/>
      <c r="T2410" s="75"/>
      <c r="U2410" s="75"/>
      <c r="V2410" s="75"/>
      <c r="W2410" s="75"/>
      <c r="X2410" s="75"/>
      <c r="Y2410" s="75"/>
      <c r="Z2410" s="4" t="s">
        <v>2276</v>
      </c>
      <c r="AA2410" s="4" t="s">
        <v>2276</v>
      </c>
      <c r="AB2410" s="4" t="s">
        <v>64</v>
      </c>
      <c r="AC2410" s="4" t="s">
        <v>6456</v>
      </c>
      <c r="AD2410" s="4"/>
    </row>
    <row r="2411" spans="1:30" ht="29">
      <c r="A2411" s="4" t="s">
        <v>6339</v>
      </c>
      <c r="B2411" s="4" t="s">
        <v>6503</v>
      </c>
      <c r="C2411" s="4" t="s">
        <v>24</v>
      </c>
      <c r="D2411" s="4" t="s">
        <v>2659</v>
      </c>
      <c r="E2411" s="4" t="s">
        <v>396</v>
      </c>
      <c r="F2411" s="4" t="s">
        <v>28</v>
      </c>
      <c r="G2411" s="4" t="s">
        <v>2276</v>
      </c>
      <c r="H2411" s="4" t="s">
        <v>523</v>
      </c>
      <c r="I2411" s="4"/>
      <c r="J2411" s="75"/>
      <c r="K2411" s="75"/>
      <c r="L2411" s="75"/>
      <c r="M2411" s="75"/>
      <c r="N2411" s="75"/>
      <c r="O2411" s="75"/>
      <c r="P2411" s="75"/>
      <c r="Q2411" s="75"/>
      <c r="R2411" s="75"/>
      <c r="S2411" s="75"/>
      <c r="T2411" s="75"/>
      <c r="U2411" s="75"/>
      <c r="V2411" s="75"/>
      <c r="W2411" s="75"/>
      <c r="X2411" s="75"/>
      <c r="Y2411" s="75"/>
      <c r="Z2411" s="4" t="s">
        <v>2276</v>
      </c>
      <c r="AA2411" s="4" t="s">
        <v>2276</v>
      </c>
      <c r="AB2411" s="4" t="s">
        <v>64</v>
      </c>
      <c r="AC2411" s="4" t="s">
        <v>6457</v>
      </c>
      <c r="AD2411" s="4"/>
    </row>
    <row r="2412" spans="1:30" ht="29">
      <c r="A2412" s="4" t="s">
        <v>6339</v>
      </c>
      <c r="B2412" s="4" t="s">
        <v>6504</v>
      </c>
      <c r="C2412" s="4" t="s">
        <v>24</v>
      </c>
      <c r="D2412" s="4" t="s">
        <v>2659</v>
      </c>
      <c r="E2412" s="4" t="s">
        <v>396</v>
      </c>
      <c r="F2412" s="4" t="s">
        <v>28</v>
      </c>
      <c r="G2412" s="4" t="s">
        <v>2276</v>
      </c>
      <c r="H2412" s="4" t="s">
        <v>523</v>
      </c>
      <c r="I2412" s="4"/>
      <c r="J2412" s="75"/>
      <c r="K2412" s="75"/>
      <c r="L2412" s="75"/>
      <c r="M2412" s="75"/>
      <c r="N2412" s="75"/>
      <c r="O2412" s="75"/>
      <c r="P2412" s="75"/>
      <c r="Q2412" s="75"/>
      <c r="R2412" s="75"/>
      <c r="S2412" s="75"/>
      <c r="T2412" s="75"/>
      <c r="U2412" s="75"/>
      <c r="V2412" s="75"/>
      <c r="W2412" s="75"/>
      <c r="X2412" s="75"/>
      <c r="Y2412" s="75"/>
      <c r="Z2412" s="4" t="s">
        <v>2276</v>
      </c>
      <c r="AA2412" s="4" t="s">
        <v>2276</v>
      </c>
      <c r="AB2412" s="4" t="s">
        <v>64</v>
      </c>
      <c r="AC2412" s="4" t="s">
        <v>6458</v>
      </c>
      <c r="AD2412" s="4"/>
    </row>
    <row r="2413" spans="1:30" ht="29">
      <c r="A2413" s="4" t="s">
        <v>6339</v>
      </c>
      <c r="B2413" s="4" t="s">
        <v>6505</v>
      </c>
      <c r="C2413" s="4" t="s">
        <v>24</v>
      </c>
      <c r="D2413" s="4" t="s">
        <v>2659</v>
      </c>
      <c r="E2413" s="4" t="s">
        <v>397</v>
      </c>
      <c r="F2413" s="4" t="s">
        <v>28</v>
      </c>
      <c r="G2413" s="4" t="s">
        <v>2276</v>
      </c>
      <c r="H2413" s="4" t="s">
        <v>523</v>
      </c>
      <c r="I2413" s="4"/>
      <c r="J2413" s="75"/>
      <c r="K2413" s="75"/>
      <c r="L2413" s="75"/>
      <c r="M2413" s="75"/>
      <c r="N2413" s="75"/>
      <c r="O2413" s="75"/>
      <c r="P2413" s="75"/>
      <c r="Q2413" s="75"/>
      <c r="R2413" s="75"/>
      <c r="S2413" s="75"/>
      <c r="T2413" s="75"/>
      <c r="U2413" s="75"/>
      <c r="V2413" s="75"/>
      <c r="W2413" s="75"/>
      <c r="X2413" s="75"/>
      <c r="Y2413" s="75"/>
      <c r="Z2413" s="4" t="s">
        <v>2276</v>
      </c>
      <c r="AA2413" s="4" t="s">
        <v>2276</v>
      </c>
      <c r="AB2413" s="4" t="s">
        <v>64</v>
      </c>
      <c r="AC2413" s="4" t="s">
        <v>6457</v>
      </c>
      <c r="AD2413" s="4"/>
    </row>
    <row r="2414" spans="1:30" ht="29">
      <c r="A2414" s="4" t="s">
        <v>6339</v>
      </c>
      <c r="B2414" s="4" t="s">
        <v>6506</v>
      </c>
      <c r="C2414" s="4" t="s">
        <v>24</v>
      </c>
      <c r="D2414" s="4" t="s">
        <v>2659</v>
      </c>
      <c r="E2414" s="4" t="s">
        <v>397</v>
      </c>
      <c r="F2414" s="4" t="s">
        <v>28</v>
      </c>
      <c r="G2414" s="4" t="s">
        <v>2276</v>
      </c>
      <c r="H2414" s="4" t="s">
        <v>523</v>
      </c>
      <c r="I2414" s="4"/>
      <c r="J2414" s="75"/>
      <c r="K2414" s="75"/>
      <c r="L2414" s="75"/>
      <c r="M2414" s="75"/>
      <c r="N2414" s="75"/>
      <c r="O2414" s="75"/>
      <c r="P2414" s="75"/>
      <c r="Q2414" s="75"/>
      <c r="R2414" s="75"/>
      <c r="S2414" s="75"/>
      <c r="T2414" s="75"/>
      <c r="U2414" s="75"/>
      <c r="V2414" s="75"/>
      <c r="W2414" s="75"/>
      <c r="X2414" s="75"/>
      <c r="Y2414" s="75"/>
      <c r="Z2414" s="4" t="s">
        <v>2276</v>
      </c>
      <c r="AA2414" s="4" t="s">
        <v>2276</v>
      </c>
      <c r="AB2414" s="4" t="s">
        <v>64</v>
      </c>
      <c r="AC2414" s="4" t="s">
        <v>6458</v>
      </c>
      <c r="AD2414" s="4"/>
    </row>
    <row r="2415" spans="1:30" ht="29">
      <c r="A2415" s="4" t="s">
        <v>6340</v>
      </c>
      <c r="B2415" s="4" t="s">
        <v>6507</v>
      </c>
      <c r="C2415" s="4" t="s">
        <v>24</v>
      </c>
      <c r="D2415" s="4" t="s">
        <v>2659</v>
      </c>
      <c r="E2415" s="4" t="s">
        <v>397</v>
      </c>
      <c r="F2415" s="4" t="s">
        <v>28</v>
      </c>
      <c r="G2415" s="4" t="s">
        <v>2276</v>
      </c>
      <c r="H2415" s="4" t="s">
        <v>523</v>
      </c>
      <c r="I2415" s="4"/>
      <c r="J2415" s="75"/>
      <c r="K2415" s="75"/>
      <c r="L2415" s="75"/>
      <c r="M2415" s="75"/>
      <c r="N2415" s="75"/>
      <c r="O2415" s="75"/>
      <c r="P2415" s="75"/>
      <c r="Q2415" s="75"/>
      <c r="R2415" s="75"/>
      <c r="S2415" s="75"/>
      <c r="T2415" s="75"/>
      <c r="U2415" s="75"/>
      <c r="V2415" s="75"/>
      <c r="W2415" s="75"/>
      <c r="X2415" s="75"/>
      <c r="Y2415" s="75"/>
      <c r="Z2415" s="4" t="s">
        <v>2276</v>
      </c>
      <c r="AA2415" s="4" t="s">
        <v>2276</v>
      </c>
      <c r="AB2415" s="4" t="s">
        <v>64</v>
      </c>
      <c r="AC2415" s="4" t="s">
        <v>6457</v>
      </c>
      <c r="AD2415" s="4"/>
    </row>
    <row r="2416" spans="1:30" ht="29">
      <c r="A2416" s="4" t="s">
        <v>6340</v>
      </c>
      <c r="B2416" s="4" t="s">
        <v>6508</v>
      </c>
      <c r="C2416" s="4" t="s">
        <v>24</v>
      </c>
      <c r="D2416" s="4" t="s">
        <v>2659</v>
      </c>
      <c r="E2416" s="4" t="s">
        <v>397</v>
      </c>
      <c r="F2416" s="4" t="s">
        <v>28</v>
      </c>
      <c r="G2416" s="4" t="s">
        <v>2276</v>
      </c>
      <c r="H2416" s="4" t="s">
        <v>523</v>
      </c>
      <c r="I2416" s="4"/>
      <c r="J2416" s="75"/>
      <c r="K2416" s="75"/>
      <c r="L2416" s="75"/>
      <c r="M2416" s="75"/>
      <c r="N2416" s="75"/>
      <c r="O2416" s="75"/>
      <c r="P2416" s="75"/>
      <c r="Q2416" s="75"/>
      <c r="R2416" s="75"/>
      <c r="S2416" s="75"/>
      <c r="T2416" s="75"/>
      <c r="U2416" s="75"/>
      <c r="V2416" s="75"/>
      <c r="W2416" s="75"/>
      <c r="X2416" s="75"/>
      <c r="Y2416" s="75"/>
      <c r="Z2416" s="4" t="s">
        <v>2276</v>
      </c>
      <c r="AA2416" s="4" t="s">
        <v>2276</v>
      </c>
      <c r="AB2416" s="4" t="s">
        <v>64</v>
      </c>
      <c r="AC2416" s="4" t="s">
        <v>6458</v>
      </c>
      <c r="AD2416" s="4"/>
    </row>
    <row r="2417" spans="1:30" ht="29">
      <c r="A2417" s="4" t="s">
        <v>6340</v>
      </c>
      <c r="B2417" s="4" t="s">
        <v>6509</v>
      </c>
      <c r="C2417" s="4" t="s">
        <v>24</v>
      </c>
      <c r="D2417" s="4" t="s">
        <v>2659</v>
      </c>
      <c r="E2417" s="4" t="s">
        <v>396</v>
      </c>
      <c r="F2417" s="4" t="s">
        <v>28</v>
      </c>
      <c r="G2417" s="4" t="s">
        <v>2276</v>
      </c>
      <c r="H2417" s="4" t="s">
        <v>523</v>
      </c>
      <c r="I2417" s="4"/>
      <c r="J2417" s="75"/>
      <c r="K2417" s="75"/>
      <c r="L2417" s="75"/>
      <c r="M2417" s="75"/>
      <c r="N2417" s="75"/>
      <c r="O2417" s="75"/>
      <c r="P2417" s="75"/>
      <c r="Q2417" s="75"/>
      <c r="R2417" s="75"/>
      <c r="S2417" s="75"/>
      <c r="T2417" s="75"/>
      <c r="U2417" s="75"/>
      <c r="V2417" s="75"/>
      <c r="W2417" s="75"/>
      <c r="X2417" s="75"/>
      <c r="Y2417" s="75"/>
      <c r="Z2417" s="4" t="s">
        <v>2276</v>
      </c>
      <c r="AA2417" s="4" t="s">
        <v>2276</v>
      </c>
      <c r="AB2417" s="4" t="s">
        <v>64</v>
      </c>
      <c r="AC2417" s="4" t="s">
        <v>6457</v>
      </c>
      <c r="AD2417" s="4"/>
    </row>
    <row r="2418" spans="1:30" ht="29">
      <c r="A2418" s="4" t="s">
        <v>6340</v>
      </c>
      <c r="B2418" s="4" t="s">
        <v>6510</v>
      </c>
      <c r="C2418" s="4" t="s">
        <v>24</v>
      </c>
      <c r="D2418" s="4" t="s">
        <v>2659</v>
      </c>
      <c r="E2418" s="4" t="s">
        <v>396</v>
      </c>
      <c r="F2418" s="4" t="s">
        <v>28</v>
      </c>
      <c r="G2418" s="4" t="s">
        <v>2276</v>
      </c>
      <c r="H2418" s="4" t="s">
        <v>523</v>
      </c>
      <c r="I2418" s="4"/>
      <c r="J2418" s="75"/>
      <c r="K2418" s="75"/>
      <c r="L2418" s="75"/>
      <c r="M2418" s="75"/>
      <c r="N2418" s="75"/>
      <c r="O2418" s="75"/>
      <c r="P2418" s="75"/>
      <c r="Q2418" s="75"/>
      <c r="R2418" s="75"/>
      <c r="S2418" s="75"/>
      <c r="T2418" s="75"/>
      <c r="U2418" s="75"/>
      <c r="V2418" s="75"/>
      <c r="W2418" s="75"/>
      <c r="X2418" s="75"/>
      <c r="Y2418" s="75"/>
      <c r="Z2418" s="4" t="s">
        <v>2276</v>
      </c>
      <c r="AA2418" s="4" t="s">
        <v>2276</v>
      </c>
      <c r="AB2418" s="4" t="s">
        <v>64</v>
      </c>
      <c r="AC2418" s="4" t="s">
        <v>6458</v>
      </c>
      <c r="AD2418" s="4"/>
    </row>
    <row r="2419" spans="1:30" ht="29">
      <c r="A2419" s="4" t="s">
        <v>6341</v>
      </c>
      <c r="B2419" s="4" t="s">
        <v>6511</v>
      </c>
      <c r="C2419" s="4" t="s">
        <v>24</v>
      </c>
      <c r="D2419" s="4" t="s">
        <v>2659</v>
      </c>
      <c r="E2419" s="4" t="s">
        <v>397</v>
      </c>
      <c r="F2419" s="4" t="s">
        <v>28</v>
      </c>
      <c r="G2419" s="4" t="s">
        <v>2276</v>
      </c>
      <c r="H2419" s="4" t="s">
        <v>523</v>
      </c>
      <c r="I2419" s="4"/>
      <c r="J2419" s="75"/>
      <c r="K2419" s="75"/>
      <c r="L2419" s="75"/>
      <c r="M2419" s="75"/>
      <c r="N2419" s="75"/>
      <c r="O2419" s="75"/>
      <c r="P2419" s="75"/>
      <c r="Q2419" s="75"/>
      <c r="R2419" s="75"/>
      <c r="S2419" s="75"/>
      <c r="T2419" s="75"/>
      <c r="U2419" s="75"/>
      <c r="V2419" s="75"/>
      <c r="W2419" s="75"/>
      <c r="X2419" s="75"/>
      <c r="Y2419" s="75"/>
      <c r="Z2419" s="4" t="s">
        <v>2276</v>
      </c>
      <c r="AA2419" s="4" t="s">
        <v>2276</v>
      </c>
      <c r="AB2419" s="4" t="s">
        <v>64</v>
      </c>
      <c r="AC2419" s="4" t="s">
        <v>6457</v>
      </c>
      <c r="AD2419" s="4"/>
    </row>
    <row r="2420" spans="1:30" ht="29">
      <c r="A2420" s="4" t="s">
        <v>6341</v>
      </c>
      <c r="B2420" s="4" t="s">
        <v>6512</v>
      </c>
      <c r="C2420" s="4" t="s">
        <v>24</v>
      </c>
      <c r="D2420" s="4" t="s">
        <v>2659</v>
      </c>
      <c r="E2420" s="4" t="s">
        <v>397</v>
      </c>
      <c r="F2420" s="4" t="s">
        <v>28</v>
      </c>
      <c r="G2420" s="4" t="s">
        <v>2276</v>
      </c>
      <c r="H2420" s="4" t="s">
        <v>523</v>
      </c>
      <c r="I2420" s="4"/>
      <c r="J2420" s="75"/>
      <c r="K2420" s="75"/>
      <c r="L2420" s="75"/>
      <c r="M2420" s="75"/>
      <c r="N2420" s="75"/>
      <c r="O2420" s="75"/>
      <c r="P2420" s="75"/>
      <c r="Q2420" s="75"/>
      <c r="R2420" s="75"/>
      <c r="S2420" s="75"/>
      <c r="T2420" s="75"/>
      <c r="U2420" s="75"/>
      <c r="V2420" s="75"/>
      <c r="W2420" s="75"/>
      <c r="X2420" s="75"/>
      <c r="Y2420" s="75"/>
      <c r="Z2420" s="4" t="s">
        <v>2276</v>
      </c>
      <c r="AA2420" s="4" t="s">
        <v>2276</v>
      </c>
      <c r="AB2420" s="4" t="s">
        <v>64</v>
      </c>
      <c r="AC2420" s="4" t="s">
        <v>6458</v>
      </c>
      <c r="AD2420" s="4"/>
    </row>
    <row r="2421" spans="1:30" ht="29">
      <c r="A2421" s="4" t="s">
        <v>6341</v>
      </c>
      <c r="B2421" s="4" t="s">
        <v>6513</v>
      </c>
      <c r="C2421" s="4" t="s">
        <v>24</v>
      </c>
      <c r="D2421" s="4" t="s">
        <v>2659</v>
      </c>
      <c r="E2421" s="4" t="s">
        <v>396</v>
      </c>
      <c r="F2421" s="4" t="s">
        <v>28</v>
      </c>
      <c r="G2421" s="4" t="s">
        <v>2276</v>
      </c>
      <c r="H2421" s="4" t="s">
        <v>523</v>
      </c>
      <c r="I2421" s="4"/>
      <c r="J2421" s="75"/>
      <c r="K2421" s="75"/>
      <c r="L2421" s="75"/>
      <c r="M2421" s="75"/>
      <c r="N2421" s="75"/>
      <c r="O2421" s="75"/>
      <c r="P2421" s="75"/>
      <c r="Q2421" s="75"/>
      <c r="R2421" s="75"/>
      <c r="S2421" s="75"/>
      <c r="T2421" s="75"/>
      <c r="U2421" s="75"/>
      <c r="V2421" s="75"/>
      <c r="W2421" s="75"/>
      <c r="X2421" s="75"/>
      <c r="Y2421" s="75"/>
      <c r="Z2421" s="4" t="s">
        <v>2276</v>
      </c>
      <c r="AA2421" s="4" t="s">
        <v>2276</v>
      </c>
      <c r="AB2421" s="4" t="s">
        <v>64</v>
      </c>
      <c r="AC2421" s="4" t="s">
        <v>6457</v>
      </c>
      <c r="AD2421" s="4"/>
    </row>
    <row r="2422" spans="1:30" ht="29">
      <c r="A2422" s="4" t="s">
        <v>6341</v>
      </c>
      <c r="B2422" s="4" t="s">
        <v>6514</v>
      </c>
      <c r="C2422" s="4" t="s">
        <v>24</v>
      </c>
      <c r="D2422" s="4" t="s">
        <v>2659</v>
      </c>
      <c r="E2422" s="4" t="s">
        <v>396</v>
      </c>
      <c r="F2422" s="4" t="s">
        <v>28</v>
      </c>
      <c r="G2422" s="4" t="s">
        <v>2276</v>
      </c>
      <c r="H2422" s="4" t="s">
        <v>523</v>
      </c>
      <c r="I2422" s="4"/>
      <c r="J2422" s="75"/>
      <c r="K2422" s="75"/>
      <c r="L2422" s="75"/>
      <c r="M2422" s="75"/>
      <c r="N2422" s="75"/>
      <c r="O2422" s="75"/>
      <c r="P2422" s="75"/>
      <c r="Q2422" s="75"/>
      <c r="R2422" s="75"/>
      <c r="S2422" s="75"/>
      <c r="T2422" s="75"/>
      <c r="U2422" s="75"/>
      <c r="V2422" s="75"/>
      <c r="W2422" s="75"/>
      <c r="X2422" s="75"/>
      <c r="Y2422" s="75"/>
      <c r="Z2422" s="4" t="s">
        <v>2276</v>
      </c>
      <c r="AA2422" s="4" t="s">
        <v>2276</v>
      </c>
      <c r="AB2422" s="4" t="s">
        <v>64</v>
      </c>
      <c r="AC2422" s="4" t="s">
        <v>6458</v>
      </c>
      <c r="AD2422" s="4"/>
    </row>
    <row r="2423" spans="1:30" ht="29">
      <c r="A2423" s="4" t="s">
        <v>6342</v>
      </c>
      <c r="B2423" s="4" t="s">
        <v>6515</v>
      </c>
      <c r="C2423" s="4" t="s">
        <v>24</v>
      </c>
      <c r="D2423" s="4" t="s">
        <v>2659</v>
      </c>
      <c r="E2423" s="4" t="s">
        <v>397</v>
      </c>
      <c r="F2423" s="4" t="s">
        <v>28</v>
      </c>
      <c r="G2423" s="4" t="s">
        <v>2276</v>
      </c>
      <c r="H2423" s="4" t="s">
        <v>523</v>
      </c>
      <c r="I2423" s="4"/>
      <c r="J2423" s="75"/>
      <c r="K2423" s="75"/>
      <c r="L2423" s="75"/>
      <c r="M2423" s="75"/>
      <c r="N2423" s="75"/>
      <c r="O2423" s="75"/>
      <c r="P2423" s="75"/>
      <c r="Q2423" s="75"/>
      <c r="R2423" s="75"/>
      <c r="S2423" s="75"/>
      <c r="T2423" s="75"/>
      <c r="U2423" s="75"/>
      <c r="V2423" s="75"/>
      <c r="W2423" s="75"/>
      <c r="X2423" s="75"/>
      <c r="Y2423" s="75"/>
      <c r="Z2423" s="4" t="s">
        <v>2276</v>
      </c>
      <c r="AA2423" s="4" t="s">
        <v>2276</v>
      </c>
      <c r="AB2423" s="4" t="s">
        <v>64</v>
      </c>
      <c r="AC2423" s="4" t="s">
        <v>6459</v>
      </c>
      <c r="AD2423" s="4"/>
    </row>
    <row r="2424" spans="1:30" ht="29">
      <c r="A2424" s="4" t="s">
        <v>6342</v>
      </c>
      <c r="B2424" s="4" t="s">
        <v>6516</v>
      </c>
      <c r="C2424" s="4" t="s">
        <v>24</v>
      </c>
      <c r="D2424" s="4" t="s">
        <v>2659</v>
      </c>
      <c r="E2424" s="4" t="s">
        <v>397</v>
      </c>
      <c r="F2424" s="4" t="s">
        <v>28</v>
      </c>
      <c r="G2424" s="4" t="s">
        <v>2276</v>
      </c>
      <c r="H2424" s="4" t="s">
        <v>523</v>
      </c>
      <c r="I2424" s="4"/>
      <c r="J2424" s="75"/>
      <c r="K2424" s="75"/>
      <c r="L2424" s="75"/>
      <c r="M2424" s="75"/>
      <c r="N2424" s="75"/>
      <c r="O2424" s="75"/>
      <c r="P2424" s="75"/>
      <c r="Q2424" s="75"/>
      <c r="R2424" s="75"/>
      <c r="S2424" s="75"/>
      <c r="T2424" s="75"/>
      <c r="U2424" s="75"/>
      <c r="V2424" s="75"/>
      <c r="W2424" s="75"/>
      <c r="X2424" s="75"/>
      <c r="Y2424" s="75"/>
      <c r="Z2424" s="4" t="s">
        <v>2276</v>
      </c>
      <c r="AA2424" s="4" t="s">
        <v>2276</v>
      </c>
      <c r="AB2424" s="4" t="s">
        <v>64</v>
      </c>
      <c r="AC2424" s="4" t="s">
        <v>6460</v>
      </c>
      <c r="AD2424" s="4"/>
    </row>
    <row r="2425" spans="1:30" ht="29">
      <c r="A2425" s="4" t="s">
        <v>6342</v>
      </c>
      <c r="B2425" s="4" t="s">
        <v>6517</v>
      </c>
      <c r="C2425" s="4" t="s">
        <v>24</v>
      </c>
      <c r="D2425" s="4" t="s">
        <v>2659</v>
      </c>
      <c r="E2425" s="4" t="s">
        <v>396</v>
      </c>
      <c r="F2425" s="4" t="s">
        <v>28</v>
      </c>
      <c r="G2425" s="4" t="s">
        <v>2276</v>
      </c>
      <c r="H2425" s="4" t="s">
        <v>523</v>
      </c>
      <c r="I2425" s="4"/>
      <c r="J2425" s="75"/>
      <c r="K2425" s="75"/>
      <c r="L2425" s="75"/>
      <c r="M2425" s="75"/>
      <c r="N2425" s="75"/>
      <c r="O2425" s="75"/>
      <c r="P2425" s="75"/>
      <c r="Q2425" s="75"/>
      <c r="R2425" s="75"/>
      <c r="S2425" s="75"/>
      <c r="T2425" s="75"/>
      <c r="U2425" s="75"/>
      <c r="V2425" s="75"/>
      <c r="W2425" s="75"/>
      <c r="X2425" s="75"/>
      <c r="Y2425" s="75"/>
      <c r="Z2425" s="4" t="s">
        <v>2276</v>
      </c>
      <c r="AA2425" s="4" t="s">
        <v>2276</v>
      </c>
      <c r="AB2425" s="4" t="s">
        <v>64</v>
      </c>
      <c r="AC2425" s="4" t="s">
        <v>6459</v>
      </c>
      <c r="AD2425" s="4"/>
    </row>
    <row r="2426" spans="1:30" ht="29">
      <c r="A2426" s="4" t="s">
        <v>6342</v>
      </c>
      <c r="B2426" s="4" t="s">
        <v>6518</v>
      </c>
      <c r="C2426" s="4" t="s">
        <v>24</v>
      </c>
      <c r="D2426" s="4" t="s">
        <v>2659</v>
      </c>
      <c r="E2426" s="4" t="s">
        <v>396</v>
      </c>
      <c r="F2426" s="4" t="s">
        <v>28</v>
      </c>
      <c r="G2426" s="4" t="s">
        <v>2276</v>
      </c>
      <c r="H2426" s="4" t="s">
        <v>523</v>
      </c>
      <c r="I2426" s="4"/>
      <c r="J2426" s="75"/>
      <c r="K2426" s="75"/>
      <c r="L2426" s="75"/>
      <c r="M2426" s="75"/>
      <c r="N2426" s="75"/>
      <c r="O2426" s="75"/>
      <c r="P2426" s="75"/>
      <c r="Q2426" s="75"/>
      <c r="R2426" s="75"/>
      <c r="S2426" s="75"/>
      <c r="T2426" s="75"/>
      <c r="U2426" s="75"/>
      <c r="V2426" s="75"/>
      <c r="W2426" s="75"/>
      <c r="X2426" s="75"/>
      <c r="Y2426" s="75"/>
      <c r="Z2426" s="4" t="s">
        <v>2276</v>
      </c>
      <c r="AA2426" s="4" t="s">
        <v>2276</v>
      </c>
      <c r="AB2426" s="4" t="s">
        <v>64</v>
      </c>
      <c r="AC2426" s="4" t="s">
        <v>6460</v>
      </c>
      <c r="AD2426" s="4"/>
    </row>
    <row r="2427" spans="1:30" ht="29">
      <c r="A2427" s="4" t="s">
        <v>6343</v>
      </c>
      <c r="B2427" s="4" t="s">
        <v>6519</v>
      </c>
      <c r="C2427" s="4" t="s">
        <v>24</v>
      </c>
      <c r="D2427" s="4" t="s">
        <v>2659</v>
      </c>
      <c r="E2427" s="4" t="s">
        <v>397</v>
      </c>
      <c r="F2427" s="4" t="s">
        <v>28</v>
      </c>
      <c r="G2427" s="4" t="s">
        <v>2276</v>
      </c>
      <c r="H2427" s="4" t="s">
        <v>523</v>
      </c>
      <c r="I2427" s="4"/>
      <c r="J2427" s="75"/>
      <c r="K2427" s="75"/>
      <c r="L2427" s="75"/>
      <c r="M2427" s="75"/>
      <c r="N2427" s="75"/>
      <c r="O2427" s="75"/>
      <c r="P2427" s="75"/>
      <c r="Q2427" s="75"/>
      <c r="R2427" s="75"/>
      <c r="S2427" s="75"/>
      <c r="T2427" s="75"/>
      <c r="U2427" s="75"/>
      <c r="V2427" s="75"/>
      <c r="W2427" s="75"/>
      <c r="X2427" s="75"/>
      <c r="Y2427" s="75"/>
      <c r="Z2427" s="4" t="s">
        <v>2276</v>
      </c>
      <c r="AA2427" s="4" t="s">
        <v>2276</v>
      </c>
      <c r="AB2427" s="4" t="s">
        <v>64</v>
      </c>
      <c r="AC2427" s="4" t="s">
        <v>6457</v>
      </c>
      <c r="AD2427" s="4"/>
    </row>
    <row r="2428" spans="1:30" ht="29">
      <c r="A2428" s="4" t="s">
        <v>6343</v>
      </c>
      <c r="B2428" s="4" t="s">
        <v>6520</v>
      </c>
      <c r="C2428" s="4" t="s">
        <v>24</v>
      </c>
      <c r="D2428" s="4" t="s">
        <v>2659</v>
      </c>
      <c r="E2428" s="4" t="s">
        <v>397</v>
      </c>
      <c r="F2428" s="4" t="s">
        <v>28</v>
      </c>
      <c r="G2428" s="4" t="s">
        <v>2276</v>
      </c>
      <c r="H2428" s="4" t="s">
        <v>523</v>
      </c>
      <c r="I2428" s="4"/>
      <c r="J2428" s="75"/>
      <c r="K2428" s="75"/>
      <c r="L2428" s="75"/>
      <c r="M2428" s="75"/>
      <c r="N2428" s="75"/>
      <c r="O2428" s="75"/>
      <c r="P2428" s="75"/>
      <c r="Q2428" s="75"/>
      <c r="R2428" s="75"/>
      <c r="S2428" s="75"/>
      <c r="T2428" s="75"/>
      <c r="U2428" s="75"/>
      <c r="V2428" s="75"/>
      <c r="W2428" s="75"/>
      <c r="X2428" s="75"/>
      <c r="Y2428" s="75"/>
      <c r="Z2428" s="4" t="s">
        <v>2276</v>
      </c>
      <c r="AA2428" s="4" t="s">
        <v>2276</v>
      </c>
      <c r="AB2428" s="4" t="s">
        <v>64</v>
      </c>
      <c r="AC2428" s="4" t="s">
        <v>6458</v>
      </c>
      <c r="AD2428" s="4"/>
    </row>
    <row r="2429" spans="1:30" ht="29">
      <c r="A2429" s="4" t="s">
        <v>6343</v>
      </c>
      <c r="B2429" s="4" t="s">
        <v>6521</v>
      </c>
      <c r="C2429" s="4" t="s">
        <v>24</v>
      </c>
      <c r="D2429" s="4" t="s">
        <v>2659</v>
      </c>
      <c r="E2429" s="4" t="s">
        <v>396</v>
      </c>
      <c r="F2429" s="4" t="s">
        <v>28</v>
      </c>
      <c r="G2429" s="4" t="s">
        <v>2276</v>
      </c>
      <c r="H2429" s="4" t="s">
        <v>523</v>
      </c>
      <c r="I2429" s="4"/>
      <c r="J2429" s="75"/>
      <c r="K2429" s="75"/>
      <c r="L2429" s="75"/>
      <c r="M2429" s="75"/>
      <c r="N2429" s="75"/>
      <c r="O2429" s="75"/>
      <c r="P2429" s="75"/>
      <c r="Q2429" s="75"/>
      <c r="R2429" s="75"/>
      <c r="S2429" s="75"/>
      <c r="T2429" s="75"/>
      <c r="U2429" s="75"/>
      <c r="V2429" s="75"/>
      <c r="W2429" s="75"/>
      <c r="X2429" s="75"/>
      <c r="Y2429" s="75"/>
      <c r="Z2429" s="4" t="s">
        <v>2276</v>
      </c>
      <c r="AA2429" s="4" t="s">
        <v>2276</v>
      </c>
      <c r="AB2429" s="4" t="s">
        <v>64</v>
      </c>
      <c r="AC2429" s="4" t="s">
        <v>6457</v>
      </c>
      <c r="AD2429" s="4"/>
    </row>
    <row r="2430" spans="1:30" ht="29">
      <c r="A2430" s="4" t="s">
        <v>6343</v>
      </c>
      <c r="B2430" s="4" t="s">
        <v>6522</v>
      </c>
      <c r="C2430" s="4" t="s">
        <v>24</v>
      </c>
      <c r="D2430" s="4" t="s">
        <v>2659</v>
      </c>
      <c r="E2430" s="4" t="s">
        <v>396</v>
      </c>
      <c r="F2430" s="4" t="s">
        <v>28</v>
      </c>
      <c r="G2430" s="4" t="s">
        <v>2276</v>
      </c>
      <c r="H2430" s="4" t="s">
        <v>523</v>
      </c>
      <c r="I2430" s="4"/>
      <c r="J2430" s="75"/>
      <c r="K2430" s="75"/>
      <c r="L2430" s="75"/>
      <c r="M2430" s="75"/>
      <c r="N2430" s="75"/>
      <c r="O2430" s="75"/>
      <c r="P2430" s="75"/>
      <c r="Q2430" s="75"/>
      <c r="R2430" s="75"/>
      <c r="S2430" s="75"/>
      <c r="T2430" s="75"/>
      <c r="U2430" s="75"/>
      <c r="V2430" s="75"/>
      <c r="W2430" s="75"/>
      <c r="X2430" s="75"/>
      <c r="Y2430" s="75"/>
      <c r="Z2430" s="4" t="s">
        <v>2276</v>
      </c>
      <c r="AA2430" s="4" t="s">
        <v>2276</v>
      </c>
      <c r="AB2430" s="4" t="s">
        <v>64</v>
      </c>
      <c r="AC2430" s="4" t="s">
        <v>6458</v>
      </c>
      <c r="AD2430" s="4"/>
    </row>
    <row r="2431" spans="1:30" ht="29">
      <c r="A2431" s="4" t="s">
        <v>6344</v>
      </c>
      <c r="B2431" s="4" t="s">
        <v>6523</v>
      </c>
      <c r="C2431" s="4" t="s">
        <v>24</v>
      </c>
      <c r="D2431" s="4" t="s">
        <v>2659</v>
      </c>
      <c r="E2431" s="4" t="s">
        <v>397</v>
      </c>
      <c r="F2431" s="4" t="s">
        <v>28</v>
      </c>
      <c r="G2431" s="4" t="s">
        <v>2276</v>
      </c>
      <c r="H2431" s="4" t="s">
        <v>523</v>
      </c>
      <c r="I2431" s="4"/>
      <c r="J2431" s="75"/>
      <c r="K2431" s="75"/>
      <c r="L2431" s="75"/>
      <c r="M2431" s="75"/>
      <c r="N2431" s="75"/>
      <c r="O2431" s="75"/>
      <c r="P2431" s="75"/>
      <c r="Q2431" s="75"/>
      <c r="R2431" s="75"/>
      <c r="S2431" s="75"/>
      <c r="T2431" s="75"/>
      <c r="U2431" s="75"/>
      <c r="V2431" s="75"/>
      <c r="W2431" s="75"/>
      <c r="X2431" s="75"/>
      <c r="Y2431" s="75"/>
      <c r="Z2431" s="4" t="s">
        <v>2276</v>
      </c>
      <c r="AA2431" s="4" t="s">
        <v>2276</v>
      </c>
      <c r="AB2431" s="4" t="s">
        <v>64</v>
      </c>
      <c r="AC2431" s="4" t="s">
        <v>6461</v>
      </c>
      <c r="AD2431" s="4"/>
    </row>
    <row r="2432" spans="1:30" ht="29">
      <c r="A2432" s="4" t="s">
        <v>6344</v>
      </c>
      <c r="B2432" s="4" t="s">
        <v>6524</v>
      </c>
      <c r="C2432" s="4" t="s">
        <v>24</v>
      </c>
      <c r="D2432" s="4" t="s">
        <v>2659</v>
      </c>
      <c r="E2432" s="4" t="s">
        <v>397</v>
      </c>
      <c r="F2432" s="4" t="s">
        <v>28</v>
      </c>
      <c r="G2432" s="4" t="s">
        <v>2276</v>
      </c>
      <c r="H2432" s="4" t="s">
        <v>523</v>
      </c>
      <c r="I2432" s="4"/>
      <c r="J2432" s="75"/>
      <c r="K2432" s="75"/>
      <c r="L2432" s="75"/>
      <c r="M2432" s="75"/>
      <c r="N2432" s="75"/>
      <c r="O2432" s="75"/>
      <c r="P2432" s="75"/>
      <c r="Q2432" s="75"/>
      <c r="R2432" s="75"/>
      <c r="S2432" s="75"/>
      <c r="T2432" s="75"/>
      <c r="U2432" s="75"/>
      <c r="V2432" s="75"/>
      <c r="W2432" s="75"/>
      <c r="X2432" s="75"/>
      <c r="Y2432" s="75"/>
      <c r="Z2432" s="4" t="s">
        <v>2276</v>
      </c>
      <c r="AA2432" s="4" t="s">
        <v>2276</v>
      </c>
      <c r="AB2432" s="4" t="s">
        <v>64</v>
      </c>
      <c r="AC2432" s="4" t="s">
        <v>6462</v>
      </c>
      <c r="AD2432" s="4"/>
    </row>
    <row r="2433" spans="1:30" ht="29">
      <c r="A2433" s="4" t="s">
        <v>6344</v>
      </c>
      <c r="B2433" s="4" t="s">
        <v>6525</v>
      </c>
      <c r="C2433" s="4" t="s">
        <v>24</v>
      </c>
      <c r="D2433" s="4" t="s">
        <v>2659</v>
      </c>
      <c r="E2433" s="4" t="s">
        <v>396</v>
      </c>
      <c r="F2433" s="4" t="s">
        <v>28</v>
      </c>
      <c r="G2433" s="4" t="s">
        <v>2276</v>
      </c>
      <c r="H2433" s="4" t="s">
        <v>523</v>
      </c>
      <c r="I2433" s="4"/>
      <c r="J2433" s="75"/>
      <c r="K2433" s="75"/>
      <c r="L2433" s="75"/>
      <c r="M2433" s="75"/>
      <c r="N2433" s="75"/>
      <c r="O2433" s="75"/>
      <c r="P2433" s="75"/>
      <c r="Q2433" s="75"/>
      <c r="R2433" s="75"/>
      <c r="S2433" s="75"/>
      <c r="T2433" s="75"/>
      <c r="U2433" s="75"/>
      <c r="V2433" s="75"/>
      <c r="W2433" s="75"/>
      <c r="X2433" s="75"/>
      <c r="Y2433" s="75"/>
      <c r="Z2433" s="4" t="s">
        <v>2276</v>
      </c>
      <c r="AA2433" s="4" t="s">
        <v>2276</v>
      </c>
      <c r="AB2433" s="4" t="s">
        <v>64</v>
      </c>
      <c r="AC2433" s="4" t="s">
        <v>6461</v>
      </c>
      <c r="AD2433" s="4"/>
    </row>
    <row r="2434" spans="1:30" ht="29">
      <c r="A2434" s="4" t="s">
        <v>6344</v>
      </c>
      <c r="B2434" s="4" t="s">
        <v>6526</v>
      </c>
      <c r="C2434" s="4" t="s">
        <v>24</v>
      </c>
      <c r="D2434" s="4" t="s">
        <v>2659</v>
      </c>
      <c r="E2434" s="4" t="s">
        <v>396</v>
      </c>
      <c r="F2434" s="4" t="s">
        <v>28</v>
      </c>
      <c r="G2434" s="4" t="s">
        <v>2276</v>
      </c>
      <c r="H2434" s="4" t="s">
        <v>523</v>
      </c>
      <c r="I2434" s="4"/>
      <c r="J2434" s="75"/>
      <c r="K2434" s="75"/>
      <c r="L2434" s="75"/>
      <c r="M2434" s="75"/>
      <c r="N2434" s="75"/>
      <c r="O2434" s="75"/>
      <c r="P2434" s="75"/>
      <c r="Q2434" s="75"/>
      <c r="R2434" s="75"/>
      <c r="S2434" s="75"/>
      <c r="T2434" s="75"/>
      <c r="U2434" s="75"/>
      <c r="V2434" s="75"/>
      <c r="W2434" s="75"/>
      <c r="X2434" s="75"/>
      <c r="Y2434" s="75"/>
      <c r="Z2434" s="4" t="s">
        <v>2276</v>
      </c>
      <c r="AA2434" s="4" t="s">
        <v>2276</v>
      </c>
      <c r="AB2434" s="4" t="s">
        <v>64</v>
      </c>
      <c r="AC2434" s="4" t="s">
        <v>6462</v>
      </c>
      <c r="AD2434" s="4"/>
    </row>
    <row r="2435" spans="1:30" ht="29">
      <c r="A2435" s="4" t="s">
        <v>6345</v>
      </c>
      <c r="B2435" s="4" t="s">
        <v>6527</v>
      </c>
      <c r="C2435" s="4" t="s">
        <v>24</v>
      </c>
      <c r="D2435" s="4" t="s">
        <v>2659</v>
      </c>
      <c r="E2435" s="4" t="s">
        <v>397</v>
      </c>
      <c r="F2435" s="4" t="s">
        <v>28</v>
      </c>
      <c r="G2435" s="4" t="s">
        <v>2276</v>
      </c>
      <c r="H2435" s="4" t="s">
        <v>523</v>
      </c>
      <c r="I2435" s="4"/>
      <c r="J2435" s="75"/>
      <c r="K2435" s="75"/>
      <c r="L2435" s="75"/>
      <c r="M2435" s="75"/>
      <c r="N2435" s="75"/>
      <c r="O2435" s="75"/>
      <c r="P2435" s="75"/>
      <c r="Q2435" s="75"/>
      <c r="R2435" s="75"/>
      <c r="S2435" s="75"/>
      <c r="T2435" s="75"/>
      <c r="U2435" s="75"/>
      <c r="V2435" s="75"/>
      <c r="W2435" s="75"/>
      <c r="X2435" s="75"/>
      <c r="Y2435" s="75"/>
      <c r="Z2435" s="4" t="s">
        <v>2276</v>
      </c>
      <c r="AA2435" s="4" t="s">
        <v>2276</v>
      </c>
      <c r="AB2435" s="4" t="s">
        <v>64</v>
      </c>
      <c r="AC2435" s="4" t="s">
        <v>6463</v>
      </c>
      <c r="AD2435" s="4"/>
    </row>
    <row r="2436" spans="1:30" ht="29">
      <c r="A2436" s="4" t="s">
        <v>6345</v>
      </c>
      <c r="B2436" s="4" t="s">
        <v>6528</v>
      </c>
      <c r="C2436" s="4" t="s">
        <v>24</v>
      </c>
      <c r="D2436" s="4" t="s">
        <v>2659</v>
      </c>
      <c r="E2436" s="4" t="s">
        <v>396</v>
      </c>
      <c r="F2436" s="4" t="s">
        <v>28</v>
      </c>
      <c r="G2436" s="4" t="s">
        <v>2276</v>
      </c>
      <c r="H2436" s="4" t="s">
        <v>523</v>
      </c>
      <c r="I2436" s="4"/>
      <c r="J2436" s="75"/>
      <c r="K2436" s="75"/>
      <c r="L2436" s="75"/>
      <c r="M2436" s="75"/>
      <c r="N2436" s="75"/>
      <c r="O2436" s="75"/>
      <c r="P2436" s="75"/>
      <c r="Q2436" s="75"/>
      <c r="R2436" s="75"/>
      <c r="S2436" s="75"/>
      <c r="T2436" s="75"/>
      <c r="U2436" s="75"/>
      <c r="V2436" s="75"/>
      <c r="W2436" s="75"/>
      <c r="X2436" s="75"/>
      <c r="Y2436" s="75"/>
      <c r="Z2436" s="4" t="s">
        <v>2276</v>
      </c>
      <c r="AA2436" s="4" t="s">
        <v>2276</v>
      </c>
      <c r="AB2436" s="4" t="s">
        <v>64</v>
      </c>
      <c r="AC2436" s="4" t="s">
        <v>6463</v>
      </c>
      <c r="AD2436" s="4"/>
    </row>
    <row r="2437" spans="1:30" ht="29">
      <c r="A2437" s="4" t="s">
        <v>6346</v>
      </c>
      <c r="B2437" s="4" t="s">
        <v>6529</v>
      </c>
      <c r="C2437" s="4" t="s">
        <v>24</v>
      </c>
      <c r="D2437" s="4" t="s">
        <v>2659</v>
      </c>
      <c r="E2437" s="4" t="s">
        <v>396</v>
      </c>
      <c r="F2437" s="4" t="s">
        <v>28</v>
      </c>
      <c r="G2437" s="4" t="s">
        <v>2276</v>
      </c>
      <c r="H2437" s="4" t="s">
        <v>523</v>
      </c>
      <c r="I2437" s="4"/>
      <c r="J2437" s="75"/>
      <c r="K2437" s="75"/>
      <c r="L2437" s="75"/>
      <c r="M2437" s="75"/>
      <c r="N2437" s="75"/>
      <c r="O2437" s="75"/>
      <c r="P2437" s="75"/>
      <c r="Q2437" s="75"/>
      <c r="R2437" s="75"/>
      <c r="S2437" s="75"/>
      <c r="T2437" s="75"/>
      <c r="U2437" s="75"/>
      <c r="V2437" s="75"/>
      <c r="W2437" s="75"/>
      <c r="X2437" s="75"/>
      <c r="Y2437" s="75"/>
      <c r="Z2437" s="4" t="s">
        <v>2276</v>
      </c>
      <c r="AA2437" s="4" t="s">
        <v>2276</v>
      </c>
      <c r="AB2437" s="4" t="s">
        <v>64</v>
      </c>
      <c r="AC2437" s="4" t="s">
        <v>6463</v>
      </c>
      <c r="AD2437" s="4"/>
    </row>
    <row r="2438" spans="1:30" ht="29">
      <c r="A2438" s="4" t="s">
        <v>6346</v>
      </c>
      <c r="B2438" s="4" t="s">
        <v>6530</v>
      </c>
      <c r="C2438" s="4" t="s">
        <v>24</v>
      </c>
      <c r="D2438" s="4" t="s">
        <v>2659</v>
      </c>
      <c r="E2438" s="4" t="s">
        <v>397</v>
      </c>
      <c r="F2438" s="4" t="s">
        <v>28</v>
      </c>
      <c r="G2438" s="4" t="s">
        <v>2276</v>
      </c>
      <c r="H2438" s="4" t="s">
        <v>523</v>
      </c>
      <c r="I2438" s="4"/>
      <c r="J2438" s="75"/>
      <c r="K2438" s="75"/>
      <c r="L2438" s="75"/>
      <c r="M2438" s="75"/>
      <c r="N2438" s="75"/>
      <c r="O2438" s="75"/>
      <c r="P2438" s="75"/>
      <c r="Q2438" s="75"/>
      <c r="R2438" s="75"/>
      <c r="S2438" s="75"/>
      <c r="T2438" s="75"/>
      <c r="U2438" s="75"/>
      <c r="V2438" s="75"/>
      <c r="W2438" s="75"/>
      <c r="X2438" s="75"/>
      <c r="Y2438" s="75"/>
      <c r="Z2438" s="4" t="s">
        <v>2276</v>
      </c>
      <c r="AA2438" s="4" t="s">
        <v>2276</v>
      </c>
      <c r="AB2438" s="4" t="s">
        <v>64</v>
      </c>
      <c r="AC2438" s="4" t="s">
        <v>6463</v>
      </c>
      <c r="AD2438" s="4"/>
    </row>
    <row r="2439" spans="1:30" ht="29">
      <c r="A2439" s="4" t="s">
        <v>6347</v>
      </c>
      <c r="B2439" s="4" t="s">
        <v>6531</v>
      </c>
      <c r="C2439" s="4" t="s">
        <v>24</v>
      </c>
      <c r="D2439" s="4" t="s">
        <v>2659</v>
      </c>
      <c r="E2439" s="4" t="s">
        <v>397</v>
      </c>
      <c r="F2439" s="4" t="s">
        <v>28</v>
      </c>
      <c r="G2439" s="4" t="s">
        <v>2276</v>
      </c>
      <c r="H2439" s="4" t="s">
        <v>523</v>
      </c>
      <c r="I2439" s="4"/>
      <c r="J2439" s="75"/>
      <c r="K2439" s="75"/>
      <c r="L2439" s="75"/>
      <c r="M2439" s="75"/>
      <c r="N2439" s="75"/>
      <c r="O2439" s="75"/>
      <c r="P2439" s="75"/>
      <c r="Q2439" s="75"/>
      <c r="R2439" s="75"/>
      <c r="S2439" s="75"/>
      <c r="T2439" s="75"/>
      <c r="U2439" s="75"/>
      <c r="V2439" s="75"/>
      <c r="W2439" s="75"/>
      <c r="X2439" s="75"/>
      <c r="Y2439" s="75"/>
      <c r="Z2439" s="4" t="s">
        <v>2276</v>
      </c>
      <c r="AA2439" s="4" t="s">
        <v>2276</v>
      </c>
      <c r="AB2439" s="4" t="s">
        <v>64</v>
      </c>
      <c r="AC2439" s="4" t="s">
        <v>6463</v>
      </c>
      <c r="AD2439" s="4"/>
    </row>
    <row r="2440" spans="1:30" ht="29">
      <c r="A2440" s="4" t="s">
        <v>6347</v>
      </c>
      <c r="B2440" s="4" t="s">
        <v>6532</v>
      </c>
      <c r="C2440" s="4" t="s">
        <v>24</v>
      </c>
      <c r="D2440" s="4" t="s">
        <v>2659</v>
      </c>
      <c r="E2440" s="4" t="s">
        <v>396</v>
      </c>
      <c r="F2440" s="4" t="s">
        <v>28</v>
      </c>
      <c r="G2440" s="4" t="s">
        <v>2276</v>
      </c>
      <c r="H2440" s="4" t="s">
        <v>523</v>
      </c>
      <c r="I2440" s="4"/>
      <c r="J2440" s="75"/>
      <c r="K2440" s="75"/>
      <c r="L2440" s="75"/>
      <c r="M2440" s="75"/>
      <c r="N2440" s="75"/>
      <c r="O2440" s="75"/>
      <c r="P2440" s="75"/>
      <c r="Q2440" s="75"/>
      <c r="R2440" s="75"/>
      <c r="S2440" s="75"/>
      <c r="T2440" s="75"/>
      <c r="U2440" s="75"/>
      <c r="V2440" s="75"/>
      <c r="W2440" s="75"/>
      <c r="X2440" s="75"/>
      <c r="Y2440" s="75"/>
      <c r="Z2440" s="4" t="s">
        <v>2276</v>
      </c>
      <c r="AA2440" s="4" t="s">
        <v>2276</v>
      </c>
      <c r="AB2440" s="4" t="s">
        <v>64</v>
      </c>
      <c r="AC2440" s="4" t="s">
        <v>6463</v>
      </c>
      <c r="AD2440" s="4"/>
    </row>
    <row r="2441" spans="1:30" ht="29">
      <c r="A2441" s="4" t="s">
        <v>6349</v>
      </c>
      <c r="B2441" s="4" t="s">
        <v>6533</v>
      </c>
      <c r="C2441" s="4" t="s">
        <v>24</v>
      </c>
      <c r="D2441" s="4" t="s">
        <v>2659</v>
      </c>
      <c r="E2441" s="4" t="s">
        <v>396</v>
      </c>
      <c r="F2441" s="4" t="s">
        <v>28</v>
      </c>
      <c r="G2441" s="4" t="s">
        <v>2276</v>
      </c>
      <c r="H2441" s="4" t="s">
        <v>523</v>
      </c>
      <c r="I2441" s="4">
        <v>2008</v>
      </c>
      <c r="J2441" s="75"/>
      <c r="K2441" s="75"/>
      <c r="L2441" s="75"/>
      <c r="M2441" s="75"/>
      <c r="N2441" s="75"/>
      <c r="O2441" s="75"/>
      <c r="P2441" s="75"/>
      <c r="Q2441" s="75"/>
      <c r="R2441" s="75"/>
      <c r="S2441" s="75"/>
      <c r="T2441" s="75"/>
      <c r="U2441" s="75"/>
      <c r="V2441" s="75"/>
      <c r="W2441" s="75"/>
      <c r="X2441" s="75"/>
      <c r="Y2441" s="75"/>
      <c r="Z2441" s="4" t="s">
        <v>2276</v>
      </c>
      <c r="AA2441" s="4" t="s">
        <v>2276</v>
      </c>
      <c r="AB2441" s="4" t="s">
        <v>64</v>
      </c>
      <c r="AC2441" s="4" t="s">
        <v>6464</v>
      </c>
      <c r="AD2441" s="4"/>
    </row>
    <row r="2442" spans="1:30" ht="29">
      <c r="A2442" s="4" t="s">
        <v>6349</v>
      </c>
      <c r="B2442" s="4" t="s">
        <v>6534</v>
      </c>
      <c r="C2442" s="4" t="s">
        <v>24</v>
      </c>
      <c r="D2442" s="4" t="s">
        <v>2659</v>
      </c>
      <c r="E2442" s="4" t="s">
        <v>396</v>
      </c>
      <c r="F2442" s="4" t="s">
        <v>28</v>
      </c>
      <c r="G2442" s="4" t="s">
        <v>2276</v>
      </c>
      <c r="H2442" s="4" t="s">
        <v>523</v>
      </c>
      <c r="I2442" s="4">
        <v>2012</v>
      </c>
      <c r="J2442" s="75"/>
      <c r="K2442" s="75"/>
      <c r="L2442" s="75"/>
      <c r="M2442" s="75"/>
      <c r="N2442" s="75"/>
      <c r="O2442" s="75"/>
      <c r="P2442" s="75"/>
      <c r="Q2442" s="75"/>
      <c r="R2442" s="75"/>
      <c r="S2442" s="75"/>
      <c r="T2442" s="75"/>
      <c r="U2442" s="75"/>
      <c r="V2442" s="75"/>
      <c r="W2442" s="75"/>
      <c r="X2442" s="75"/>
      <c r="Y2442" s="75"/>
      <c r="Z2442" s="4" t="s">
        <v>2276</v>
      </c>
      <c r="AA2442" s="4" t="s">
        <v>2276</v>
      </c>
      <c r="AB2442" s="4" t="s">
        <v>64</v>
      </c>
      <c r="AC2442" s="4" t="s">
        <v>6464</v>
      </c>
      <c r="AD2442" s="4"/>
    </row>
    <row r="2443" spans="1:30" ht="29">
      <c r="A2443" s="4" t="s">
        <v>6349</v>
      </c>
      <c r="B2443" s="4" t="s">
        <v>6535</v>
      </c>
      <c r="C2443" s="4" t="s">
        <v>24</v>
      </c>
      <c r="D2443" s="4" t="s">
        <v>2659</v>
      </c>
      <c r="E2443" s="4" t="s">
        <v>396</v>
      </c>
      <c r="F2443" s="4" t="s">
        <v>28</v>
      </c>
      <c r="G2443" s="4" t="s">
        <v>2276</v>
      </c>
      <c r="H2443" s="4" t="s">
        <v>523</v>
      </c>
      <c r="I2443" s="4">
        <v>2015</v>
      </c>
      <c r="J2443" s="75"/>
      <c r="K2443" s="75"/>
      <c r="L2443" s="75"/>
      <c r="M2443" s="75"/>
      <c r="N2443" s="75"/>
      <c r="O2443" s="75"/>
      <c r="P2443" s="75"/>
      <c r="Q2443" s="75"/>
      <c r="R2443" s="75"/>
      <c r="S2443" s="75"/>
      <c r="T2443" s="75"/>
      <c r="U2443" s="75"/>
      <c r="V2443" s="75"/>
      <c r="W2443" s="75"/>
      <c r="X2443" s="75"/>
      <c r="Y2443" s="75"/>
      <c r="Z2443" s="4" t="s">
        <v>2276</v>
      </c>
      <c r="AA2443" s="4" t="s">
        <v>2276</v>
      </c>
      <c r="AB2443" s="4" t="s">
        <v>64</v>
      </c>
      <c r="AC2443" s="4" t="s">
        <v>6464</v>
      </c>
      <c r="AD2443" s="4"/>
    </row>
    <row r="2444" spans="1:30" ht="29">
      <c r="A2444" s="4" t="s">
        <v>6349</v>
      </c>
      <c r="B2444" s="4" t="s">
        <v>6536</v>
      </c>
      <c r="C2444" s="4" t="s">
        <v>24</v>
      </c>
      <c r="D2444" s="4" t="s">
        <v>2659</v>
      </c>
      <c r="E2444" s="4" t="s">
        <v>397</v>
      </c>
      <c r="F2444" s="4" t="s">
        <v>28</v>
      </c>
      <c r="G2444" s="4" t="s">
        <v>2276</v>
      </c>
      <c r="H2444" s="4" t="s">
        <v>523</v>
      </c>
      <c r="I2444" s="4">
        <v>2008</v>
      </c>
      <c r="J2444" s="75"/>
      <c r="K2444" s="75"/>
      <c r="L2444" s="75"/>
      <c r="M2444" s="75"/>
      <c r="N2444" s="75"/>
      <c r="O2444" s="75"/>
      <c r="P2444" s="75"/>
      <c r="Q2444" s="75"/>
      <c r="R2444" s="75"/>
      <c r="S2444" s="75"/>
      <c r="T2444" s="75"/>
      <c r="U2444" s="75"/>
      <c r="V2444" s="75"/>
      <c r="W2444" s="75"/>
      <c r="X2444" s="75"/>
      <c r="Y2444" s="75"/>
      <c r="Z2444" s="4" t="s">
        <v>2276</v>
      </c>
      <c r="AA2444" s="4" t="s">
        <v>2276</v>
      </c>
      <c r="AB2444" s="4" t="s">
        <v>64</v>
      </c>
      <c r="AC2444" s="4" t="s">
        <v>6464</v>
      </c>
      <c r="AD2444" s="4"/>
    </row>
    <row r="2445" spans="1:30" ht="29">
      <c r="A2445" s="4" t="s">
        <v>6349</v>
      </c>
      <c r="B2445" s="4" t="s">
        <v>6537</v>
      </c>
      <c r="C2445" s="4" t="s">
        <v>24</v>
      </c>
      <c r="D2445" s="4" t="s">
        <v>2659</v>
      </c>
      <c r="E2445" s="4" t="s">
        <v>397</v>
      </c>
      <c r="F2445" s="4" t="s">
        <v>28</v>
      </c>
      <c r="G2445" s="4" t="s">
        <v>2276</v>
      </c>
      <c r="H2445" s="4" t="s">
        <v>523</v>
      </c>
      <c r="I2445" s="4">
        <v>2012</v>
      </c>
      <c r="J2445" s="75"/>
      <c r="K2445" s="75"/>
      <c r="L2445" s="75"/>
      <c r="M2445" s="75"/>
      <c r="N2445" s="75"/>
      <c r="O2445" s="75"/>
      <c r="P2445" s="75"/>
      <c r="Q2445" s="75"/>
      <c r="R2445" s="75"/>
      <c r="S2445" s="75"/>
      <c r="T2445" s="75"/>
      <c r="U2445" s="75"/>
      <c r="V2445" s="75"/>
      <c r="W2445" s="75"/>
      <c r="X2445" s="75"/>
      <c r="Y2445" s="75"/>
      <c r="Z2445" s="4" t="s">
        <v>2276</v>
      </c>
      <c r="AA2445" s="4" t="s">
        <v>2276</v>
      </c>
      <c r="AB2445" s="4" t="s">
        <v>64</v>
      </c>
      <c r="AC2445" s="4" t="s">
        <v>6464</v>
      </c>
      <c r="AD2445" s="4"/>
    </row>
    <row r="2446" spans="1:30" ht="29">
      <c r="A2446" s="4" t="s">
        <v>6349</v>
      </c>
      <c r="B2446" s="4" t="s">
        <v>6538</v>
      </c>
      <c r="C2446" s="4" t="s">
        <v>24</v>
      </c>
      <c r="D2446" s="4" t="s">
        <v>2659</v>
      </c>
      <c r="E2446" s="4" t="s">
        <v>397</v>
      </c>
      <c r="F2446" s="4" t="s">
        <v>28</v>
      </c>
      <c r="G2446" s="4" t="s">
        <v>2276</v>
      </c>
      <c r="H2446" s="4" t="s">
        <v>523</v>
      </c>
      <c r="I2446" s="4">
        <v>2015</v>
      </c>
      <c r="J2446" s="75"/>
      <c r="K2446" s="75"/>
      <c r="L2446" s="75"/>
      <c r="M2446" s="75"/>
      <c r="N2446" s="75"/>
      <c r="O2446" s="75"/>
      <c r="P2446" s="75"/>
      <c r="Q2446" s="75"/>
      <c r="R2446" s="75"/>
      <c r="S2446" s="75"/>
      <c r="T2446" s="75"/>
      <c r="U2446" s="75"/>
      <c r="V2446" s="75"/>
      <c r="W2446" s="75"/>
      <c r="X2446" s="75"/>
      <c r="Y2446" s="75"/>
      <c r="Z2446" s="4" t="s">
        <v>2276</v>
      </c>
      <c r="AA2446" s="4" t="s">
        <v>2276</v>
      </c>
      <c r="AB2446" s="4" t="s">
        <v>64</v>
      </c>
      <c r="AC2446" s="4" t="s">
        <v>6464</v>
      </c>
      <c r="AD2446" s="4"/>
    </row>
    <row r="2447" spans="1:30" ht="29">
      <c r="A2447" s="4" t="s">
        <v>6539</v>
      </c>
      <c r="B2447" s="4" t="s">
        <v>6540</v>
      </c>
      <c r="C2447" s="4" t="s">
        <v>24</v>
      </c>
      <c r="D2447" s="4" t="s">
        <v>2659</v>
      </c>
      <c r="E2447" s="4" t="s">
        <v>396</v>
      </c>
      <c r="F2447" s="4" t="s">
        <v>28</v>
      </c>
      <c r="G2447" s="4" t="s">
        <v>2276</v>
      </c>
      <c r="H2447" s="4" t="s">
        <v>523</v>
      </c>
      <c r="I2447" s="4">
        <v>2008</v>
      </c>
      <c r="J2447" s="75"/>
      <c r="K2447" s="75"/>
      <c r="L2447" s="75"/>
      <c r="M2447" s="75"/>
      <c r="N2447" s="75"/>
      <c r="O2447" s="75"/>
      <c r="P2447" s="75"/>
      <c r="Q2447" s="75"/>
      <c r="R2447" s="75"/>
      <c r="S2447" s="75"/>
      <c r="T2447" s="75"/>
      <c r="U2447" s="75"/>
      <c r="V2447" s="75"/>
      <c r="W2447" s="75"/>
      <c r="X2447" s="75"/>
      <c r="Y2447" s="75"/>
      <c r="Z2447" s="4" t="s">
        <v>2276</v>
      </c>
      <c r="AA2447" s="4" t="s">
        <v>2276</v>
      </c>
      <c r="AB2447" s="4" t="s">
        <v>64</v>
      </c>
      <c r="AC2447" s="4" t="s">
        <v>6464</v>
      </c>
      <c r="AD2447" s="4"/>
    </row>
    <row r="2448" spans="1:30" ht="29">
      <c r="A2448" s="4" t="s">
        <v>6539</v>
      </c>
      <c r="B2448" s="4" t="s">
        <v>6541</v>
      </c>
      <c r="C2448" s="4" t="s">
        <v>24</v>
      </c>
      <c r="D2448" s="4" t="s">
        <v>2659</v>
      </c>
      <c r="E2448" s="4" t="s">
        <v>396</v>
      </c>
      <c r="F2448" s="4" t="s">
        <v>28</v>
      </c>
      <c r="G2448" s="4" t="s">
        <v>2276</v>
      </c>
      <c r="H2448" s="4" t="s">
        <v>523</v>
      </c>
      <c r="I2448" s="4">
        <v>2012</v>
      </c>
      <c r="J2448" s="75"/>
      <c r="K2448" s="75"/>
      <c r="L2448" s="75"/>
      <c r="M2448" s="75"/>
      <c r="N2448" s="75"/>
      <c r="O2448" s="75"/>
      <c r="P2448" s="75"/>
      <c r="Q2448" s="75"/>
      <c r="R2448" s="75"/>
      <c r="S2448" s="75"/>
      <c r="T2448" s="75"/>
      <c r="U2448" s="75"/>
      <c r="V2448" s="75"/>
      <c r="W2448" s="75"/>
      <c r="X2448" s="75"/>
      <c r="Y2448" s="75"/>
      <c r="Z2448" s="4" t="s">
        <v>2276</v>
      </c>
      <c r="AA2448" s="4" t="s">
        <v>2276</v>
      </c>
      <c r="AB2448" s="4" t="s">
        <v>64</v>
      </c>
      <c r="AC2448" s="4" t="s">
        <v>6464</v>
      </c>
      <c r="AD2448" s="4"/>
    </row>
    <row r="2449" spans="1:30" ht="29">
      <c r="A2449" s="4" t="s">
        <v>6539</v>
      </c>
      <c r="B2449" s="4" t="s">
        <v>6542</v>
      </c>
      <c r="C2449" s="4" t="s">
        <v>24</v>
      </c>
      <c r="D2449" s="4" t="s">
        <v>2659</v>
      </c>
      <c r="E2449" s="4" t="s">
        <v>396</v>
      </c>
      <c r="F2449" s="4" t="s">
        <v>28</v>
      </c>
      <c r="G2449" s="4" t="s">
        <v>2276</v>
      </c>
      <c r="H2449" s="4" t="s">
        <v>523</v>
      </c>
      <c r="I2449" s="4">
        <v>2015</v>
      </c>
      <c r="J2449" s="75"/>
      <c r="K2449" s="75"/>
      <c r="L2449" s="75"/>
      <c r="M2449" s="75"/>
      <c r="N2449" s="75"/>
      <c r="O2449" s="75"/>
      <c r="P2449" s="75"/>
      <c r="Q2449" s="75"/>
      <c r="R2449" s="75"/>
      <c r="S2449" s="75"/>
      <c r="T2449" s="75"/>
      <c r="U2449" s="75"/>
      <c r="V2449" s="75"/>
      <c r="W2449" s="75"/>
      <c r="X2449" s="75"/>
      <c r="Y2449" s="75"/>
      <c r="Z2449" s="4" t="s">
        <v>2276</v>
      </c>
      <c r="AA2449" s="4" t="s">
        <v>2276</v>
      </c>
      <c r="AB2449" s="4" t="s">
        <v>64</v>
      </c>
      <c r="AC2449" s="4" t="s">
        <v>6464</v>
      </c>
      <c r="AD2449" s="4"/>
    </row>
    <row r="2450" spans="1:30" ht="29">
      <c r="A2450" s="4" t="s">
        <v>6539</v>
      </c>
      <c r="B2450" s="4" t="s">
        <v>6543</v>
      </c>
      <c r="C2450" s="4" t="s">
        <v>24</v>
      </c>
      <c r="D2450" s="4" t="s">
        <v>2659</v>
      </c>
      <c r="E2450" s="4" t="s">
        <v>397</v>
      </c>
      <c r="F2450" s="4" t="s">
        <v>28</v>
      </c>
      <c r="G2450" s="4" t="s">
        <v>2276</v>
      </c>
      <c r="H2450" s="4" t="s">
        <v>523</v>
      </c>
      <c r="I2450" s="4">
        <v>2008</v>
      </c>
      <c r="J2450" s="75"/>
      <c r="K2450" s="75"/>
      <c r="L2450" s="75"/>
      <c r="M2450" s="75"/>
      <c r="N2450" s="75"/>
      <c r="O2450" s="75"/>
      <c r="P2450" s="75"/>
      <c r="Q2450" s="75"/>
      <c r="R2450" s="75"/>
      <c r="S2450" s="75"/>
      <c r="T2450" s="75"/>
      <c r="U2450" s="75"/>
      <c r="V2450" s="75"/>
      <c r="W2450" s="75"/>
      <c r="X2450" s="75"/>
      <c r="Y2450" s="75"/>
      <c r="Z2450" s="4" t="s">
        <v>2276</v>
      </c>
      <c r="AA2450" s="4" t="s">
        <v>2276</v>
      </c>
      <c r="AB2450" s="4" t="s">
        <v>64</v>
      </c>
      <c r="AC2450" s="4" t="s">
        <v>6464</v>
      </c>
      <c r="AD2450" s="4"/>
    </row>
    <row r="2451" spans="1:30" ht="29">
      <c r="A2451" s="4" t="s">
        <v>6539</v>
      </c>
      <c r="B2451" s="4" t="s">
        <v>6544</v>
      </c>
      <c r="C2451" s="4" t="s">
        <v>24</v>
      </c>
      <c r="D2451" s="4" t="s">
        <v>2659</v>
      </c>
      <c r="E2451" s="4" t="s">
        <v>397</v>
      </c>
      <c r="F2451" s="4" t="s">
        <v>28</v>
      </c>
      <c r="G2451" s="4" t="s">
        <v>2276</v>
      </c>
      <c r="H2451" s="4" t="s">
        <v>523</v>
      </c>
      <c r="I2451" s="4">
        <v>2012</v>
      </c>
      <c r="J2451" s="75"/>
      <c r="K2451" s="75"/>
      <c r="L2451" s="75"/>
      <c r="M2451" s="75"/>
      <c r="N2451" s="75"/>
      <c r="O2451" s="75"/>
      <c r="P2451" s="75"/>
      <c r="Q2451" s="75"/>
      <c r="R2451" s="75"/>
      <c r="S2451" s="75"/>
      <c r="T2451" s="75"/>
      <c r="U2451" s="75"/>
      <c r="V2451" s="75"/>
      <c r="W2451" s="75"/>
      <c r="X2451" s="75"/>
      <c r="Y2451" s="75"/>
      <c r="Z2451" s="4" t="s">
        <v>2276</v>
      </c>
      <c r="AA2451" s="4" t="s">
        <v>2276</v>
      </c>
      <c r="AB2451" s="4" t="s">
        <v>64</v>
      </c>
      <c r="AC2451" s="4" t="s">
        <v>6464</v>
      </c>
      <c r="AD2451" s="4"/>
    </row>
    <row r="2452" spans="1:30" ht="29">
      <c r="A2452" s="4" t="s">
        <v>6539</v>
      </c>
      <c r="B2452" s="4" t="s">
        <v>6545</v>
      </c>
      <c r="C2452" s="4" t="s">
        <v>24</v>
      </c>
      <c r="D2452" s="4" t="s">
        <v>2659</v>
      </c>
      <c r="E2452" s="4" t="s">
        <v>397</v>
      </c>
      <c r="F2452" s="4" t="s">
        <v>28</v>
      </c>
      <c r="G2452" s="4" t="s">
        <v>2276</v>
      </c>
      <c r="H2452" s="4" t="s">
        <v>523</v>
      </c>
      <c r="I2452" s="4">
        <v>2015</v>
      </c>
      <c r="J2452" s="75"/>
      <c r="K2452" s="75"/>
      <c r="L2452" s="75"/>
      <c r="M2452" s="75"/>
      <c r="N2452" s="75"/>
      <c r="O2452" s="75"/>
      <c r="P2452" s="75"/>
      <c r="Q2452" s="75"/>
      <c r="R2452" s="75"/>
      <c r="S2452" s="75"/>
      <c r="T2452" s="75"/>
      <c r="U2452" s="75"/>
      <c r="V2452" s="75"/>
      <c r="W2452" s="75"/>
      <c r="X2452" s="75"/>
      <c r="Y2452" s="75"/>
      <c r="Z2452" s="4" t="s">
        <v>2276</v>
      </c>
      <c r="AA2452" s="4" t="s">
        <v>2276</v>
      </c>
      <c r="AB2452" s="4" t="s">
        <v>64</v>
      </c>
      <c r="AC2452" s="4" t="s">
        <v>6464</v>
      </c>
      <c r="AD2452" s="4"/>
    </row>
    <row r="2453" spans="1:30" ht="29">
      <c r="A2453" s="4" t="s">
        <v>6350</v>
      </c>
      <c r="B2453" s="4" t="s">
        <v>6546</v>
      </c>
      <c r="C2453" s="4" t="s">
        <v>24</v>
      </c>
      <c r="D2453" s="4" t="s">
        <v>2659</v>
      </c>
      <c r="E2453" s="4" t="s">
        <v>396</v>
      </c>
      <c r="F2453" s="4" t="s">
        <v>28</v>
      </c>
      <c r="G2453" s="4" t="s">
        <v>2276</v>
      </c>
      <c r="H2453" s="4" t="s">
        <v>523</v>
      </c>
      <c r="I2453" s="4">
        <v>2008</v>
      </c>
      <c r="J2453" s="75"/>
      <c r="K2453" s="75"/>
      <c r="L2453" s="75"/>
      <c r="M2453" s="75"/>
      <c r="N2453" s="75"/>
      <c r="O2453" s="75"/>
      <c r="P2453" s="75"/>
      <c r="Q2453" s="75"/>
      <c r="R2453" s="75"/>
      <c r="S2453" s="75"/>
      <c r="T2453" s="75"/>
      <c r="U2453" s="75"/>
      <c r="V2453" s="75"/>
      <c r="W2453" s="75"/>
      <c r="X2453" s="75"/>
      <c r="Y2453" s="75"/>
      <c r="Z2453" s="4" t="s">
        <v>2276</v>
      </c>
      <c r="AA2453" s="4" t="s">
        <v>2276</v>
      </c>
      <c r="AB2453" s="4" t="s">
        <v>64</v>
      </c>
      <c r="AC2453" s="4" t="s">
        <v>6464</v>
      </c>
      <c r="AD2453" s="4"/>
    </row>
    <row r="2454" spans="1:30" ht="29">
      <c r="A2454" s="4" t="s">
        <v>6350</v>
      </c>
      <c r="B2454" s="4" t="s">
        <v>6547</v>
      </c>
      <c r="C2454" s="4" t="s">
        <v>24</v>
      </c>
      <c r="D2454" s="4" t="s">
        <v>2659</v>
      </c>
      <c r="E2454" s="4" t="s">
        <v>396</v>
      </c>
      <c r="F2454" s="4" t="s">
        <v>28</v>
      </c>
      <c r="G2454" s="4" t="s">
        <v>2276</v>
      </c>
      <c r="H2454" s="4" t="s">
        <v>523</v>
      </c>
      <c r="I2454" s="4">
        <v>2012</v>
      </c>
      <c r="J2454" s="75"/>
      <c r="K2454" s="75"/>
      <c r="L2454" s="75"/>
      <c r="M2454" s="75"/>
      <c r="N2454" s="75"/>
      <c r="O2454" s="75"/>
      <c r="P2454" s="75"/>
      <c r="Q2454" s="75"/>
      <c r="R2454" s="75"/>
      <c r="S2454" s="75"/>
      <c r="T2454" s="75"/>
      <c r="U2454" s="75"/>
      <c r="V2454" s="75"/>
      <c r="W2454" s="75"/>
      <c r="X2454" s="75"/>
      <c r="Y2454" s="75"/>
      <c r="Z2454" s="4" t="s">
        <v>2276</v>
      </c>
      <c r="AA2454" s="4" t="s">
        <v>2276</v>
      </c>
      <c r="AB2454" s="4" t="s">
        <v>64</v>
      </c>
      <c r="AC2454" s="4" t="s">
        <v>6464</v>
      </c>
      <c r="AD2454" s="4"/>
    </row>
    <row r="2455" spans="1:30" ht="29">
      <c r="A2455" s="4" t="s">
        <v>6350</v>
      </c>
      <c r="B2455" s="4" t="s">
        <v>6548</v>
      </c>
      <c r="C2455" s="4" t="s">
        <v>24</v>
      </c>
      <c r="D2455" s="4" t="s">
        <v>2659</v>
      </c>
      <c r="E2455" s="4" t="s">
        <v>396</v>
      </c>
      <c r="F2455" s="4" t="s">
        <v>28</v>
      </c>
      <c r="G2455" s="4" t="s">
        <v>2276</v>
      </c>
      <c r="H2455" s="4" t="s">
        <v>523</v>
      </c>
      <c r="I2455" s="4">
        <v>2015</v>
      </c>
      <c r="J2455" s="75"/>
      <c r="K2455" s="75"/>
      <c r="L2455" s="75"/>
      <c r="M2455" s="75"/>
      <c r="N2455" s="75"/>
      <c r="O2455" s="75"/>
      <c r="P2455" s="75"/>
      <c r="Q2455" s="75"/>
      <c r="R2455" s="75"/>
      <c r="S2455" s="75"/>
      <c r="T2455" s="75"/>
      <c r="U2455" s="75"/>
      <c r="V2455" s="75"/>
      <c r="W2455" s="75"/>
      <c r="X2455" s="75"/>
      <c r="Y2455" s="75"/>
      <c r="Z2455" s="4" t="s">
        <v>2276</v>
      </c>
      <c r="AA2455" s="4" t="s">
        <v>2276</v>
      </c>
      <c r="AB2455" s="4" t="s">
        <v>64</v>
      </c>
      <c r="AC2455" s="4" t="s">
        <v>6464</v>
      </c>
      <c r="AD2455" s="4"/>
    </row>
    <row r="2456" spans="1:30" ht="29">
      <c r="A2456" s="4" t="s">
        <v>6350</v>
      </c>
      <c r="B2456" s="4" t="s">
        <v>6549</v>
      </c>
      <c r="C2456" s="4" t="s">
        <v>24</v>
      </c>
      <c r="D2456" s="4" t="s">
        <v>2659</v>
      </c>
      <c r="E2456" s="4" t="s">
        <v>397</v>
      </c>
      <c r="F2456" s="4" t="s">
        <v>28</v>
      </c>
      <c r="G2456" s="4" t="s">
        <v>2276</v>
      </c>
      <c r="H2456" s="4" t="s">
        <v>523</v>
      </c>
      <c r="I2456" s="4">
        <v>2008</v>
      </c>
      <c r="J2456" s="75"/>
      <c r="K2456" s="75"/>
      <c r="L2456" s="75"/>
      <c r="M2456" s="75"/>
      <c r="N2456" s="75"/>
      <c r="O2456" s="75"/>
      <c r="P2456" s="75"/>
      <c r="Q2456" s="75"/>
      <c r="R2456" s="75"/>
      <c r="S2456" s="75"/>
      <c r="T2456" s="75"/>
      <c r="U2456" s="75"/>
      <c r="V2456" s="75"/>
      <c r="W2456" s="75"/>
      <c r="X2456" s="75"/>
      <c r="Y2456" s="75"/>
      <c r="Z2456" s="4" t="s">
        <v>2276</v>
      </c>
      <c r="AA2456" s="4" t="s">
        <v>2276</v>
      </c>
      <c r="AB2456" s="4" t="s">
        <v>64</v>
      </c>
      <c r="AC2456" s="4" t="s">
        <v>6464</v>
      </c>
      <c r="AD2456" s="4"/>
    </row>
    <row r="2457" spans="1:30" ht="29">
      <c r="A2457" s="4" t="s">
        <v>6350</v>
      </c>
      <c r="B2457" s="4" t="s">
        <v>6550</v>
      </c>
      <c r="C2457" s="4" t="s">
        <v>24</v>
      </c>
      <c r="D2457" s="4" t="s">
        <v>2659</v>
      </c>
      <c r="E2457" s="4" t="s">
        <v>397</v>
      </c>
      <c r="F2457" s="4" t="s">
        <v>28</v>
      </c>
      <c r="G2457" s="4" t="s">
        <v>2276</v>
      </c>
      <c r="H2457" s="4" t="s">
        <v>523</v>
      </c>
      <c r="I2457" s="4">
        <v>2012</v>
      </c>
      <c r="J2457" s="75"/>
      <c r="K2457" s="75"/>
      <c r="L2457" s="75"/>
      <c r="M2457" s="75"/>
      <c r="N2457" s="75"/>
      <c r="O2457" s="75"/>
      <c r="P2457" s="75"/>
      <c r="Q2457" s="75"/>
      <c r="R2457" s="75"/>
      <c r="S2457" s="75"/>
      <c r="T2457" s="75"/>
      <c r="U2457" s="75"/>
      <c r="V2457" s="75"/>
      <c r="W2457" s="75"/>
      <c r="X2457" s="75"/>
      <c r="Y2457" s="75"/>
      <c r="Z2457" s="4" t="s">
        <v>2276</v>
      </c>
      <c r="AA2457" s="4" t="s">
        <v>2276</v>
      </c>
      <c r="AB2457" s="4" t="s">
        <v>64</v>
      </c>
      <c r="AC2457" s="4" t="s">
        <v>6464</v>
      </c>
      <c r="AD2457" s="4"/>
    </row>
    <row r="2458" spans="1:30" ht="29">
      <c r="A2458" s="4" t="s">
        <v>6350</v>
      </c>
      <c r="B2458" s="4" t="s">
        <v>6551</v>
      </c>
      <c r="C2458" s="4" t="s">
        <v>24</v>
      </c>
      <c r="D2458" s="4" t="s">
        <v>2659</v>
      </c>
      <c r="E2458" s="4" t="s">
        <v>397</v>
      </c>
      <c r="F2458" s="4" t="s">
        <v>28</v>
      </c>
      <c r="G2458" s="4" t="s">
        <v>2276</v>
      </c>
      <c r="H2458" s="4" t="s">
        <v>523</v>
      </c>
      <c r="I2458" s="4">
        <v>2015</v>
      </c>
      <c r="J2458" s="75"/>
      <c r="K2458" s="75"/>
      <c r="L2458" s="75"/>
      <c r="M2458" s="75"/>
      <c r="N2458" s="75"/>
      <c r="O2458" s="75"/>
      <c r="P2458" s="75"/>
      <c r="Q2458" s="75"/>
      <c r="R2458" s="75"/>
      <c r="S2458" s="75"/>
      <c r="T2458" s="75"/>
      <c r="U2458" s="75"/>
      <c r="V2458" s="75"/>
      <c r="W2458" s="75"/>
      <c r="X2458" s="75"/>
      <c r="Y2458" s="75"/>
      <c r="Z2458" s="4" t="s">
        <v>2276</v>
      </c>
      <c r="AA2458" s="4" t="s">
        <v>2276</v>
      </c>
      <c r="AB2458" s="4" t="s">
        <v>64</v>
      </c>
      <c r="AC2458" s="4" t="s">
        <v>6464</v>
      </c>
      <c r="AD2458" s="4"/>
    </row>
    <row r="2459" spans="1:30" ht="29">
      <c r="A2459" s="4" t="s">
        <v>6351</v>
      </c>
      <c r="B2459" s="4" t="s">
        <v>6552</v>
      </c>
      <c r="C2459" s="4" t="s">
        <v>24</v>
      </c>
      <c r="D2459" s="4" t="s">
        <v>2659</v>
      </c>
      <c r="E2459" s="4" t="s">
        <v>396</v>
      </c>
      <c r="F2459" s="4" t="s">
        <v>28</v>
      </c>
      <c r="G2459" s="4" t="s">
        <v>2276</v>
      </c>
      <c r="H2459" s="4" t="s">
        <v>523</v>
      </c>
      <c r="I2459" s="4">
        <v>2008</v>
      </c>
      <c r="J2459" s="75"/>
      <c r="K2459" s="75"/>
      <c r="L2459" s="75"/>
      <c r="M2459" s="75"/>
      <c r="N2459" s="75"/>
      <c r="O2459" s="75"/>
      <c r="P2459" s="75"/>
      <c r="Q2459" s="75"/>
      <c r="R2459" s="75"/>
      <c r="S2459" s="75"/>
      <c r="T2459" s="75"/>
      <c r="U2459" s="75"/>
      <c r="V2459" s="75"/>
      <c r="W2459" s="75"/>
      <c r="X2459" s="75"/>
      <c r="Y2459" s="75"/>
      <c r="Z2459" s="4" t="s">
        <v>2276</v>
      </c>
      <c r="AA2459" s="4" t="s">
        <v>2276</v>
      </c>
      <c r="AB2459" s="4" t="s">
        <v>64</v>
      </c>
      <c r="AC2459" s="4" t="s">
        <v>6464</v>
      </c>
      <c r="AD2459" s="4"/>
    </row>
    <row r="2460" spans="1:30" ht="29">
      <c r="A2460" s="4" t="s">
        <v>6351</v>
      </c>
      <c r="B2460" s="4" t="s">
        <v>6553</v>
      </c>
      <c r="C2460" s="4" t="s">
        <v>24</v>
      </c>
      <c r="D2460" s="4" t="s">
        <v>2659</v>
      </c>
      <c r="E2460" s="4" t="s">
        <v>396</v>
      </c>
      <c r="F2460" s="4" t="s">
        <v>28</v>
      </c>
      <c r="G2460" s="4" t="s">
        <v>2276</v>
      </c>
      <c r="H2460" s="4" t="s">
        <v>523</v>
      </c>
      <c r="I2460" s="4">
        <v>2012</v>
      </c>
      <c r="J2460" s="75"/>
      <c r="K2460" s="75"/>
      <c r="L2460" s="75"/>
      <c r="M2460" s="75"/>
      <c r="N2460" s="75"/>
      <c r="O2460" s="75"/>
      <c r="P2460" s="75"/>
      <c r="Q2460" s="75"/>
      <c r="R2460" s="75"/>
      <c r="S2460" s="75"/>
      <c r="T2460" s="75"/>
      <c r="U2460" s="75"/>
      <c r="V2460" s="75"/>
      <c r="W2460" s="75"/>
      <c r="X2460" s="75"/>
      <c r="Y2460" s="75"/>
      <c r="Z2460" s="4" t="s">
        <v>2276</v>
      </c>
      <c r="AA2460" s="4" t="s">
        <v>2276</v>
      </c>
      <c r="AB2460" s="4" t="s">
        <v>64</v>
      </c>
      <c r="AC2460" s="4" t="s">
        <v>6464</v>
      </c>
      <c r="AD2460" s="4"/>
    </row>
    <row r="2461" spans="1:30" ht="29">
      <c r="A2461" s="4" t="s">
        <v>6351</v>
      </c>
      <c r="B2461" s="4" t="s">
        <v>6554</v>
      </c>
      <c r="C2461" s="4" t="s">
        <v>24</v>
      </c>
      <c r="D2461" s="4" t="s">
        <v>2659</v>
      </c>
      <c r="E2461" s="4" t="s">
        <v>396</v>
      </c>
      <c r="F2461" s="4" t="s">
        <v>28</v>
      </c>
      <c r="G2461" s="4" t="s">
        <v>2276</v>
      </c>
      <c r="H2461" s="4" t="s">
        <v>523</v>
      </c>
      <c r="I2461" s="4">
        <v>2015</v>
      </c>
      <c r="J2461" s="75"/>
      <c r="K2461" s="75"/>
      <c r="L2461" s="75"/>
      <c r="M2461" s="75"/>
      <c r="N2461" s="75"/>
      <c r="O2461" s="75"/>
      <c r="P2461" s="75"/>
      <c r="Q2461" s="75"/>
      <c r="R2461" s="75"/>
      <c r="S2461" s="75"/>
      <c r="T2461" s="75"/>
      <c r="U2461" s="75"/>
      <c r="V2461" s="75"/>
      <c r="W2461" s="75"/>
      <c r="X2461" s="75"/>
      <c r="Y2461" s="75"/>
      <c r="Z2461" s="4" t="s">
        <v>2276</v>
      </c>
      <c r="AA2461" s="4" t="s">
        <v>2276</v>
      </c>
      <c r="AB2461" s="4" t="s">
        <v>64</v>
      </c>
      <c r="AC2461" s="4" t="s">
        <v>6464</v>
      </c>
      <c r="AD2461" s="4"/>
    </row>
    <row r="2462" spans="1:30" ht="29">
      <c r="A2462" s="4" t="s">
        <v>6351</v>
      </c>
      <c r="B2462" s="4" t="s">
        <v>6555</v>
      </c>
      <c r="C2462" s="4" t="s">
        <v>24</v>
      </c>
      <c r="D2462" s="4" t="s">
        <v>2659</v>
      </c>
      <c r="E2462" s="4" t="s">
        <v>397</v>
      </c>
      <c r="F2462" s="4" t="s">
        <v>28</v>
      </c>
      <c r="G2462" s="4" t="s">
        <v>2276</v>
      </c>
      <c r="H2462" s="4" t="s">
        <v>523</v>
      </c>
      <c r="I2462" s="4">
        <v>2008</v>
      </c>
      <c r="J2462" s="75"/>
      <c r="K2462" s="75"/>
      <c r="L2462" s="75"/>
      <c r="M2462" s="75"/>
      <c r="N2462" s="75"/>
      <c r="O2462" s="75"/>
      <c r="P2462" s="75"/>
      <c r="Q2462" s="75"/>
      <c r="R2462" s="75"/>
      <c r="S2462" s="75"/>
      <c r="T2462" s="75"/>
      <c r="U2462" s="75"/>
      <c r="V2462" s="75"/>
      <c r="W2462" s="75"/>
      <c r="X2462" s="75"/>
      <c r="Y2462" s="75"/>
      <c r="Z2462" s="4" t="s">
        <v>2276</v>
      </c>
      <c r="AA2462" s="4" t="s">
        <v>2276</v>
      </c>
      <c r="AB2462" s="4" t="s">
        <v>64</v>
      </c>
      <c r="AC2462" s="4" t="s">
        <v>6464</v>
      </c>
      <c r="AD2462" s="4"/>
    </row>
    <row r="2463" spans="1:30" ht="29">
      <c r="A2463" s="4" t="s">
        <v>6351</v>
      </c>
      <c r="B2463" s="4" t="s">
        <v>6556</v>
      </c>
      <c r="C2463" s="4" t="s">
        <v>24</v>
      </c>
      <c r="D2463" s="4" t="s">
        <v>2659</v>
      </c>
      <c r="E2463" s="4" t="s">
        <v>397</v>
      </c>
      <c r="F2463" s="4" t="s">
        <v>28</v>
      </c>
      <c r="G2463" s="4" t="s">
        <v>2276</v>
      </c>
      <c r="H2463" s="4" t="s">
        <v>523</v>
      </c>
      <c r="I2463" s="4">
        <v>2012</v>
      </c>
      <c r="J2463" s="75"/>
      <c r="K2463" s="75"/>
      <c r="L2463" s="75"/>
      <c r="M2463" s="75"/>
      <c r="N2463" s="75"/>
      <c r="O2463" s="75"/>
      <c r="P2463" s="75"/>
      <c r="Q2463" s="75"/>
      <c r="R2463" s="75"/>
      <c r="S2463" s="75"/>
      <c r="T2463" s="75"/>
      <c r="U2463" s="75"/>
      <c r="V2463" s="75"/>
      <c r="W2463" s="75"/>
      <c r="X2463" s="75"/>
      <c r="Y2463" s="75"/>
      <c r="Z2463" s="4" t="s">
        <v>2276</v>
      </c>
      <c r="AA2463" s="4" t="s">
        <v>2276</v>
      </c>
      <c r="AB2463" s="4" t="s">
        <v>64</v>
      </c>
      <c r="AC2463" s="4" t="s">
        <v>6464</v>
      </c>
      <c r="AD2463" s="4"/>
    </row>
    <row r="2464" spans="1:30" ht="29">
      <c r="A2464" s="4" t="s">
        <v>6351</v>
      </c>
      <c r="B2464" s="4" t="s">
        <v>6557</v>
      </c>
      <c r="C2464" s="4" t="s">
        <v>24</v>
      </c>
      <c r="D2464" s="4" t="s">
        <v>2659</v>
      </c>
      <c r="E2464" s="4" t="s">
        <v>397</v>
      </c>
      <c r="F2464" s="4" t="s">
        <v>28</v>
      </c>
      <c r="G2464" s="4" t="s">
        <v>2276</v>
      </c>
      <c r="H2464" s="4" t="s">
        <v>523</v>
      </c>
      <c r="I2464" s="4">
        <v>2015</v>
      </c>
      <c r="J2464" s="75"/>
      <c r="K2464" s="75"/>
      <c r="L2464" s="75"/>
      <c r="M2464" s="75"/>
      <c r="N2464" s="75"/>
      <c r="O2464" s="75"/>
      <c r="P2464" s="75"/>
      <c r="Q2464" s="75"/>
      <c r="R2464" s="75"/>
      <c r="S2464" s="75"/>
      <c r="T2464" s="75"/>
      <c r="U2464" s="75"/>
      <c r="V2464" s="75"/>
      <c r="W2464" s="75"/>
      <c r="X2464" s="75"/>
      <c r="Y2464" s="75"/>
      <c r="Z2464" s="4" t="s">
        <v>2276</v>
      </c>
      <c r="AA2464" s="4" t="s">
        <v>2276</v>
      </c>
      <c r="AB2464" s="4" t="s">
        <v>64</v>
      </c>
      <c r="AC2464" s="4" t="s">
        <v>6464</v>
      </c>
      <c r="AD2464" s="4"/>
    </row>
    <row r="2465" spans="1:30" ht="29">
      <c r="A2465" s="4" t="s">
        <v>6352</v>
      </c>
      <c r="B2465" s="4" t="s">
        <v>6558</v>
      </c>
      <c r="C2465" s="4" t="s">
        <v>24</v>
      </c>
      <c r="D2465" s="4" t="s">
        <v>2659</v>
      </c>
      <c r="E2465" s="4" t="s">
        <v>396</v>
      </c>
      <c r="F2465" s="4" t="s">
        <v>28</v>
      </c>
      <c r="G2465" s="4" t="s">
        <v>2276</v>
      </c>
      <c r="H2465" s="4" t="s">
        <v>523</v>
      </c>
      <c r="I2465" s="4">
        <v>2008</v>
      </c>
      <c r="J2465" s="75"/>
      <c r="K2465" s="75"/>
      <c r="L2465" s="75"/>
      <c r="M2465" s="75"/>
      <c r="N2465" s="75"/>
      <c r="O2465" s="75"/>
      <c r="P2465" s="75"/>
      <c r="Q2465" s="75"/>
      <c r="R2465" s="75"/>
      <c r="S2465" s="75"/>
      <c r="T2465" s="75"/>
      <c r="U2465" s="75"/>
      <c r="V2465" s="75"/>
      <c r="W2465" s="75"/>
      <c r="X2465" s="75"/>
      <c r="Y2465" s="75"/>
      <c r="Z2465" s="4" t="s">
        <v>2276</v>
      </c>
      <c r="AA2465" s="4" t="s">
        <v>2276</v>
      </c>
      <c r="AB2465" s="4" t="s">
        <v>64</v>
      </c>
      <c r="AC2465" s="4" t="s">
        <v>6464</v>
      </c>
      <c r="AD2465" s="4"/>
    </row>
    <row r="2466" spans="1:30" ht="29">
      <c r="A2466" s="4" t="s">
        <v>6352</v>
      </c>
      <c r="B2466" s="4" t="s">
        <v>6559</v>
      </c>
      <c r="C2466" s="4" t="s">
        <v>24</v>
      </c>
      <c r="D2466" s="4" t="s">
        <v>2659</v>
      </c>
      <c r="E2466" s="4" t="s">
        <v>396</v>
      </c>
      <c r="F2466" s="4" t="s">
        <v>28</v>
      </c>
      <c r="G2466" s="4" t="s">
        <v>2276</v>
      </c>
      <c r="H2466" s="4" t="s">
        <v>523</v>
      </c>
      <c r="I2466" s="4">
        <v>2012</v>
      </c>
      <c r="J2466" s="75"/>
      <c r="K2466" s="75"/>
      <c r="L2466" s="75"/>
      <c r="M2466" s="75"/>
      <c r="N2466" s="75"/>
      <c r="O2466" s="75"/>
      <c r="P2466" s="75"/>
      <c r="Q2466" s="75"/>
      <c r="R2466" s="75"/>
      <c r="S2466" s="75"/>
      <c r="T2466" s="75"/>
      <c r="U2466" s="75"/>
      <c r="V2466" s="75"/>
      <c r="W2466" s="75"/>
      <c r="X2466" s="75"/>
      <c r="Y2466" s="75"/>
      <c r="Z2466" s="4" t="s">
        <v>2276</v>
      </c>
      <c r="AA2466" s="4" t="s">
        <v>2276</v>
      </c>
      <c r="AB2466" s="4" t="s">
        <v>64</v>
      </c>
      <c r="AC2466" s="4" t="s">
        <v>6464</v>
      </c>
      <c r="AD2466" s="4"/>
    </row>
    <row r="2467" spans="1:30" ht="29">
      <c r="A2467" s="4" t="s">
        <v>6352</v>
      </c>
      <c r="B2467" s="4" t="s">
        <v>6560</v>
      </c>
      <c r="C2467" s="4" t="s">
        <v>24</v>
      </c>
      <c r="D2467" s="4" t="s">
        <v>2659</v>
      </c>
      <c r="E2467" s="4" t="s">
        <v>396</v>
      </c>
      <c r="F2467" s="4" t="s">
        <v>28</v>
      </c>
      <c r="G2467" s="4" t="s">
        <v>2276</v>
      </c>
      <c r="H2467" s="4" t="s">
        <v>523</v>
      </c>
      <c r="I2467" s="4">
        <v>2015</v>
      </c>
      <c r="J2467" s="75"/>
      <c r="K2467" s="75"/>
      <c r="L2467" s="75"/>
      <c r="M2467" s="75"/>
      <c r="N2467" s="75"/>
      <c r="O2467" s="75"/>
      <c r="P2467" s="75"/>
      <c r="Q2467" s="75"/>
      <c r="R2467" s="75"/>
      <c r="S2467" s="75"/>
      <c r="T2467" s="75"/>
      <c r="U2467" s="75"/>
      <c r="V2467" s="75"/>
      <c r="W2467" s="75"/>
      <c r="X2467" s="75"/>
      <c r="Y2467" s="75"/>
      <c r="Z2467" s="4" t="s">
        <v>2276</v>
      </c>
      <c r="AA2467" s="4" t="s">
        <v>2276</v>
      </c>
      <c r="AB2467" s="4" t="s">
        <v>64</v>
      </c>
      <c r="AC2467" s="4" t="s">
        <v>6464</v>
      </c>
      <c r="AD2467" s="4"/>
    </row>
    <row r="2468" spans="1:30" ht="29">
      <c r="A2468" s="4" t="s">
        <v>6352</v>
      </c>
      <c r="B2468" s="4" t="s">
        <v>6561</v>
      </c>
      <c r="C2468" s="4" t="s">
        <v>24</v>
      </c>
      <c r="D2468" s="4" t="s">
        <v>2659</v>
      </c>
      <c r="E2468" s="4" t="s">
        <v>397</v>
      </c>
      <c r="F2468" s="4" t="s">
        <v>28</v>
      </c>
      <c r="G2468" s="4" t="s">
        <v>2276</v>
      </c>
      <c r="H2468" s="4" t="s">
        <v>523</v>
      </c>
      <c r="I2468" s="4">
        <v>2008</v>
      </c>
      <c r="J2468" s="75"/>
      <c r="K2468" s="75"/>
      <c r="L2468" s="75"/>
      <c r="M2468" s="75"/>
      <c r="N2468" s="75"/>
      <c r="O2468" s="75"/>
      <c r="P2468" s="75"/>
      <c r="Q2468" s="75"/>
      <c r="R2468" s="75"/>
      <c r="S2468" s="75"/>
      <c r="T2468" s="75"/>
      <c r="U2468" s="75"/>
      <c r="V2468" s="75"/>
      <c r="W2468" s="75"/>
      <c r="X2468" s="75"/>
      <c r="Y2468" s="75"/>
      <c r="Z2468" s="4" t="s">
        <v>2276</v>
      </c>
      <c r="AA2468" s="4" t="s">
        <v>2276</v>
      </c>
      <c r="AB2468" s="4" t="s">
        <v>64</v>
      </c>
      <c r="AC2468" s="4" t="s">
        <v>6464</v>
      </c>
      <c r="AD2468" s="4"/>
    </row>
    <row r="2469" spans="1:30" ht="29">
      <c r="A2469" s="4" t="s">
        <v>6352</v>
      </c>
      <c r="B2469" s="4" t="s">
        <v>6562</v>
      </c>
      <c r="C2469" s="4" t="s">
        <v>24</v>
      </c>
      <c r="D2469" s="4" t="s">
        <v>2659</v>
      </c>
      <c r="E2469" s="4" t="s">
        <v>397</v>
      </c>
      <c r="F2469" s="4" t="s">
        <v>28</v>
      </c>
      <c r="G2469" s="4" t="s">
        <v>2276</v>
      </c>
      <c r="H2469" s="4" t="s">
        <v>523</v>
      </c>
      <c r="I2469" s="4">
        <v>2012</v>
      </c>
      <c r="J2469" s="75"/>
      <c r="K2469" s="75"/>
      <c r="L2469" s="75"/>
      <c r="M2469" s="75"/>
      <c r="N2469" s="75"/>
      <c r="O2469" s="75"/>
      <c r="P2469" s="75"/>
      <c r="Q2469" s="75"/>
      <c r="R2469" s="75"/>
      <c r="S2469" s="75"/>
      <c r="T2469" s="75"/>
      <c r="U2469" s="75"/>
      <c r="V2469" s="75"/>
      <c r="W2469" s="75"/>
      <c r="X2469" s="75"/>
      <c r="Y2469" s="75"/>
      <c r="Z2469" s="4" t="s">
        <v>2276</v>
      </c>
      <c r="AA2469" s="4" t="s">
        <v>2276</v>
      </c>
      <c r="AB2469" s="4" t="s">
        <v>64</v>
      </c>
      <c r="AC2469" s="4" t="s">
        <v>6464</v>
      </c>
      <c r="AD2469" s="4"/>
    </row>
    <row r="2470" spans="1:30" ht="29">
      <c r="A2470" s="4" t="s">
        <v>6352</v>
      </c>
      <c r="B2470" s="4" t="s">
        <v>6563</v>
      </c>
      <c r="C2470" s="4" t="s">
        <v>24</v>
      </c>
      <c r="D2470" s="4" t="s">
        <v>2659</v>
      </c>
      <c r="E2470" s="4" t="s">
        <v>397</v>
      </c>
      <c r="F2470" s="4" t="s">
        <v>28</v>
      </c>
      <c r="G2470" s="4" t="s">
        <v>2276</v>
      </c>
      <c r="H2470" s="4" t="s">
        <v>523</v>
      </c>
      <c r="I2470" s="4">
        <v>2015</v>
      </c>
      <c r="J2470" s="75"/>
      <c r="K2470" s="75"/>
      <c r="L2470" s="75"/>
      <c r="M2470" s="75"/>
      <c r="N2470" s="75"/>
      <c r="O2470" s="75"/>
      <c r="P2470" s="75"/>
      <c r="Q2470" s="75"/>
      <c r="R2470" s="75"/>
      <c r="S2470" s="75"/>
      <c r="T2470" s="75"/>
      <c r="U2470" s="75"/>
      <c r="V2470" s="75"/>
      <c r="W2470" s="75"/>
      <c r="X2470" s="75"/>
      <c r="Y2470" s="75"/>
      <c r="Z2470" s="4" t="s">
        <v>2276</v>
      </c>
      <c r="AA2470" s="4" t="s">
        <v>2276</v>
      </c>
      <c r="AB2470" s="4" t="s">
        <v>64</v>
      </c>
      <c r="AC2470" s="4" t="s">
        <v>6464</v>
      </c>
      <c r="AD2470" s="4"/>
    </row>
    <row r="2471" spans="1:30" ht="29">
      <c r="A2471" s="4" t="s">
        <v>6353</v>
      </c>
      <c r="B2471" s="4" t="s">
        <v>6564</v>
      </c>
      <c r="C2471" s="4" t="s">
        <v>24</v>
      </c>
      <c r="D2471" s="4" t="s">
        <v>2659</v>
      </c>
      <c r="E2471" s="4" t="s">
        <v>396</v>
      </c>
      <c r="F2471" s="4" t="s">
        <v>28</v>
      </c>
      <c r="G2471" s="4" t="s">
        <v>2276</v>
      </c>
      <c r="H2471" s="4" t="s">
        <v>523</v>
      </c>
      <c r="I2471" s="4">
        <v>2008</v>
      </c>
      <c r="J2471" s="75"/>
      <c r="K2471" s="75"/>
      <c r="L2471" s="75"/>
      <c r="M2471" s="75"/>
      <c r="N2471" s="75"/>
      <c r="O2471" s="75"/>
      <c r="P2471" s="75"/>
      <c r="Q2471" s="75"/>
      <c r="R2471" s="75"/>
      <c r="S2471" s="75"/>
      <c r="T2471" s="75"/>
      <c r="U2471" s="75"/>
      <c r="V2471" s="75"/>
      <c r="W2471" s="75"/>
      <c r="X2471" s="75"/>
      <c r="Y2471" s="75"/>
      <c r="Z2471" s="4" t="s">
        <v>2276</v>
      </c>
      <c r="AA2471" s="4" t="s">
        <v>2276</v>
      </c>
      <c r="AB2471" s="4" t="s">
        <v>64</v>
      </c>
      <c r="AC2471" s="4" t="s">
        <v>6464</v>
      </c>
      <c r="AD2471" s="4"/>
    </row>
    <row r="2472" spans="1:30" ht="29">
      <c r="A2472" s="4" t="s">
        <v>6353</v>
      </c>
      <c r="B2472" s="4" t="s">
        <v>6565</v>
      </c>
      <c r="C2472" s="4" t="s">
        <v>24</v>
      </c>
      <c r="D2472" s="4" t="s">
        <v>2659</v>
      </c>
      <c r="E2472" s="4" t="s">
        <v>396</v>
      </c>
      <c r="F2472" s="4" t="s">
        <v>28</v>
      </c>
      <c r="G2472" s="4" t="s">
        <v>2276</v>
      </c>
      <c r="H2472" s="4" t="s">
        <v>523</v>
      </c>
      <c r="I2472" s="4">
        <v>2012</v>
      </c>
      <c r="J2472" s="75"/>
      <c r="K2472" s="75"/>
      <c r="L2472" s="75"/>
      <c r="M2472" s="75"/>
      <c r="N2472" s="75"/>
      <c r="O2472" s="75"/>
      <c r="P2472" s="75"/>
      <c r="Q2472" s="75"/>
      <c r="R2472" s="75"/>
      <c r="S2472" s="75"/>
      <c r="T2472" s="75"/>
      <c r="U2472" s="75"/>
      <c r="V2472" s="75"/>
      <c r="W2472" s="75"/>
      <c r="X2472" s="75"/>
      <c r="Y2472" s="75"/>
      <c r="Z2472" s="4" t="s">
        <v>2276</v>
      </c>
      <c r="AA2472" s="4" t="s">
        <v>2276</v>
      </c>
      <c r="AB2472" s="4" t="s">
        <v>64</v>
      </c>
      <c r="AC2472" s="4" t="s">
        <v>6464</v>
      </c>
      <c r="AD2472" s="4"/>
    </row>
    <row r="2473" spans="1:30" ht="29">
      <c r="A2473" s="4" t="s">
        <v>6353</v>
      </c>
      <c r="B2473" s="4" t="s">
        <v>6566</v>
      </c>
      <c r="C2473" s="4" t="s">
        <v>24</v>
      </c>
      <c r="D2473" s="4" t="s">
        <v>2659</v>
      </c>
      <c r="E2473" s="4" t="s">
        <v>396</v>
      </c>
      <c r="F2473" s="4" t="s">
        <v>28</v>
      </c>
      <c r="G2473" s="4" t="s">
        <v>2276</v>
      </c>
      <c r="H2473" s="4" t="s">
        <v>523</v>
      </c>
      <c r="I2473" s="4">
        <v>2015</v>
      </c>
      <c r="J2473" s="75"/>
      <c r="K2473" s="75"/>
      <c r="L2473" s="75"/>
      <c r="M2473" s="75"/>
      <c r="N2473" s="75"/>
      <c r="O2473" s="75"/>
      <c r="P2473" s="75"/>
      <c r="Q2473" s="75"/>
      <c r="R2473" s="75"/>
      <c r="S2473" s="75"/>
      <c r="T2473" s="75"/>
      <c r="U2473" s="75"/>
      <c r="V2473" s="75"/>
      <c r="W2473" s="75"/>
      <c r="X2473" s="75"/>
      <c r="Y2473" s="75"/>
      <c r="Z2473" s="4" t="s">
        <v>2276</v>
      </c>
      <c r="AA2473" s="4" t="s">
        <v>2276</v>
      </c>
      <c r="AB2473" s="4" t="s">
        <v>64</v>
      </c>
      <c r="AC2473" s="4" t="s">
        <v>6464</v>
      </c>
      <c r="AD2473" s="4"/>
    </row>
    <row r="2474" spans="1:30" ht="29">
      <c r="A2474" s="4" t="s">
        <v>6353</v>
      </c>
      <c r="B2474" s="4" t="s">
        <v>6567</v>
      </c>
      <c r="C2474" s="4" t="s">
        <v>24</v>
      </c>
      <c r="D2474" s="4" t="s">
        <v>2659</v>
      </c>
      <c r="E2474" s="4" t="s">
        <v>397</v>
      </c>
      <c r="F2474" s="4" t="s">
        <v>28</v>
      </c>
      <c r="G2474" s="4" t="s">
        <v>2276</v>
      </c>
      <c r="H2474" s="4" t="s">
        <v>523</v>
      </c>
      <c r="I2474" s="4">
        <v>2008</v>
      </c>
      <c r="J2474" s="75"/>
      <c r="K2474" s="75"/>
      <c r="L2474" s="75"/>
      <c r="M2474" s="75"/>
      <c r="N2474" s="75"/>
      <c r="O2474" s="75"/>
      <c r="P2474" s="75"/>
      <c r="Q2474" s="75"/>
      <c r="R2474" s="75"/>
      <c r="S2474" s="75"/>
      <c r="T2474" s="75"/>
      <c r="U2474" s="75"/>
      <c r="V2474" s="75"/>
      <c r="W2474" s="75"/>
      <c r="X2474" s="75"/>
      <c r="Y2474" s="75"/>
      <c r="Z2474" s="4" t="s">
        <v>2276</v>
      </c>
      <c r="AA2474" s="4" t="s">
        <v>2276</v>
      </c>
      <c r="AB2474" s="4" t="s">
        <v>64</v>
      </c>
      <c r="AC2474" s="4" t="s">
        <v>6464</v>
      </c>
      <c r="AD2474" s="4"/>
    </row>
    <row r="2475" spans="1:30" ht="29">
      <c r="A2475" s="4" t="s">
        <v>6353</v>
      </c>
      <c r="B2475" s="4" t="s">
        <v>6568</v>
      </c>
      <c r="C2475" s="4" t="s">
        <v>24</v>
      </c>
      <c r="D2475" s="4" t="s">
        <v>2659</v>
      </c>
      <c r="E2475" s="4" t="s">
        <v>397</v>
      </c>
      <c r="F2475" s="4" t="s">
        <v>28</v>
      </c>
      <c r="G2475" s="4" t="s">
        <v>2276</v>
      </c>
      <c r="H2475" s="4" t="s">
        <v>523</v>
      </c>
      <c r="I2475" s="4">
        <v>2012</v>
      </c>
      <c r="J2475" s="75"/>
      <c r="K2475" s="75"/>
      <c r="L2475" s="75"/>
      <c r="M2475" s="75"/>
      <c r="N2475" s="75"/>
      <c r="O2475" s="75"/>
      <c r="P2475" s="75"/>
      <c r="Q2475" s="75"/>
      <c r="R2475" s="75"/>
      <c r="S2475" s="75"/>
      <c r="T2475" s="75"/>
      <c r="U2475" s="75"/>
      <c r="V2475" s="75"/>
      <c r="W2475" s="75"/>
      <c r="X2475" s="75"/>
      <c r="Y2475" s="75"/>
      <c r="Z2475" s="4" t="s">
        <v>2276</v>
      </c>
      <c r="AA2475" s="4" t="s">
        <v>2276</v>
      </c>
      <c r="AB2475" s="4" t="s">
        <v>64</v>
      </c>
      <c r="AC2475" s="4" t="s">
        <v>6464</v>
      </c>
      <c r="AD2475" s="4"/>
    </row>
    <row r="2476" spans="1:30" ht="29">
      <c r="A2476" s="4" t="s">
        <v>6353</v>
      </c>
      <c r="B2476" s="4" t="s">
        <v>6569</v>
      </c>
      <c r="C2476" s="4" t="s">
        <v>24</v>
      </c>
      <c r="D2476" s="4" t="s">
        <v>2659</v>
      </c>
      <c r="E2476" s="4" t="s">
        <v>397</v>
      </c>
      <c r="F2476" s="4" t="s">
        <v>28</v>
      </c>
      <c r="G2476" s="4" t="s">
        <v>2276</v>
      </c>
      <c r="H2476" s="4" t="s">
        <v>523</v>
      </c>
      <c r="I2476" s="4">
        <v>2015</v>
      </c>
      <c r="J2476" s="75"/>
      <c r="K2476" s="75"/>
      <c r="L2476" s="75"/>
      <c r="M2476" s="75"/>
      <c r="N2476" s="75"/>
      <c r="O2476" s="75"/>
      <c r="P2476" s="75"/>
      <c r="Q2476" s="75"/>
      <c r="R2476" s="75"/>
      <c r="S2476" s="75"/>
      <c r="T2476" s="75"/>
      <c r="U2476" s="75"/>
      <c r="V2476" s="75"/>
      <c r="W2476" s="75"/>
      <c r="X2476" s="75"/>
      <c r="Y2476" s="75"/>
      <c r="Z2476" s="4" t="s">
        <v>2276</v>
      </c>
      <c r="AA2476" s="4" t="s">
        <v>2276</v>
      </c>
      <c r="AB2476" s="4" t="s">
        <v>64</v>
      </c>
      <c r="AC2476" s="4" t="s">
        <v>6464</v>
      </c>
      <c r="AD2476" s="4"/>
    </row>
    <row r="2477" spans="1:30" ht="29">
      <c r="A2477" s="4" t="s">
        <v>6354</v>
      </c>
      <c r="B2477" s="4" t="s">
        <v>6570</v>
      </c>
      <c r="C2477" s="4" t="s">
        <v>24</v>
      </c>
      <c r="D2477" s="4" t="s">
        <v>2659</v>
      </c>
      <c r="E2477" s="4" t="s">
        <v>396</v>
      </c>
      <c r="F2477" s="4" t="s">
        <v>28</v>
      </c>
      <c r="G2477" s="4" t="s">
        <v>2276</v>
      </c>
      <c r="H2477" s="4" t="s">
        <v>523</v>
      </c>
      <c r="I2477" s="4"/>
      <c r="J2477" s="75"/>
      <c r="K2477" s="75"/>
      <c r="L2477" s="75"/>
      <c r="M2477" s="75"/>
      <c r="N2477" s="75"/>
      <c r="O2477" s="75"/>
      <c r="P2477" s="75"/>
      <c r="Q2477" s="75"/>
      <c r="R2477" s="75"/>
      <c r="S2477" s="75"/>
      <c r="T2477" s="75"/>
      <c r="U2477" s="75"/>
      <c r="V2477" s="75"/>
      <c r="W2477" s="75"/>
      <c r="X2477" s="75"/>
      <c r="Y2477" s="75"/>
      <c r="Z2477" s="4" t="s">
        <v>2276</v>
      </c>
      <c r="AA2477" s="4" t="s">
        <v>2276</v>
      </c>
      <c r="AB2477" s="4" t="s">
        <v>64</v>
      </c>
      <c r="AC2477" s="4"/>
      <c r="AD2477" s="4"/>
    </row>
    <row r="2478" spans="1:30" ht="29">
      <c r="A2478" s="4" t="s">
        <v>6354</v>
      </c>
      <c r="B2478" s="4" t="s">
        <v>6571</v>
      </c>
      <c r="C2478" s="4" t="s">
        <v>24</v>
      </c>
      <c r="D2478" s="4" t="s">
        <v>2659</v>
      </c>
      <c r="E2478" s="4" t="s">
        <v>397</v>
      </c>
      <c r="F2478" s="4" t="s">
        <v>28</v>
      </c>
      <c r="G2478" s="4" t="s">
        <v>2276</v>
      </c>
      <c r="H2478" s="4" t="s">
        <v>523</v>
      </c>
      <c r="I2478" s="4"/>
      <c r="J2478" s="75"/>
      <c r="K2478" s="75"/>
      <c r="L2478" s="75"/>
      <c r="M2478" s="75"/>
      <c r="N2478" s="75"/>
      <c r="O2478" s="75"/>
      <c r="P2478" s="75"/>
      <c r="Q2478" s="75"/>
      <c r="R2478" s="75"/>
      <c r="S2478" s="75"/>
      <c r="T2478" s="75"/>
      <c r="U2478" s="75"/>
      <c r="V2478" s="75"/>
      <c r="W2478" s="75"/>
      <c r="X2478" s="75"/>
      <c r="Y2478" s="75"/>
      <c r="Z2478" s="4" t="s">
        <v>2276</v>
      </c>
      <c r="AA2478" s="4" t="s">
        <v>2276</v>
      </c>
      <c r="AB2478" s="4" t="s">
        <v>64</v>
      </c>
      <c r="AC2478" s="4"/>
      <c r="AD2478" s="4"/>
    </row>
    <row r="2479" spans="1:30" ht="29">
      <c r="A2479" s="4" t="s">
        <v>6355</v>
      </c>
      <c r="B2479" s="4" t="s">
        <v>6572</v>
      </c>
      <c r="C2479" s="4" t="s">
        <v>24</v>
      </c>
      <c r="D2479" s="4" t="s">
        <v>2659</v>
      </c>
      <c r="E2479" s="4" t="s">
        <v>396</v>
      </c>
      <c r="F2479" s="4" t="s">
        <v>28</v>
      </c>
      <c r="G2479" s="4" t="s">
        <v>2276</v>
      </c>
      <c r="H2479" s="4" t="s">
        <v>523</v>
      </c>
      <c r="I2479" s="4"/>
      <c r="J2479" s="75"/>
      <c r="K2479" s="75"/>
      <c r="L2479" s="75"/>
      <c r="M2479" s="75"/>
      <c r="N2479" s="75"/>
      <c r="O2479" s="75"/>
      <c r="P2479" s="75"/>
      <c r="Q2479" s="75"/>
      <c r="R2479" s="75"/>
      <c r="S2479" s="75"/>
      <c r="T2479" s="75"/>
      <c r="U2479" s="75"/>
      <c r="V2479" s="75"/>
      <c r="W2479" s="75"/>
      <c r="X2479" s="75"/>
      <c r="Y2479" s="75"/>
      <c r="Z2479" s="4" t="s">
        <v>2276</v>
      </c>
      <c r="AA2479" s="4" t="s">
        <v>2276</v>
      </c>
      <c r="AB2479" s="4" t="s">
        <v>64</v>
      </c>
      <c r="AC2479" s="4"/>
      <c r="AD2479" s="4"/>
    </row>
    <row r="2480" spans="1:30" ht="29">
      <c r="A2480" s="4" t="s">
        <v>6355</v>
      </c>
      <c r="B2480" s="4" t="s">
        <v>6573</v>
      </c>
      <c r="C2480" s="4" t="s">
        <v>24</v>
      </c>
      <c r="D2480" s="4" t="s">
        <v>2659</v>
      </c>
      <c r="E2480" s="4" t="s">
        <v>397</v>
      </c>
      <c r="F2480" s="4" t="s">
        <v>28</v>
      </c>
      <c r="G2480" s="4" t="s">
        <v>2276</v>
      </c>
      <c r="H2480" s="4" t="s">
        <v>523</v>
      </c>
      <c r="I2480" s="4"/>
      <c r="J2480" s="75"/>
      <c r="K2480" s="75"/>
      <c r="L2480" s="75"/>
      <c r="M2480" s="75"/>
      <c r="N2480" s="75"/>
      <c r="O2480" s="75"/>
      <c r="P2480" s="75"/>
      <c r="Q2480" s="75"/>
      <c r="R2480" s="75"/>
      <c r="S2480" s="75"/>
      <c r="T2480" s="75"/>
      <c r="U2480" s="75"/>
      <c r="V2480" s="75"/>
      <c r="W2480" s="75"/>
      <c r="X2480" s="75"/>
      <c r="Y2480" s="75"/>
      <c r="Z2480" s="4" t="s">
        <v>2276</v>
      </c>
      <c r="AA2480" s="4" t="s">
        <v>2276</v>
      </c>
      <c r="AB2480" s="4" t="s">
        <v>64</v>
      </c>
      <c r="AC2480" s="4"/>
      <c r="AD2480" s="4"/>
    </row>
    <row r="2481" spans="1:30" ht="29">
      <c r="A2481" s="4" t="s">
        <v>6356</v>
      </c>
      <c r="B2481" s="4" t="s">
        <v>6574</v>
      </c>
      <c r="C2481" s="4" t="s">
        <v>24</v>
      </c>
      <c r="D2481" s="4" t="s">
        <v>2659</v>
      </c>
      <c r="E2481" s="4" t="s">
        <v>3855</v>
      </c>
      <c r="F2481" s="4" t="s">
        <v>28</v>
      </c>
      <c r="G2481" s="4" t="s">
        <v>2276</v>
      </c>
      <c r="H2481" s="4" t="s">
        <v>523</v>
      </c>
      <c r="I2481" s="4"/>
      <c r="J2481" s="75"/>
      <c r="K2481" s="75"/>
      <c r="L2481" s="75"/>
      <c r="M2481" s="75"/>
      <c r="N2481" s="75"/>
      <c r="O2481" s="75"/>
      <c r="P2481" s="75"/>
      <c r="Q2481" s="75"/>
      <c r="R2481" s="75"/>
      <c r="S2481" s="75"/>
      <c r="T2481" s="75"/>
      <c r="U2481" s="75"/>
      <c r="V2481" s="75"/>
      <c r="W2481" s="75"/>
      <c r="X2481" s="75"/>
      <c r="Y2481" s="75"/>
      <c r="Z2481" s="4" t="s">
        <v>2276</v>
      </c>
      <c r="AA2481" s="4" t="s">
        <v>2276</v>
      </c>
      <c r="AB2481" s="4" t="s">
        <v>64</v>
      </c>
      <c r="AC2481" s="4" t="s">
        <v>6465</v>
      </c>
      <c r="AD2481" s="4"/>
    </row>
    <row r="2482" spans="1:30" ht="29">
      <c r="A2482" s="4" t="s">
        <v>6356</v>
      </c>
      <c r="B2482" s="4" t="s">
        <v>6575</v>
      </c>
      <c r="C2482" s="4" t="s">
        <v>24</v>
      </c>
      <c r="D2482" s="4" t="s">
        <v>2659</v>
      </c>
      <c r="E2482" s="4" t="s">
        <v>3855</v>
      </c>
      <c r="F2482" s="4" t="s">
        <v>28</v>
      </c>
      <c r="G2482" s="4" t="s">
        <v>2276</v>
      </c>
      <c r="H2482" s="4" t="s">
        <v>523</v>
      </c>
      <c r="I2482" s="4"/>
      <c r="J2482" s="75"/>
      <c r="K2482" s="75"/>
      <c r="L2482" s="75"/>
      <c r="M2482" s="75"/>
      <c r="N2482" s="75"/>
      <c r="O2482" s="75"/>
      <c r="P2482" s="75"/>
      <c r="Q2482" s="75"/>
      <c r="R2482" s="75"/>
      <c r="S2482" s="75"/>
      <c r="T2482" s="75"/>
      <c r="U2482" s="75"/>
      <c r="V2482" s="75"/>
      <c r="W2482" s="75"/>
      <c r="X2482" s="75"/>
      <c r="Y2482" s="75"/>
      <c r="Z2482" s="4" t="s">
        <v>2276</v>
      </c>
      <c r="AA2482" s="4" t="s">
        <v>2276</v>
      </c>
      <c r="AB2482" s="4" t="s">
        <v>64</v>
      </c>
      <c r="AC2482" s="4" t="s">
        <v>6466</v>
      </c>
      <c r="AD2482" s="4"/>
    </row>
    <row r="2483" spans="1:30" ht="36.5" customHeight="1">
      <c r="A2483" s="4" t="s">
        <v>6356</v>
      </c>
      <c r="B2483" s="4" t="s">
        <v>6576</v>
      </c>
      <c r="C2483" s="4" t="s">
        <v>24</v>
      </c>
      <c r="D2483" s="4" t="s">
        <v>2659</v>
      </c>
      <c r="E2483" s="4" t="s">
        <v>6370</v>
      </c>
      <c r="F2483" s="4" t="s">
        <v>28</v>
      </c>
      <c r="G2483" s="4" t="s">
        <v>2276</v>
      </c>
      <c r="H2483" s="4" t="s">
        <v>523</v>
      </c>
      <c r="I2483" s="4"/>
      <c r="J2483" s="75"/>
      <c r="K2483" s="75"/>
      <c r="L2483" s="75"/>
      <c r="M2483" s="75"/>
      <c r="N2483" s="75"/>
      <c r="O2483" s="75"/>
      <c r="P2483" s="75"/>
      <c r="Q2483" s="75"/>
      <c r="R2483" s="75"/>
      <c r="S2483" s="75"/>
      <c r="T2483" s="75"/>
      <c r="U2483" s="75"/>
      <c r="V2483" s="75"/>
      <c r="W2483" s="75"/>
      <c r="X2483" s="75"/>
      <c r="Y2483" s="75"/>
      <c r="Z2483" s="4" t="s">
        <v>405</v>
      </c>
      <c r="AA2483" s="4" t="s">
        <v>86</v>
      </c>
      <c r="AB2483" s="4" t="s">
        <v>64</v>
      </c>
      <c r="AC2483" s="4" t="s">
        <v>6465</v>
      </c>
      <c r="AD2483" s="4"/>
    </row>
    <row r="2484" spans="1:30" ht="29">
      <c r="A2484" s="4" t="s">
        <v>6356</v>
      </c>
      <c r="B2484" s="4" t="s">
        <v>6577</v>
      </c>
      <c r="C2484" s="4" t="s">
        <v>24</v>
      </c>
      <c r="D2484" s="4" t="s">
        <v>2659</v>
      </c>
      <c r="E2484" s="4" t="s">
        <v>6370</v>
      </c>
      <c r="F2484" s="4" t="s">
        <v>28</v>
      </c>
      <c r="G2484" s="4" t="s">
        <v>2276</v>
      </c>
      <c r="H2484" s="4" t="s">
        <v>523</v>
      </c>
      <c r="I2484" s="4"/>
      <c r="J2484" s="75"/>
      <c r="K2484" s="75"/>
      <c r="L2484" s="75"/>
      <c r="M2484" s="75"/>
      <c r="N2484" s="75"/>
      <c r="O2484" s="75"/>
      <c r="P2484" s="75"/>
      <c r="Q2484" s="75"/>
      <c r="R2484" s="75"/>
      <c r="S2484" s="75"/>
      <c r="T2484" s="75"/>
      <c r="U2484" s="75"/>
      <c r="V2484" s="75"/>
      <c r="W2484" s="75"/>
      <c r="X2484" s="75"/>
      <c r="Y2484" s="75"/>
      <c r="Z2484" s="4" t="s">
        <v>405</v>
      </c>
      <c r="AA2484" s="4" t="s">
        <v>86</v>
      </c>
      <c r="AB2484" s="4" t="s">
        <v>64</v>
      </c>
      <c r="AC2484" s="4" t="s">
        <v>6466</v>
      </c>
      <c r="AD2484" s="4"/>
    </row>
    <row r="2485" spans="1:30" ht="29">
      <c r="A2485" s="4" t="s">
        <v>6357</v>
      </c>
      <c r="B2485" s="4" t="s">
        <v>6578</v>
      </c>
      <c r="C2485" s="4" t="s">
        <v>24</v>
      </c>
      <c r="D2485" s="4" t="s">
        <v>2659</v>
      </c>
      <c r="E2485" s="4" t="s">
        <v>3854</v>
      </c>
      <c r="F2485" s="4" t="s">
        <v>28</v>
      </c>
      <c r="G2485" s="4" t="s">
        <v>2276</v>
      </c>
      <c r="H2485" s="4" t="s">
        <v>523</v>
      </c>
      <c r="I2485" s="4"/>
      <c r="J2485" s="75"/>
      <c r="K2485" s="75"/>
      <c r="L2485" s="75"/>
      <c r="M2485" s="75"/>
      <c r="N2485" s="75"/>
      <c r="O2485" s="75"/>
      <c r="P2485" s="75"/>
      <c r="Q2485" s="75"/>
      <c r="R2485" s="75"/>
      <c r="S2485" s="75"/>
      <c r="T2485" s="75"/>
      <c r="U2485" s="75"/>
      <c r="V2485" s="75"/>
      <c r="W2485" s="75"/>
      <c r="X2485" s="75"/>
      <c r="Y2485" s="75"/>
      <c r="Z2485" s="4" t="s">
        <v>405</v>
      </c>
      <c r="AA2485" s="4" t="s">
        <v>86</v>
      </c>
      <c r="AB2485" s="4" t="s">
        <v>64</v>
      </c>
      <c r="AC2485" s="4" t="s">
        <v>6467</v>
      </c>
      <c r="AD2485" s="4"/>
    </row>
    <row r="2486" spans="1:30" ht="29">
      <c r="A2486" s="4" t="s">
        <v>6357</v>
      </c>
      <c r="B2486" s="4" t="s">
        <v>6579</v>
      </c>
      <c r="C2486" s="4" t="s">
        <v>24</v>
      </c>
      <c r="D2486" s="4" t="s">
        <v>2659</v>
      </c>
      <c r="E2486" s="4" t="s">
        <v>130</v>
      </c>
      <c r="F2486" s="4" t="s">
        <v>28</v>
      </c>
      <c r="G2486" s="4" t="s">
        <v>2276</v>
      </c>
      <c r="H2486" s="4" t="s">
        <v>523</v>
      </c>
      <c r="I2486" s="4"/>
      <c r="J2486" s="75"/>
      <c r="K2486" s="75"/>
      <c r="L2486" s="75"/>
      <c r="M2486" s="75"/>
      <c r="N2486" s="75"/>
      <c r="O2486" s="75"/>
      <c r="P2486" s="75"/>
      <c r="Q2486" s="75"/>
      <c r="R2486" s="75"/>
      <c r="S2486" s="75"/>
      <c r="T2486" s="75"/>
      <c r="U2486" s="75"/>
      <c r="V2486" s="75"/>
      <c r="W2486" s="75"/>
      <c r="X2486" s="75"/>
      <c r="Y2486" s="75"/>
      <c r="Z2486" s="4" t="s">
        <v>405</v>
      </c>
      <c r="AA2486" s="4" t="s">
        <v>86</v>
      </c>
      <c r="AB2486" s="4" t="s">
        <v>64</v>
      </c>
      <c r="AC2486" s="4" t="s">
        <v>6467</v>
      </c>
      <c r="AD2486" s="4"/>
    </row>
    <row r="2487" spans="1:30" ht="29">
      <c r="A2487" s="4" t="s">
        <v>6358</v>
      </c>
      <c r="B2487" s="4" t="s">
        <v>6580</v>
      </c>
      <c r="C2487" s="4" t="s">
        <v>24</v>
      </c>
      <c r="D2487" s="4" t="s">
        <v>2659</v>
      </c>
      <c r="E2487" s="4" t="s">
        <v>397</v>
      </c>
      <c r="F2487" s="4" t="s">
        <v>28</v>
      </c>
      <c r="G2487" s="4" t="s">
        <v>2276</v>
      </c>
      <c r="H2487" s="4" t="s">
        <v>523</v>
      </c>
      <c r="I2487" s="4"/>
      <c r="J2487" s="75"/>
      <c r="K2487" s="75"/>
      <c r="L2487" s="75"/>
      <c r="M2487" s="75"/>
      <c r="N2487" s="75"/>
      <c r="O2487" s="75"/>
      <c r="P2487" s="75"/>
      <c r="Q2487" s="75"/>
      <c r="R2487" s="75"/>
      <c r="S2487" s="75"/>
      <c r="T2487" s="75"/>
      <c r="U2487" s="75"/>
      <c r="V2487" s="75"/>
      <c r="W2487" s="75"/>
      <c r="X2487" s="75"/>
      <c r="Y2487" s="75"/>
      <c r="Z2487" s="4" t="s">
        <v>405</v>
      </c>
      <c r="AA2487" s="4" t="s">
        <v>86</v>
      </c>
      <c r="AB2487" s="4" t="s">
        <v>64</v>
      </c>
      <c r="AC2487" s="4" t="s">
        <v>6468</v>
      </c>
      <c r="AD2487" s="4"/>
    </row>
    <row r="2488" spans="1:30" ht="29">
      <c r="A2488" s="4" t="s">
        <v>6358</v>
      </c>
      <c r="B2488" s="4" t="s">
        <v>6581</v>
      </c>
      <c r="C2488" s="4" t="s">
        <v>24</v>
      </c>
      <c r="D2488" s="4" t="s">
        <v>2659</v>
      </c>
      <c r="E2488" s="4" t="s">
        <v>130</v>
      </c>
      <c r="F2488" s="4" t="s">
        <v>28</v>
      </c>
      <c r="G2488" s="4" t="s">
        <v>2276</v>
      </c>
      <c r="H2488" s="4" t="s">
        <v>523</v>
      </c>
      <c r="I2488" s="4"/>
      <c r="J2488" s="75"/>
      <c r="K2488" s="75"/>
      <c r="L2488" s="75"/>
      <c r="M2488" s="75"/>
      <c r="N2488" s="75"/>
      <c r="O2488" s="75"/>
      <c r="P2488" s="75"/>
      <c r="Q2488" s="75"/>
      <c r="R2488" s="75"/>
      <c r="S2488" s="75"/>
      <c r="T2488" s="75"/>
      <c r="U2488" s="75"/>
      <c r="V2488" s="75"/>
      <c r="W2488" s="75"/>
      <c r="X2488" s="75"/>
      <c r="Y2488" s="75"/>
      <c r="Z2488" s="4" t="s">
        <v>405</v>
      </c>
      <c r="AA2488" s="4" t="s">
        <v>86</v>
      </c>
      <c r="AB2488" s="4" t="s">
        <v>64</v>
      </c>
      <c r="AC2488" s="4" t="s">
        <v>6468</v>
      </c>
      <c r="AD2488" s="4"/>
    </row>
    <row r="2489" spans="1:30" ht="29">
      <c r="A2489" s="4" t="s">
        <v>6359</v>
      </c>
      <c r="B2489" s="4" t="s">
        <v>6582</v>
      </c>
      <c r="C2489" s="4" t="s">
        <v>24</v>
      </c>
      <c r="D2489" s="4" t="s">
        <v>2659</v>
      </c>
      <c r="E2489" s="4" t="s">
        <v>396</v>
      </c>
      <c r="F2489" s="4" t="s">
        <v>28</v>
      </c>
      <c r="G2489" s="4" t="s">
        <v>2276</v>
      </c>
      <c r="H2489" s="4" t="s">
        <v>523</v>
      </c>
      <c r="I2489" s="4"/>
      <c r="J2489" s="75"/>
      <c r="K2489" s="75"/>
      <c r="L2489" s="75"/>
      <c r="M2489" s="75"/>
      <c r="N2489" s="75"/>
      <c r="O2489" s="75"/>
      <c r="P2489" s="75"/>
      <c r="Q2489" s="75"/>
      <c r="R2489" s="75"/>
      <c r="S2489" s="75"/>
      <c r="T2489" s="75"/>
      <c r="U2489" s="75"/>
      <c r="V2489" s="75"/>
      <c r="W2489" s="75"/>
      <c r="X2489" s="75"/>
      <c r="Y2489" s="75"/>
      <c r="Z2489" s="4" t="s">
        <v>405</v>
      </c>
      <c r="AA2489" s="4" t="s">
        <v>86</v>
      </c>
      <c r="AB2489" s="4" t="s">
        <v>64</v>
      </c>
      <c r="AC2489" s="4" t="s">
        <v>6469</v>
      </c>
      <c r="AD2489" s="4"/>
    </row>
    <row r="2490" spans="1:30" ht="29">
      <c r="A2490" s="4" t="s">
        <v>6359</v>
      </c>
      <c r="B2490" s="4" t="s">
        <v>6583</v>
      </c>
      <c r="C2490" s="4" t="s">
        <v>24</v>
      </c>
      <c r="D2490" s="4" t="s">
        <v>2659</v>
      </c>
      <c r="E2490" s="4" t="s">
        <v>396</v>
      </c>
      <c r="F2490" s="4" t="s">
        <v>28</v>
      </c>
      <c r="G2490" s="4" t="s">
        <v>2276</v>
      </c>
      <c r="H2490" s="4" t="s">
        <v>523</v>
      </c>
      <c r="I2490" s="4"/>
      <c r="J2490" s="75"/>
      <c r="K2490" s="75"/>
      <c r="L2490" s="75"/>
      <c r="M2490" s="75"/>
      <c r="N2490" s="75"/>
      <c r="O2490" s="75"/>
      <c r="P2490" s="75"/>
      <c r="Q2490" s="75"/>
      <c r="R2490" s="75"/>
      <c r="S2490" s="75"/>
      <c r="T2490" s="75"/>
      <c r="U2490" s="75"/>
      <c r="V2490" s="75"/>
      <c r="W2490" s="75"/>
      <c r="X2490" s="75"/>
      <c r="Y2490" s="75"/>
      <c r="Z2490" s="4" t="s">
        <v>405</v>
      </c>
      <c r="AA2490" s="4" t="s">
        <v>86</v>
      </c>
      <c r="AB2490" s="4" t="s">
        <v>64</v>
      </c>
      <c r="AC2490" s="4" t="s">
        <v>6470</v>
      </c>
      <c r="AD2490" s="4"/>
    </row>
    <row r="2491" spans="1:30" ht="29">
      <c r="A2491" s="4" t="s">
        <v>6359</v>
      </c>
      <c r="B2491" s="4" t="s">
        <v>6584</v>
      </c>
      <c r="C2491" s="4" t="s">
        <v>24</v>
      </c>
      <c r="D2491" s="4" t="s">
        <v>2659</v>
      </c>
      <c r="E2491" s="4" t="s">
        <v>397</v>
      </c>
      <c r="F2491" s="4" t="s">
        <v>28</v>
      </c>
      <c r="G2491" s="4" t="s">
        <v>2276</v>
      </c>
      <c r="H2491" s="4" t="s">
        <v>523</v>
      </c>
      <c r="I2491" s="4"/>
      <c r="J2491" s="75"/>
      <c r="K2491" s="75"/>
      <c r="L2491" s="75"/>
      <c r="M2491" s="75"/>
      <c r="N2491" s="75"/>
      <c r="O2491" s="75"/>
      <c r="P2491" s="75"/>
      <c r="Q2491" s="75"/>
      <c r="R2491" s="75"/>
      <c r="S2491" s="75"/>
      <c r="T2491" s="75"/>
      <c r="U2491" s="75"/>
      <c r="V2491" s="75"/>
      <c r="W2491" s="75"/>
      <c r="X2491" s="75"/>
      <c r="Y2491" s="75"/>
      <c r="Z2491" s="4" t="s">
        <v>2276</v>
      </c>
      <c r="AA2491" s="4" t="s">
        <v>2276</v>
      </c>
      <c r="AB2491" s="4" t="s">
        <v>64</v>
      </c>
      <c r="AC2491" s="4" t="s">
        <v>6469</v>
      </c>
      <c r="AD2491" s="4"/>
    </row>
    <row r="2492" spans="1:30" ht="29">
      <c r="A2492" s="4" t="s">
        <v>6359</v>
      </c>
      <c r="B2492" s="4" t="s">
        <v>6585</v>
      </c>
      <c r="C2492" s="4" t="s">
        <v>24</v>
      </c>
      <c r="D2492" s="4" t="s">
        <v>2659</v>
      </c>
      <c r="E2492" s="4" t="s">
        <v>397</v>
      </c>
      <c r="F2492" s="4" t="s">
        <v>28</v>
      </c>
      <c r="G2492" s="4" t="s">
        <v>2276</v>
      </c>
      <c r="H2492" s="4" t="s">
        <v>523</v>
      </c>
      <c r="I2492" s="4"/>
      <c r="J2492" s="75"/>
      <c r="K2492" s="75"/>
      <c r="L2492" s="75"/>
      <c r="M2492" s="75"/>
      <c r="N2492" s="75"/>
      <c r="O2492" s="75"/>
      <c r="P2492" s="75"/>
      <c r="Q2492" s="75"/>
      <c r="R2492" s="75"/>
      <c r="S2492" s="75"/>
      <c r="T2492" s="75"/>
      <c r="U2492" s="75"/>
      <c r="V2492" s="75"/>
      <c r="W2492" s="75"/>
      <c r="X2492" s="75"/>
      <c r="Y2492" s="75"/>
      <c r="Z2492" s="4" t="s">
        <v>2276</v>
      </c>
      <c r="AA2492" s="4" t="s">
        <v>2276</v>
      </c>
      <c r="AB2492" s="4" t="s">
        <v>64</v>
      </c>
      <c r="AC2492" s="4" t="s">
        <v>6470</v>
      </c>
      <c r="AD2492" s="4"/>
    </row>
    <row r="2493" spans="1:30" ht="29">
      <c r="A2493" s="4" t="s">
        <v>6360</v>
      </c>
      <c r="B2493" s="4" t="s">
        <v>6586</v>
      </c>
      <c r="C2493" s="4" t="s">
        <v>24</v>
      </c>
      <c r="D2493" s="4" t="s">
        <v>2659</v>
      </c>
      <c r="E2493" s="4" t="s">
        <v>397</v>
      </c>
      <c r="F2493" s="4" t="s">
        <v>28</v>
      </c>
      <c r="G2493" s="4" t="s">
        <v>2276</v>
      </c>
      <c r="H2493" s="4" t="s">
        <v>523</v>
      </c>
      <c r="I2493" s="4"/>
      <c r="J2493" s="75"/>
      <c r="K2493" s="75"/>
      <c r="L2493" s="75"/>
      <c r="M2493" s="75"/>
      <c r="N2493" s="75"/>
      <c r="O2493" s="75"/>
      <c r="P2493" s="75"/>
      <c r="Q2493" s="75"/>
      <c r="R2493" s="75"/>
      <c r="S2493" s="75"/>
      <c r="T2493" s="75"/>
      <c r="U2493" s="75"/>
      <c r="V2493" s="75"/>
      <c r="W2493" s="75"/>
      <c r="X2493" s="75"/>
      <c r="Y2493" s="75"/>
      <c r="Z2493" s="4" t="s">
        <v>2276</v>
      </c>
      <c r="AA2493" s="4" t="s">
        <v>2276</v>
      </c>
      <c r="AB2493" s="4" t="s">
        <v>64</v>
      </c>
      <c r="AC2493" s="4" t="s">
        <v>6469</v>
      </c>
      <c r="AD2493" s="4"/>
    </row>
    <row r="2494" spans="1:30" ht="29">
      <c r="A2494" s="4" t="s">
        <v>6360</v>
      </c>
      <c r="B2494" s="4" t="s">
        <v>6587</v>
      </c>
      <c r="C2494" s="4" t="s">
        <v>24</v>
      </c>
      <c r="D2494" s="4" t="s">
        <v>2659</v>
      </c>
      <c r="E2494" s="4" t="s">
        <v>397</v>
      </c>
      <c r="F2494" s="4" t="s">
        <v>28</v>
      </c>
      <c r="G2494" s="4" t="s">
        <v>2276</v>
      </c>
      <c r="H2494" s="4" t="s">
        <v>523</v>
      </c>
      <c r="I2494" s="4"/>
      <c r="J2494" s="75"/>
      <c r="K2494" s="75"/>
      <c r="L2494" s="75"/>
      <c r="M2494" s="75"/>
      <c r="N2494" s="75"/>
      <c r="O2494" s="75"/>
      <c r="P2494" s="75"/>
      <c r="Q2494" s="75"/>
      <c r="R2494" s="75"/>
      <c r="S2494" s="75"/>
      <c r="T2494" s="75"/>
      <c r="U2494" s="75"/>
      <c r="V2494" s="75"/>
      <c r="W2494" s="75"/>
      <c r="X2494" s="75"/>
      <c r="Y2494" s="75"/>
      <c r="Z2494" s="4" t="s">
        <v>2276</v>
      </c>
      <c r="AA2494" s="4" t="s">
        <v>2276</v>
      </c>
      <c r="AB2494" s="4" t="s">
        <v>64</v>
      </c>
      <c r="AC2494" s="4" t="s">
        <v>6470</v>
      </c>
      <c r="AD2494" s="4"/>
    </row>
    <row r="2495" spans="1:30" ht="29">
      <c r="A2495" s="4" t="s">
        <v>6360</v>
      </c>
      <c r="B2495" s="4" t="s">
        <v>6588</v>
      </c>
      <c r="C2495" s="4" t="s">
        <v>24</v>
      </c>
      <c r="D2495" s="4" t="s">
        <v>2659</v>
      </c>
      <c r="E2495" s="4" t="s">
        <v>396</v>
      </c>
      <c r="F2495" s="4" t="s">
        <v>28</v>
      </c>
      <c r="G2495" s="4" t="s">
        <v>2276</v>
      </c>
      <c r="H2495" s="4" t="s">
        <v>523</v>
      </c>
      <c r="I2495" s="4"/>
      <c r="J2495" s="75"/>
      <c r="K2495" s="75"/>
      <c r="L2495" s="75"/>
      <c r="M2495" s="75"/>
      <c r="N2495" s="75"/>
      <c r="O2495" s="75"/>
      <c r="P2495" s="75"/>
      <c r="Q2495" s="75"/>
      <c r="R2495" s="75"/>
      <c r="S2495" s="75"/>
      <c r="T2495" s="75"/>
      <c r="U2495" s="75"/>
      <c r="V2495" s="75"/>
      <c r="W2495" s="75"/>
      <c r="X2495" s="75"/>
      <c r="Y2495" s="75"/>
      <c r="Z2495" s="4" t="s">
        <v>2276</v>
      </c>
      <c r="AA2495" s="4" t="s">
        <v>2276</v>
      </c>
      <c r="AB2495" s="4" t="s">
        <v>64</v>
      </c>
      <c r="AC2495" s="4" t="s">
        <v>6469</v>
      </c>
      <c r="AD2495" s="4"/>
    </row>
    <row r="2496" spans="1:30" ht="29">
      <c r="A2496" s="4" t="s">
        <v>6360</v>
      </c>
      <c r="B2496" s="4" t="s">
        <v>6589</v>
      </c>
      <c r="C2496" s="4" t="s">
        <v>24</v>
      </c>
      <c r="D2496" s="4" t="s">
        <v>2659</v>
      </c>
      <c r="E2496" s="4" t="s">
        <v>396</v>
      </c>
      <c r="F2496" s="4" t="s">
        <v>28</v>
      </c>
      <c r="G2496" s="4" t="s">
        <v>2276</v>
      </c>
      <c r="H2496" s="4" t="s">
        <v>523</v>
      </c>
      <c r="I2496" s="4"/>
      <c r="J2496" s="75"/>
      <c r="K2496" s="75"/>
      <c r="L2496" s="75"/>
      <c r="M2496" s="75"/>
      <c r="N2496" s="75"/>
      <c r="O2496" s="75"/>
      <c r="P2496" s="75"/>
      <c r="Q2496" s="75"/>
      <c r="R2496" s="75"/>
      <c r="S2496" s="75"/>
      <c r="T2496" s="75"/>
      <c r="U2496" s="75"/>
      <c r="V2496" s="75"/>
      <c r="W2496" s="75"/>
      <c r="X2496" s="75"/>
      <c r="Y2496" s="75"/>
      <c r="Z2496" s="4" t="s">
        <v>2276</v>
      </c>
      <c r="AA2496" s="4" t="s">
        <v>2276</v>
      </c>
      <c r="AB2496" s="4" t="s">
        <v>64</v>
      </c>
      <c r="AC2496" s="4" t="s">
        <v>6470</v>
      </c>
      <c r="AD2496" s="4"/>
    </row>
    <row r="2497" spans="1:30" ht="58">
      <c r="A2497" s="4" t="s">
        <v>5439</v>
      </c>
      <c r="B2497" s="4" t="s">
        <v>6590</v>
      </c>
      <c r="C2497" s="4" t="s">
        <v>24</v>
      </c>
      <c r="D2497" s="4" t="s">
        <v>2659</v>
      </c>
      <c r="E2497" s="4" t="s">
        <v>396</v>
      </c>
      <c r="F2497" s="4" t="s">
        <v>28</v>
      </c>
      <c r="G2497" s="4" t="s">
        <v>2276</v>
      </c>
      <c r="H2497" s="4" t="s">
        <v>523</v>
      </c>
      <c r="I2497" s="4"/>
      <c r="J2497" s="75"/>
      <c r="K2497" s="75"/>
      <c r="L2497" s="75"/>
      <c r="M2497" s="75"/>
      <c r="N2497" s="75"/>
      <c r="O2497" s="75"/>
      <c r="P2497" s="75"/>
      <c r="Q2497" s="75"/>
      <c r="R2497" s="75"/>
      <c r="S2497" s="75"/>
      <c r="T2497" s="75"/>
      <c r="U2497" s="75"/>
      <c r="V2497" s="75"/>
      <c r="W2497" s="75"/>
      <c r="X2497" s="75"/>
      <c r="Y2497" s="75"/>
      <c r="Z2497" s="4" t="s">
        <v>34</v>
      </c>
      <c r="AA2497" s="4" t="s">
        <v>34</v>
      </c>
      <c r="AB2497" s="4" t="s">
        <v>64</v>
      </c>
      <c r="AC2497" s="4" t="s">
        <v>6471</v>
      </c>
      <c r="AD2497" s="4"/>
    </row>
    <row r="2498" spans="1:30" ht="58">
      <c r="A2498" s="4" t="s">
        <v>5439</v>
      </c>
      <c r="B2498" s="4" t="s">
        <v>6591</v>
      </c>
      <c r="C2498" s="4" t="s">
        <v>24</v>
      </c>
      <c r="D2498" s="4" t="s">
        <v>2659</v>
      </c>
      <c r="E2498" s="4" t="s">
        <v>396</v>
      </c>
      <c r="F2498" s="4" t="s">
        <v>28</v>
      </c>
      <c r="G2498" s="4" t="s">
        <v>2276</v>
      </c>
      <c r="H2498" s="4" t="s">
        <v>523</v>
      </c>
      <c r="I2498" s="4"/>
      <c r="J2498" s="75"/>
      <c r="K2498" s="75"/>
      <c r="L2498" s="75"/>
      <c r="M2498" s="75"/>
      <c r="N2498" s="75"/>
      <c r="O2498" s="75"/>
      <c r="P2498" s="75"/>
      <c r="Q2498" s="75"/>
      <c r="R2498" s="75"/>
      <c r="S2498" s="75"/>
      <c r="T2498" s="75"/>
      <c r="U2498" s="75"/>
      <c r="V2498" s="75"/>
      <c r="W2498" s="75"/>
      <c r="X2498" s="75"/>
      <c r="Y2498" s="75"/>
      <c r="Z2498" s="4" t="s">
        <v>2276</v>
      </c>
      <c r="AA2498" s="4" t="s">
        <v>2276</v>
      </c>
      <c r="AB2498" s="4" t="s">
        <v>64</v>
      </c>
      <c r="AC2498" s="4" t="s">
        <v>6472</v>
      </c>
      <c r="AD2498" s="4"/>
    </row>
    <row r="2499" spans="1:30" ht="58">
      <c r="A2499" s="4" t="s">
        <v>5439</v>
      </c>
      <c r="B2499" s="4" t="s">
        <v>6592</v>
      </c>
      <c r="C2499" s="4" t="s">
        <v>24</v>
      </c>
      <c r="D2499" s="4" t="s">
        <v>2659</v>
      </c>
      <c r="E2499" s="4" t="s">
        <v>397</v>
      </c>
      <c r="F2499" s="4" t="s">
        <v>28</v>
      </c>
      <c r="G2499" s="4" t="s">
        <v>2276</v>
      </c>
      <c r="H2499" s="4" t="s">
        <v>523</v>
      </c>
      <c r="I2499" s="4"/>
      <c r="J2499" s="75"/>
      <c r="K2499" s="75"/>
      <c r="L2499" s="75"/>
      <c r="M2499" s="75"/>
      <c r="N2499" s="75"/>
      <c r="O2499" s="75"/>
      <c r="P2499" s="75"/>
      <c r="Q2499" s="75"/>
      <c r="R2499" s="75"/>
      <c r="S2499" s="75"/>
      <c r="T2499" s="75"/>
      <c r="U2499" s="75"/>
      <c r="V2499" s="75"/>
      <c r="W2499" s="75"/>
      <c r="X2499" s="75"/>
      <c r="Y2499" s="75"/>
      <c r="Z2499" s="4" t="s">
        <v>34</v>
      </c>
      <c r="AA2499" s="4" t="s">
        <v>34</v>
      </c>
      <c r="AB2499" s="4" t="s">
        <v>64</v>
      </c>
      <c r="AC2499" s="4" t="s">
        <v>6471</v>
      </c>
      <c r="AD2499" s="4"/>
    </row>
    <row r="2500" spans="1:30" ht="58">
      <c r="A2500" s="4" t="s">
        <v>5439</v>
      </c>
      <c r="B2500" s="4" t="s">
        <v>6593</v>
      </c>
      <c r="C2500" s="4" t="s">
        <v>24</v>
      </c>
      <c r="D2500" s="4" t="s">
        <v>2659</v>
      </c>
      <c r="E2500" s="4" t="s">
        <v>397</v>
      </c>
      <c r="F2500" s="4" t="s">
        <v>28</v>
      </c>
      <c r="G2500" s="4" t="s">
        <v>2276</v>
      </c>
      <c r="H2500" s="4" t="s">
        <v>523</v>
      </c>
      <c r="I2500" s="4"/>
      <c r="J2500" s="75"/>
      <c r="K2500" s="75"/>
      <c r="L2500" s="75"/>
      <c r="M2500" s="75"/>
      <c r="N2500" s="75"/>
      <c r="O2500" s="75"/>
      <c r="P2500" s="75"/>
      <c r="Q2500" s="75"/>
      <c r="R2500" s="75"/>
      <c r="S2500" s="75"/>
      <c r="T2500" s="75"/>
      <c r="U2500" s="75"/>
      <c r="V2500" s="75"/>
      <c r="W2500" s="75"/>
      <c r="X2500" s="75"/>
      <c r="Y2500" s="75"/>
      <c r="Z2500" s="4" t="s">
        <v>2276</v>
      </c>
      <c r="AA2500" s="4" t="s">
        <v>2276</v>
      </c>
      <c r="AB2500" s="4" t="s">
        <v>64</v>
      </c>
      <c r="AC2500" s="4" t="s">
        <v>6472</v>
      </c>
      <c r="AD2500" s="4"/>
    </row>
    <row r="2501" spans="1:30" ht="42.5" customHeight="1">
      <c r="A2501" s="4" t="s">
        <v>6362</v>
      </c>
      <c r="B2501" s="4" t="s">
        <v>6594</v>
      </c>
      <c r="C2501" s="4" t="s">
        <v>24</v>
      </c>
      <c r="D2501" s="4" t="s">
        <v>2659</v>
      </c>
      <c r="E2501" s="4" t="s">
        <v>397</v>
      </c>
      <c r="F2501" s="4" t="s">
        <v>28</v>
      </c>
      <c r="G2501" s="4" t="s">
        <v>2276</v>
      </c>
      <c r="H2501" s="4" t="s">
        <v>523</v>
      </c>
      <c r="I2501" s="4"/>
      <c r="J2501" s="75"/>
      <c r="K2501" s="75"/>
      <c r="L2501" s="75"/>
      <c r="M2501" s="75"/>
      <c r="N2501" s="75"/>
      <c r="O2501" s="75"/>
      <c r="P2501" s="75"/>
      <c r="Q2501" s="75"/>
      <c r="R2501" s="75"/>
      <c r="S2501" s="75"/>
      <c r="T2501" s="75"/>
      <c r="U2501" s="75"/>
      <c r="V2501" s="75"/>
      <c r="W2501" s="75"/>
      <c r="X2501" s="75"/>
      <c r="Y2501" s="75"/>
      <c r="Z2501" s="4" t="s">
        <v>2276</v>
      </c>
      <c r="AA2501" s="4" t="s">
        <v>2276</v>
      </c>
      <c r="AB2501" s="4" t="s">
        <v>64</v>
      </c>
      <c r="AC2501" s="4" t="s">
        <v>6473</v>
      </c>
      <c r="AD2501" s="4"/>
    </row>
    <row r="2502" spans="1:30" ht="51" customHeight="1">
      <c r="A2502" s="4" t="s">
        <v>6363</v>
      </c>
      <c r="B2502" s="4" t="s">
        <v>6595</v>
      </c>
      <c r="C2502" s="4" t="s">
        <v>2658</v>
      </c>
      <c r="D2502" s="4" t="s">
        <v>2659</v>
      </c>
      <c r="E2502" s="4" t="s">
        <v>396</v>
      </c>
      <c r="F2502" s="4" t="s">
        <v>28</v>
      </c>
      <c r="G2502" s="4" t="s">
        <v>2276</v>
      </c>
      <c r="H2502" s="4" t="s">
        <v>523</v>
      </c>
      <c r="I2502" s="4">
        <v>2014</v>
      </c>
      <c r="J2502" s="75"/>
      <c r="K2502" s="75"/>
      <c r="L2502" s="75"/>
      <c r="M2502" s="75"/>
      <c r="N2502" s="75"/>
      <c r="O2502" s="75"/>
      <c r="P2502" s="75"/>
      <c r="Q2502" s="75"/>
      <c r="R2502" s="75"/>
      <c r="S2502" s="75"/>
      <c r="T2502" s="75"/>
      <c r="U2502" s="196"/>
      <c r="V2502" s="75"/>
      <c r="W2502" s="75"/>
      <c r="X2502" s="75"/>
      <c r="Y2502" s="75"/>
      <c r="Z2502" s="4" t="s">
        <v>2276</v>
      </c>
      <c r="AA2502" s="4" t="s">
        <v>2276</v>
      </c>
      <c r="AB2502" s="4" t="s">
        <v>2276</v>
      </c>
      <c r="AC2502" s="4" t="s">
        <v>6474</v>
      </c>
      <c r="AD2502" s="4"/>
    </row>
    <row r="2503" spans="1:30" ht="51" customHeight="1">
      <c r="A2503" s="4" t="s">
        <v>6363</v>
      </c>
      <c r="B2503" s="4" t="s">
        <v>6596</v>
      </c>
      <c r="C2503" s="4" t="s">
        <v>2658</v>
      </c>
      <c r="D2503" s="4" t="s">
        <v>2659</v>
      </c>
      <c r="E2503" s="4" t="s">
        <v>397</v>
      </c>
      <c r="F2503" s="4" t="s">
        <v>28</v>
      </c>
      <c r="G2503" s="4" t="s">
        <v>2276</v>
      </c>
      <c r="H2503" s="4" t="s">
        <v>523</v>
      </c>
      <c r="I2503" s="4">
        <v>2014</v>
      </c>
      <c r="J2503" s="75"/>
      <c r="K2503" s="75"/>
      <c r="L2503" s="75"/>
      <c r="M2503" s="75"/>
      <c r="N2503" s="75"/>
      <c r="O2503" s="75"/>
      <c r="P2503" s="75"/>
      <c r="Q2503" s="75"/>
      <c r="R2503" s="75"/>
      <c r="S2503" s="75"/>
      <c r="T2503" s="75"/>
      <c r="U2503" s="75"/>
      <c r="V2503" s="75"/>
      <c r="W2503" s="75"/>
      <c r="X2503" s="75"/>
      <c r="Y2503" s="75"/>
      <c r="Z2503" s="4" t="s">
        <v>2276</v>
      </c>
      <c r="AA2503" s="4" t="s">
        <v>2276</v>
      </c>
      <c r="AB2503" s="4" t="s">
        <v>2276</v>
      </c>
      <c r="AC2503" s="4" t="s">
        <v>6474</v>
      </c>
      <c r="AD2503" s="4"/>
    </row>
    <row r="2504" spans="1:30" ht="31" customHeight="1">
      <c r="A2504" s="4" t="s">
        <v>6415</v>
      </c>
      <c r="B2504" s="4" t="s">
        <v>6613</v>
      </c>
      <c r="C2504" s="4" t="s">
        <v>24</v>
      </c>
      <c r="D2504" s="4" t="s">
        <v>1242</v>
      </c>
      <c r="E2504" s="4" t="s">
        <v>137</v>
      </c>
      <c r="F2504" s="4" t="s">
        <v>74</v>
      </c>
      <c r="G2504" s="4" t="s">
        <v>74</v>
      </c>
      <c r="H2504" s="4" t="s">
        <v>523</v>
      </c>
      <c r="I2504" s="4"/>
      <c r="J2504" s="222" t="s">
        <v>2276</v>
      </c>
      <c r="K2504" s="222" t="s">
        <v>2276</v>
      </c>
      <c r="L2504" s="222" t="s">
        <v>2276</v>
      </c>
      <c r="M2504" s="222" t="s">
        <v>2276</v>
      </c>
      <c r="N2504" s="222" t="s">
        <v>2276</v>
      </c>
      <c r="O2504" s="222" t="s">
        <v>2276</v>
      </c>
      <c r="P2504" s="222" t="s">
        <v>2276</v>
      </c>
      <c r="Q2504" s="222" t="s">
        <v>2276</v>
      </c>
      <c r="R2504" s="222" t="s">
        <v>2276</v>
      </c>
      <c r="S2504" s="222" t="s">
        <v>2276</v>
      </c>
      <c r="T2504" s="75">
        <v>312500</v>
      </c>
      <c r="U2504" s="222" t="s">
        <v>2276</v>
      </c>
      <c r="V2504" s="75">
        <v>12.5</v>
      </c>
      <c r="W2504" s="222" t="s">
        <v>2276</v>
      </c>
      <c r="X2504" s="75">
        <v>12.5</v>
      </c>
      <c r="Y2504" s="4" t="s">
        <v>2276</v>
      </c>
      <c r="Z2504" s="4" t="s">
        <v>127</v>
      </c>
      <c r="AA2504" s="4" t="s">
        <v>38</v>
      </c>
      <c r="AB2504" s="4" t="s">
        <v>2276</v>
      </c>
      <c r="AC2504" s="4"/>
      <c r="AD2504" s="4" t="s">
        <v>6604</v>
      </c>
    </row>
    <row r="2505" spans="1:30" ht="31" customHeight="1">
      <c r="A2505" s="4" t="s">
        <v>6415</v>
      </c>
      <c r="B2505" s="4" t="s">
        <v>6614</v>
      </c>
      <c r="C2505" s="4" t="s">
        <v>2657</v>
      </c>
      <c r="D2505" s="4" t="s">
        <v>2276</v>
      </c>
      <c r="E2505" s="4" t="s">
        <v>2276</v>
      </c>
      <c r="F2505" s="4" t="s">
        <v>2276</v>
      </c>
      <c r="G2505" s="4" t="s">
        <v>2276</v>
      </c>
      <c r="H2505" s="4" t="s">
        <v>523</v>
      </c>
      <c r="I2505" s="4"/>
      <c r="J2505" s="222" t="s">
        <v>2276</v>
      </c>
      <c r="K2505" s="222" t="s">
        <v>2276</v>
      </c>
      <c r="L2505" s="222" t="s">
        <v>2276</v>
      </c>
      <c r="M2505" s="222" t="s">
        <v>2276</v>
      </c>
      <c r="N2505" s="222" t="s">
        <v>2276</v>
      </c>
      <c r="O2505" s="222" t="s">
        <v>2276</v>
      </c>
      <c r="P2505" s="222" t="s">
        <v>2276</v>
      </c>
      <c r="Q2505" s="222" t="s">
        <v>2276</v>
      </c>
      <c r="R2505" s="222" t="s">
        <v>2276</v>
      </c>
      <c r="S2505" s="222" t="s">
        <v>2276</v>
      </c>
      <c r="T2505" s="75">
        <v>7140</v>
      </c>
      <c r="U2505" s="222" t="s">
        <v>2276</v>
      </c>
      <c r="V2505" s="75">
        <v>0.3</v>
      </c>
      <c r="W2505" s="222" t="s">
        <v>2276</v>
      </c>
      <c r="X2505" s="75">
        <v>0.3</v>
      </c>
      <c r="Y2505" s="4" t="s">
        <v>2276</v>
      </c>
      <c r="Z2505" s="4" t="s">
        <v>127</v>
      </c>
      <c r="AA2505" s="4" t="s">
        <v>38</v>
      </c>
      <c r="AB2505" s="4" t="s">
        <v>2276</v>
      </c>
      <c r="AC2505" s="4"/>
      <c r="AD2505" s="4" t="s">
        <v>6605</v>
      </c>
    </row>
    <row r="2506" spans="1:30" ht="31" customHeight="1">
      <c r="A2506" s="4" t="s">
        <v>6416</v>
      </c>
      <c r="B2506" s="4" t="s">
        <v>6615</v>
      </c>
      <c r="C2506" s="4" t="s">
        <v>24</v>
      </c>
      <c r="D2506" s="4" t="s">
        <v>1242</v>
      </c>
      <c r="E2506" s="4" t="s">
        <v>137</v>
      </c>
      <c r="F2506" s="4" t="s">
        <v>74</v>
      </c>
      <c r="G2506" s="4" t="s">
        <v>74</v>
      </c>
      <c r="H2506" s="4" t="s">
        <v>523</v>
      </c>
      <c r="I2506" s="4"/>
      <c r="J2506" s="222" t="s">
        <v>2276</v>
      </c>
      <c r="K2506" s="222" t="s">
        <v>2276</v>
      </c>
      <c r="L2506" s="222" t="s">
        <v>2276</v>
      </c>
      <c r="M2506" s="222" t="s">
        <v>2276</v>
      </c>
      <c r="N2506" s="222" t="s">
        <v>2276</v>
      </c>
      <c r="O2506" s="222" t="s">
        <v>2276</v>
      </c>
      <c r="P2506" s="222" t="s">
        <v>2276</v>
      </c>
      <c r="Q2506" s="222" t="s">
        <v>2276</v>
      </c>
      <c r="R2506" s="222" t="s">
        <v>2276</v>
      </c>
      <c r="S2506" s="75">
        <v>200000</v>
      </c>
      <c r="T2506" s="75">
        <v>165000</v>
      </c>
      <c r="U2506" s="75">
        <v>8</v>
      </c>
      <c r="V2506" s="75">
        <v>6.6</v>
      </c>
      <c r="W2506" s="75">
        <v>8</v>
      </c>
      <c r="X2506" s="75">
        <v>6.6</v>
      </c>
      <c r="Y2506" s="4" t="s">
        <v>2276</v>
      </c>
      <c r="Z2506" s="4" t="s">
        <v>127</v>
      </c>
      <c r="AA2506" s="4" t="s">
        <v>38</v>
      </c>
      <c r="AB2506" s="4" t="s">
        <v>2276</v>
      </c>
      <c r="AC2506" s="4"/>
      <c r="AD2506" s="4" t="s">
        <v>7933</v>
      </c>
    </row>
    <row r="2507" spans="1:30" ht="31" customHeight="1">
      <c r="A2507" s="4" t="s">
        <v>6416</v>
      </c>
      <c r="B2507" s="4" t="s">
        <v>6616</v>
      </c>
      <c r="C2507" s="4" t="s">
        <v>2657</v>
      </c>
      <c r="D2507" s="4" t="s">
        <v>2276</v>
      </c>
      <c r="E2507" s="4" t="s">
        <v>2276</v>
      </c>
      <c r="F2507" s="4" t="s">
        <v>2276</v>
      </c>
      <c r="G2507" s="4" t="s">
        <v>2276</v>
      </c>
      <c r="H2507" s="4" t="s">
        <v>523</v>
      </c>
      <c r="I2507" s="4"/>
      <c r="J2507" s="222" t="s">
        <v>2276</v>
      </c>
      <c r="K2507" s="222" t="s">
        <v>2276</v>
      </c>
      <c r="L2507" s="222" t="s">
        <v>2276</v>
      </c>
      <c r="M2507" s="222" t="s">
        <v>2276</v>
      </c>
      <c r="N2507" s="222" t="s">
        <v>2276</v>
      </c>
      <c r="O2507" s="222" t="s">
        <v>2276</v>
      </c>
      <c r="P2507" s="222" t="s">
        <v>2276</v>
      </c>
      <c r="Q2507" s="222" t="s">
        <v>2276</v>
      </c>
      <c r="R2507" s="222" t="s">
        <v>2276</v>
      </c>
      <c r="S2507" s="222" t="s">
        <v>2276</v>
      </c>
      <c r="T2507" s="222" t="s">
        <v>2276</v>
      </c>
      <c r="U2507" s="222" t="s">
        <v>2276</v>
      </c>
      <c r="V2507" s="222" t="s">
        <v>2276</v>
      </c>
      <c r="W2507" s="222" t="s">
        <v>2276</v>
      </c>
      <c r="X2507" s="222" t="s">
        <v>2276</v>
      </c>
      <c r="Y2507" s="222" t="s">
        <v>2276</v>
      </c>
      <c r="Z2507" s="4" t="s">
        <v>127</v>
      </c>
      <c r="AA2507" s="4" t="s">
        <v>38</v>
      </c>
      <c r="AB2507" s="4" t="s">
        <v>2276</v>
      </c>
      <c r="AC2507" s="4"/>
      <c r="AD2507" s="4" t="s">
        <v>6606</v>
      </c>
    </row>
    <row r="2508" spans="1:30" ht="31" customHeight="1">
      <c r="A2508" s="4" t="s">
        <v>6417</v>
      </c>
      <c r="B2508" s="4" t="s">
        <v>6617</v>
      </c>
      <c r="C2508" s="4" t="s">
        <v>24</v>
      </c>
      <c r="D2508" s="4" t="s">
        <v>2276</v>
      </c>
      <c r="E2508" s="4" t="s">
        <v>2653</v>
      </c>
      <c r="F2508" s="4" t="s">
        <v>2276</v>
      </c>
      <c r="G2508" s="4" t="s">
        <v>2276</v>
      </c>
      <c r="H2508" s="4" t="s">
        <v>523</v>
      </c>
      <c r="I2508" s="4"/>
      <c r="J2508" s="75">
        <f>0.44/10</f>
        <v>4.3999999999999997E-2</v>
      </c>
      <c r="K2508" s="21" t="s">
        <v>2276</v>
      </c>
      <c r="L2508" s="222" t="s">
        <v>2276</v>
      </c>
      <c r="M2508" s="222" t="s">
        <v>2276</v>
      </c>
      <c r="N2508" s="222" t="s">
        <v>2276</v>
      </c>
      <c r="O2508" s="222" t="s">
        <v>2276</v>
      </c>
      <c r="P2508" s="75">
        <f>((X2508/100)*'Record info'!K1033)/(0.043*'Record info'!K1033)</f>
        <v>3.7209302325581402E-2</v>
      </c>
      <c r="Q2508" s="222" t="s">
        <v>2276</v>
      </c>
      <c r="R2508" s="222" t="s">
        <v>2276</v>
      </c>
      <c r="S2508" s="222" t="s">
        <v>2276</v>
      </c>
      <c r="T2508" s="222" t="s">
        <v>2276</v>
      </c>
      <c r="U2508" s="222" t="s">
        <v>2276</v>
      </c>
      <c r="V2508" s="222" t="s">
        <v>2276</v>
      </c>
      <c r="W2508" s="222" t="s">
        <v>2276</v>
      </c>
      <c r="X2508" s="75">
        <f>1.6/10</f>
        <v>0.16</v>
      </c>
      <c r="Y2508" s="222" t="s">
        <v>2276</v>
      </c>
      <c r="Z2508" s="4" t="s">
        <v>2276</v>
      </c>
      <c r="AA2508" s="4" t="s">
        <v>2276</v>
      </c>
      <c r="AB2508" s="4" t="s">
        <v>2276</v>
      </c>
      <c r="AC2508" s="4"/>
      <c r="AD2508" s="4"/>
    </row>
    <row r="2509" spans="1:30" ht="31" customHeight="1">
      <c r="A2509" s="4" t="s">
        <v>6417</v>
      </c>
      <c r="B2509" s="4" t="s">
        <v>6618</v>
      </c>
      <c r="C2509" s="4" t="s">
        <v>2656</v>
      </c>
      <c r="D2509" s="4" t="s">
        <v>2276</v>
      </c>
      <c r="E2509" s="4" t="s">
        <v>2276</v>
      </c>
      <c r="F2509" s="4" t="s">
        <v>2276</v>
      </c>
      <c r="G2509" s="4" t="s">
        <v>2276</v>
      </c>
      <c r="H2509" s="4" t="s">
        <v>523</v>
      </c>
      <c r="I2509" s="4"/>
      <c r="J2509" s="222">
        <f>J2508*(1-0.992)</f>
        <v>3.5200000000000032E-4</v>
      </c>
      <c r="K2509" s="21" t="s">
        <v>2276</v>
      </c>
      <c r="L2509" s="222" t="s">
        <v>2276</v>
      </c>
      <c r="M2509" s="222" t="s">
        <v>2276</v>
      </c>
      <c r="N2509" s="222" t="s">
        <v>2276</v>
      </c>
      <c r="O2509" s="222" t="s">
        <v>2276</v>
      </c>
      <c r="P2509" s="222" t="s">
        <v>2276</v>
      </c>
      <c r="Q2509" s="222" t="s">
        <v>2276</v>
      </c>
      <c r="R2509" s="222" t="s">
        <v>2276</v>
      </c>
      <c r="S2509" s="222" t="s">
        <v>2276</v>
      </c>
      <c r="T2509" s="222" t="s">
        <v>2276</v>
      </c>
      <c r="U2509" s="222" t="s">
        <v>2276</v>
      </c>
      <c r="V2509" s="222" t="s">
        <v>2276</v>
      </c>
      <c r="W2509" s="222" t="s">
        <v>2276</v>
      </c>
      <c r="X2509" s="222" t="s">
        <v>2276</v>
      </c>
      <c r="Y2509" s="222" t="s">
        <v>2276</v>
      </c>
      <c r="Z2509" s="4" t="s">
        <v>2276</v>
      </c>
      <c r="AA2509" s="4" t="s">
        <v>2276</v>
      </c>
      <c r="AB2509" s="4" t="s">
        <v>2276</v>
      </c>
      <c r="AC2509" s="4"/>
      <c r="AD2509" s="4" t="s">
        <v>6607</v>
      </c>
    </row>
    <row r="2510" spans="1:30" ht="31" customHeight="1">
      <c r="A2510" s="4" t="s">
        <v>6418</v>
      </c>
      <c r="B2510" s="4" t="s">
        <v>6619</v>
      </c>
      <c r="C2510" s="4" t="s">
        <v>24</v>
      </c>
      <c r="D2510" s="4" t="s">
        <v>2276</v>
      </c>
      <c r="E2510" s="4" t="s">
        <v>2653</v>
      </c>
      <c r="F2510" s="4" t="s">
        <v>2276</v>
      </c>
      <c r="G2510" s="4" t="s">
        <v>2276</v>
      </c>
      <c r="H2510" s="4" t="s">
        <v>523</v>
      </c>
      <c r="I2510" s="4"/>
      <c r="J2510" s="75">
        <v>0.04</v>
      </c>
      <c r="K2510" s="21" t="s">
        <v>2276</v>
      </c>
      <c r="L2510" s="222" t="s">
        <v>2276</v>
      </c>
      <c r="M2510" s="222" t="s">
        <v>2276</v>
      </c>
      <c r="N2510" s="222" t="s">
        <v>2276</v>
      </c>
      <c r="O2510" s="222" t="s">
        <v>2276</v>
      </c>
      <c r="P2510" s="222" t="s">
        <v>2276</v>
      </c>
      <c r="Q2510" s="222" t="s">
        <v>2276</v>
      </c>
      <c r="R2510" s="222" t="s">
        <v>2276</v>
      </c>
      <c r="S2510" s="222" t="s">
        <v>2276</v>
      </c>
      <c r="T2510" s="222" t="s">
        <v>2276</v>
      </c>
      <c r="U2510" s="222" t="s">
        <v>2276</v>
      </c>
      <c r="V2510" s="222" t="s">
        <v>2276</v>
      </c>
      <c r="W2510" s="222" t="s">
        <v>2276</v>
      </c>
      <c r="X2510" s="222" t="s">
        <v>2276</v>
      </c>
      <c r="Y2510" s="222" t="s">
        <v>2276</v>
      </c>
      <c r="Z2510" s="4" t="s">
        <v>2276</v>
      </c>
      <c r="AA2510" s="4" t="s">
        <v>2276</v>
      </c>
      <c r="AB2510" s="4" t="s">
        <v>2276</v>
      </c>
      <c r="AC2510" s="4"/>
      <c r="AD2510" s="4"/>
    </row>
    <row r="2511" spans="1:30" ht="31" customHeight="1">
      <c r="A2511" s="4" t="s">
        <v>6418</v>
      </c>
      <c r="B2511" s="4" t="s">
        <v>6620</v>
      </c>
      <c r="C2511" s="4" t="s">
        <v>2656</v>
      </c>
      <c r="D2511" s="4" t="s">
        <v>2276</v>
      </c>
      <c r="E2511" s="4" t="s">
        <v>2276</v>
      </c>
      <c r="F2511" s="4" t="s">
        <v>2276</v>
      </c>
      <c r="G2511" s="4" t="s">
        <v>2276</v>
      </c>
      <c r="H2511" s="4" t="s">
        <v>523</v>
      </c>
      <c r="I2511" s="4"/>
      <c r="J2511" s="222" t="s">
        <v>2276</v>
      </c>
      <c r="K2511" s="21" t="s">
        <v>2276</v>
      </c>
      <c r="L2511" s="222" t="s">
        <v>2276</v>
      </c>
      <c r="M2511" s="222" t="s">
        <v>2276</v>
      </c>
      <c r="N2511" s="222" t="s">
        <v>2276</v>
      </c>
      <c r="O2511" s="222" t="s">
        <v>2276</v>
      </c>
      <c r="P2511" s="222" t="s">
        <v>2276</v>
      </c>
      <c r="Q2511" s="222" t="s">
        <v>2276</v>
      </c>
      <c r="R2511" s="222" t="s">
        <v>2276</v>
      </c>
      <c r="S2511" s="222" t="s">
        <v>2276</v>
      </c>
      <c r="T2511" s="222" t="s">
        <v>2276</v>
      </c>
      <c r="U2511" s="222" t="s">
        <v>2276</v>
      </c>
      <c r="V2511" s="222" t="s">
        <v>2276</v>
      </c>
      <c r="W2511" s="222" t="s">
        <v>2276</v>
      </c>
      <c r="X2511" s="222" t="s">
        <v>2276</v>
      </c>
      <c r="Y2511" s="222" t="s">
        <v>2276</v>
      </c>
      <c r="Z2511" s="4" t="s">
        <v>2276</v>
      </c>
      <c r="AA2511" s="4" t="s">
        <v>2276</v>
      </c>
      <c r="AB2511" s="4" t="s">
        <v>2276</v>
      </c>
      <c r="AC2511" s="4"/>
      <c r="AD2511" s="4" t="s">
        <v>6608</v>
      </c>
    </row>
    <row r="2512" spans="1:30" ht="31" customHeight="1">
      <c r="A2512" s="4" t="s">
        <v>6422</v>
      </c>
      <c r="B2512" s="4" t="s">
        <v>6621</v>
      </c>
      <c r="C2512" s="4" t="s">
        <v>2658</v>
      </c>
      <c r="D2512" s="4" t="s">
        <v>2276</v>
      </c>
      <c r="E2512" s="4" t="s">
        <v>2649</v>
      </c>
      <c r="F2512" s="4" t="s">
        <v>74</v>
      </c>
      <c r="G2512" s="4" t="s">
        <v>74</v>
      </c>
      <c r="H2512" s="4" t="s">
        <v>523</v>
      </c>
      <c r="I2512" s="4"/>
      <c r="J2512" s="75">
        <f>0.662878787878788/28</f>
        <v>2.3674242424242428E-2</v>
      </c>
      <c r="K2512" s="21" t="s">
        <v>2276</v>
      </c>
      <c r="L2512" s="222" t="s">
        <v>2276</v>
      </c>
      <c r="M2512" s="222" t="s">
        <v>2276</v>
      </c>
      <c r="N2512" s="222" t="s">
        <v>2276</v>
      </c>
      <c r="O2512" s="222" t="s">
        <v>2276</v>
      </c>
      <c r="P2512" s="222" t="s">
        <v>2276</v>
      </c>
      <c r="Q2512" s="222" t="s">
        <v>2276</v>
      </c>
      <c r="R2512" s="222" t="s">
        <v>2276</v>
      </c>
      <c r="S2512" s="222" t="s">
        <v>2276</v>
      </c>
      <c r="T2512" s="222" t="s">
        <v>2276</v>
      </c>
      <c r="U2512" s="222" t="s">
        <v>2276</v>
      </c>
      <c r="V2512" s="222" t="s">
        <v>2276</v>
      </c>
      <c r="W2512" s="222" t="s">
        <v>2276</v>
      </c>
      <c r="X2512" s="222" t="s">
        <v>2276</v>
      </c>
      <c r="Y2512" s="75">
        <v>32</v>
      </c>
      <c r="Z2512" s="4" t="s">
        <v>2276</v>
      </c>
      <c r="AA2512" s="4" t="s">
        <v>2276</v>
      </c>
      <c r="AB2512" s="4" t="s">
        <v>2276</v>
      </c>
      <c r="AC2512" s="4"/>
      <c r="AD2512" s="4"/>
    </row>
    <row r="2513" spans="1:30" ht="31" customHeight="1">
      <c r="A2513" s="4" t="s">
        <v>6422</v>
      </c>
      <c r="B2513" s="4" t="s">
        <v>6622</v>
      </c>
      <c r="C2513" s="4" t="s">
        <v>24</v>
      </c>
      <c r="D2513" s="4" t="s">
        <v>1242</v>
      </c>
      <c r="E2513" s="4" t="s">
        <v>2649</v>
      </c>
      <c r="F2513" s="4" t="s">
        <v>74</v>
      </c>
      <c r="G2513" s="4" t="s">
        <v>74</v>
      </c>
      <c r="H2513" s="4" t="s">
        <v>523</v>
      </c>
      <c r="I2513" s="4"/>
      <c r="J2513" s="21" t="s">
        <v>2276</v>
      </c>
      <c r="K2513" s="21" t="s">
        <v>2276</v>
      </c>
      <c r="L2513" s="222" t="s">
        <v>2276</v>
      </c>
      <c r="M2513" s="222" t="s">
        <v>2276</v>
      </c>
      <c r="N2513" s="222" t="s">
        <v>2276</v>
      </c>
      <c r="O2513" s="222" t="s">
        <v>2276</v>
      </c>
      <c r="P2513" s="222" t="s">
        <v>2276</v>
      </c>
      <c r="Q2513" s="222" t="s">
        <v>2276</v>
      </c>
      <c r="R2513" s="222" t="s">
        <v>2276</v>
      </c>
      <c r="S2513" s="222" t="s">
        <v>2276</v>
      </c>
      <c r="T2513" s="222" t="s">
        <v>2276</v>
      </c>
      <c r="U2513" s="222" t="s">
        <v>2276</v>
      </c>
      <c r="V2513" s="222" t="s">
        <v>2276</v>
      </c>
      <c r="W2513" s="222" t="s">
        <v>2276</v>
      </c>
      <c r="X2513" s="222" t="s">
        <v>2276</v>
      </c>
      <c r="Y2513" s="222" t="s">
        <v>2276</v>
      </c>
      <c r="Z2513" s="4" t="s">
        <v>2276</v>
      </c>
      <c r="AA2513" s="4" t="s">
        <v>2276</v>
      </c>
      <c r="AB2513" s="4" t="s">
        <v>2276</v>
      </c>
      <c r="AC2513" s="4"/>
      <c r="AD2513" s="4"/>
    </row>
    <row r="2514" spans="1:30" ht="31" customHeight="1">
      <c r="A2514" s="4" t="s">
        <v>6423</v>
      </c>
      <c r="B2514" s="4" t="s">
        <v>6623</v>
      </c>
      <c r="C2514" s="4" t="s">
        <v>2658</v>
      </c>
      <c r="D2514" s="4" t="s">
        <v>2276</v>
      </c>
      <c r="E2514" s="4" t="s">
        <v>2649</v>
      </c>
      <c r="F2514" s="4" t="s">
        <v>74</v>
      </c>
      <c r="G2514" s="4" t="s">
        <v>74</v>
      </c>
      <c r="H2514" s="4" t="s">
        <v>523</v>
      </c>
      <c r="I2514" s="4"/>
      <c r="J2514" s="75">
        <f>0.15609756097561/28</f>
        <v>5.5749128919860714E-3</v>
      </c>
      <c r="K2514" s="21" t="s">
        <v>2276</v>
      </c>
      <c r="L2514" s="222" t="s">
        <v>2276</v>
      </c>
      <c r="M2514" s="222" t="s">
        <v>2276</v>
      </c>
      <c r="N2514" s="222" t="s">
        <v>2276</v>
      </c>
      <c r="O2514" s="222" t="s">
        <v>2276</v>
      </c>
      <c r="P2514" s="222" t="s">
        <v>2276</v>
      </c>
      <c r="Q2514" s="222" t="s">
        <v>2276</v>
      </c>
      <c r="R2514" s="222" t="s">
        <v>2276</v>
      </c>
      <c r="S2514" s="222" t="s">
        <v>2276</v>
      </c>
      <c r="T2514" s="222" t="s">
        <v>2276</v>
      </c>
      <c r="U2514" s="222" t="s">
        <v>2276</v>
      </c>
      <c r="V2514" s="222" t="s">
        <v>2276</v>
      </c>
      <c r="W2514" s="222" t="s">
        <v>2276</v>
      </c>
      <c r="X2514" s="222" t="s">
        <v>2276</v>
      </c>
      <c r="Y2514" s="75">
        <v>14</v>
      </c>
      <c r="Z2514" s="4" t="s">
        <v>2276</v>
      </c>
      <c r="AA2514" s="4" t="s">
        <v>2276</v>
      </c>
      <c r="AB2514" s="4" t="s">
        <v>2276</v>
      </c>
      <c r="AC2514" s="4"/>
      <c r="AD2514" s="4"/>
    </row>
    <row r="2515" spans="1:30" ht="31" customHeight="1">
      <c r="A2515" s="4" t="s">
        <v>6423</v>
      </c>
      <c r="B2515" s="4" t="s">
        <v>6624</v>
      </c>
      <c r="C2515" s="4" t="s">
        <v>24</v>
      </c>
      <c r="D2515" s="4" t="s">
        <v>1242</v>
      </c>
      <c r="E2515" s="4" t="s">
        <v>2649</v>
      </c>
      <c r="F2515" s="4" t="s">
        <v>74</v>
      </c>
      <c r="G2515" s="4" t="s">
        <v>74</v>
      </c>
      <c r="H2515" s="4" t="s">
        <v>523</v>
      </c>
      <c r="I2515" s="4"/>
      <c r="J2515" s="21" t="s">
        <v>2276</v>
      </c>
      <c r="K2515" s="21" t="s">
        <v>2276</v>
      </c>
      <c r="L2515" s="222" t="s">
        <v>2276</v>
      </c>
      <c r="M2515" s="222" t="s">
        <v>2276</v>
      </c>
      <c r="N2515" s="222" t="s">
        <v>2276</v>
      </c>
      <c r="O2515" s="222" t="s">
        <v>2276</v>
      </c>
      <c r="P2515" s="222" t="s">
        <v>2276</v>
      </c>
      <c r="Q2515" s="222" t="s">
        <v>2276</v>
      </c>
      <c r="R2515" s="222" t="s">
        <v>2276</v>
      </c>
      <c r="S2515" s="222" t="s">
        <v>2276</v>
      </c>
      <c r="T2515" s="222" t="s">
        <v>2276</v>
      </c>
      <c r="U2515" s="222" t="s">
        <v>2276</v>
      </c>
      <c r="V2515" s="222" t="s">
        <v>2276</v>
      </c>
      <c r="W2515" s="222" t="s">
        <v>2276</v>
      </c>
      <c r="X2515" s="222" t="s">
        <v>2276</v>
      </c>
      <c r="Y2515" s="222" t="s">
        <v>2276</v>
      </c>
      <c r="Z2515" s="4" t="s">
        <v>2276</v>
      </c>
      <c r="AA2515" s="4" t="s">
        <v>2276</v>
      </c>
      <c r="AB2515" s="4" t="s">
        <v>2276</v>
      </c>
      <c r="AC2515" s="4"/>
      <c r="AD2515" s="4"/>
    </row>
    <row r="2516" spans="1:30" ht="31" customHeight="1">
      <c r="A2516" s="4" t="s">
        <v>6424</v>
      </c>
      <c r="B2516" s="4" t="s">
        <v>6625</v>
      </c>
      <c r="C2516" s="4" t="s">
        <v>2658</v>
      </c>
      <c r="D2516" s="4" t="s">
        <v>2276</v>
      </c>
      <c r="E2516" s="4" t="s">
        <v>2649</v>
      </c>
      <c r="F2516" s="4" t="s">
        <v>74</v>
      </c>
      <c r="G2516" s="4" t="s">
        <v>74</v>
      </c>
      <c r="H2516" s="4" t="s">
        <v>523</v>
      </c>
      <c r="I2516" s="4"/>
      <c r="J2516" s="75">
        <f>0.829508196721311/28</f>
        <v>2.9625292740046823E-2</v>
      </c>
      <c r="K2516" s="21" t="s">
        <v>2276</v>
      </c>
      <c r="L2516" s="222" t="s">
        <v>2276</v>
      </c>
      <c r="M2516" s="222" t="s">
        <v>2276</v>
      </c>
      <c r="N2516" s="222" t="s">
        <v>2276</v>
      </c>
      <c r="O2516" s="222" t="s">
        <v>2276</v>
      </c>
      <c r="P2516" s="222" t="s">
        <v>2276</v>
      </c>
      <c r="Q2516" s="222" t="s">
        <v>2276</v>
      </c>
      <c r="R2516" s="222" t="s">
        <v>2276</v>
      </c>
      <c r="S2516" s="222" t="s">
        <v>2276</v>
      </c>
      <c r="T2516" s="222" t="s">
        <v>2276</v>
      </c>
      <c r="U2516" s="222" t="s">
        <v>2276</v>
      </c>
      <c r="V2516" s="222" t="s">
        <v>2276</v>
      </c>
      <c r="W2516" s="222" t="s">
        <v>2276</v>
      </c>
      <c r="X2516" s="222" t="s">
        <v>2276</v>
      </c>
      <c r="Y2516" s="75">
        <v>35</v>
      </c>
      <c r="Z2516" s="4" t="s">
        <v>2276</v>
      </c>
      <c r="AA2516" s="4" t="s">
        <v>2276</v>
      </c>
      <c r="AB2516" s="4" t="s">
        <v>2276</v>
      </c>
      <c r="AC2516" s="4"/>
      <c r="AD2516" s="4"/>
    </row>
    <row r="2517" spans="1:30" ht="31" customHeight="1">
      <c r="A2517" s="4" t="s">
        <v>6424</v>
      </c>
      <c r="B2517" s="4" t="s">
        <v>6626</v>
      </c>
      <c r="C2517" s="4" t="s">
        <v>24</v>
      </c>
      <c r="D2517" s="4" t="s">
        <v>1242</v>
      </c>
      <c r="E2517" s="4" t="s">
        <v>2649</v>
      </c>
      <c r="F2517" s="4" t="s">
        <v>74</v>
      </c>
      <c r="G2517" s="4" t="s">
        <v>74</v>
      </c>
      <c r="H2517" s="4" t="s">
        <v>523</v>
      </c>
      <c r="I2517" s="4"/>
      <c r="J2517" s="21" t="s">
        <v>2276</v>
      </c>
      <c r="K2517" s="21" t="s">
        <v>2276</v>
      </c>
      <c r="L2517" s="222" t="s">
        <v>2276</v>
      </c>
      <c r="M2517" s="222" t="s">
        <v>2276</v>
      </c>
      <c r="N2517" s="222" t="s">
        <v>2276</v>
      </c>
      <c r="O2517" s="222" t="s">
        <v>2276</v>
      </c>
      <c r="P2517" s="222" t="s">
        <v>2276</v>
      </c>
      <c r="Q2517" s="222" t="s">
        <v>2276</v>
      </c>
      <c r="R2517" s="222" t="s">
        <v>2276</v>
      </c>
      <c r="S2517" s="222" t="s">
        <v>2276</v>
      </c>
      <c r="T2517" s="222" t="s">
        <v>2276</v>
      </c>
      <c r="U2517" s="222" t="s">
        <v>2276</v>
      </c>
      <c r="V2517" s="222" t="s">
        <v>2276</v>
      </c>
      <c r="W2517" s="222" t="s">
        <v>2276</v>
      </c>
      <c r="X2517" s="222" t="s">
        <v>2276</v>
      </c>
      <c r="Y2517" s="222" t="s">
        <v>2276</v>
      </c>
      <c r="Z2517" s="4" t="s">
        <v>2276</v>
      </c>
      <c r="AA2517" s="4" t="s">
        <v>2276</v>
      </c>
      <c r="AB2517" s="4" t="s">
        <v>2276</v>
      </c>
      <c r="AC2517" s="4"/>
      <c r="AD2517" s="4"/>
    </row>
    <row r="2518" spans="1:30" ht="31" customHeight="1">
      <c r="A2518" s="4" t="s">
        <v>6425</v>
      </c>
      <c r="B2518" s="4" t="s">
        <v>6627</v>
      </c>
      <c r="C2518" s="4" t="s">
        <v>2658</v>
      </c>
      <c r="D2518" s="4" t="s">
        <v>2276</v>
      </c>
      <c r="E2518" s="4" t="s">
        <v>2649</v>
      </c>
      <c r="F2518" s="4" t="s">
        <v>74</v>
      </c>
      <c r="G2518" s="4" t="s">
        <v>74</v>
      </c>
      <c r="H2518" s="4" t="s">
        <v>523</v>
      </c>
      <c r="I2518" s="4"/>
      <c r="J2518" s="75">
        <f>0.559241706161137/28</f>
        <v>1.9972918077183464E-2</v>
      </c>
      <c r="K2518" s="21" t="s">
        <v>2276</v>
      </c>
      <c r="L2518" s="222" t="s">
        <v>2276</v>
      </c>
      <c r="M2518" s="222" t="s">
        <v>2276</v>
      </c>
      <c r="N2518" s="222" t="s">
        <v>2276</v>
      </c>
      <c r="O2518" s="222" t="s">
        <v>2276</v>
      </c>
      <c r="P2518" s="222" t="s">
        <v>2276</v>
      </c>
      <c r="Q2518" s="222" t="s">
        <v>2276</v>
      </c>
      <c r="R2518" s="222" t="s">
        <v>2276</v>
      </c>
      <c r="S2518" s="222" t="s">
        <v>2276</v>
      </c>
      <c r="T2518" s="222" t="s">
        <v>2276</v>
      </c>
      <c r="U2518" s="222" t="s">
        <v>2276</v>
      </c>
      <c r="V2518" s="222" t="s">
        <v>2276</v>
      </c>
      <c r="W2518" s="222" t="s">
        <v>2276</v>
      </c>
      <c r="X2518" s="222" t="s">
        <v>2276</v>
      </c>
      <c r="Y2518" s="75">
        <v>30</v>
      </c>
      <c r="Z2518" s="4" t="s">
        <v>2276</v>
      </c>
      <c r="AA2518" s="4" t="s">
        <v>2276</v>
      </c>
      <c r="AB2518" s="4" t="s">
        <v>2276</v>
      </c>
      <c r="AC2518" s="4"/>
      <c r="AD2518" s="4"/>
    </row>
    <row r="2519" spans="1:30" ht="31" customHeight="1">
      <c r="A2519" s="4" t="s">
        <v>6425</v>
      </c>
      <c r="B2519" s="4" t="s">
        <v>6628</v>
      </c>
      <c r="C2519" s="4" t="s">
        <v>24</v>
      </c>
      <c r="D2519" s="4" t="s">
        <v>1242</v>
      </c>
      <c r="E2519" s="4" t="s">
        <v>2649</v>
      </c>
      <c r="F2519" s="4" t="s">
        <v>74</v>
      </c>
      <c r="G2519" s="4" t="s">
        <v>74</v>
      </c>
      <c r="H2519" s="4" t="s">
        <v>523</v>
      </c>
      <c r="I2519" s="4"/>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1" t="s">
        <v>2276</v>
      </c>
      <c r="Y2519" s="21" t="s">
        <v>2276</v>
      </c>
      <c r="Z2519" s="4" t="s">
        <v>2276</v>
      </c>
      <c r="AA2519" s="4" t="s">
        <v>2276</v>
      </c>
      <c r="AB2519" s="4" t="s">
        <v>2276</v>
      </c>
      <c r="AC2519" s="4"/>
      <c r="AD2519" s="4"/>
    </row>
    <row r="2520" spans="1:30" ht="31" customHeight="1">
      <c r="A2520" s="4" t="s">
        <v>6426</v>
      </c>
      <c r="B2520" s="4" t="s">
        <v>6629</v>
      </c>
      <c r="C2520" s="4" t="s">
        <v>24</v>
      </c>
      <c r="D2520" s="4" t="s">
        <v>2659</v>
      </c>
      <c r="E2520" s="4" t="s">
        <v>2649</v>
      </c>
      <c r="F2520" s="4" t="s">
        <v>74</v>
      </c>
      <c r="G2520" s="4" t="s">
        <v>74</v>
      </c>
      <c r="H2520" s="4" t="s">
        <v>523</v>
      </c>
      <c r="I2520" s="4"/>
      <c r="J2520" s="21" t="s">
        <v>2276</v>
      </c>
      <c r="K2520" s="21" t="s">
        <v>2276</v>
      </c>
      <c r="L2520" s="21" t="s">
        <v>2276</v>
      </c>
      <c r="M2520" s="21" t="s">
        <v>2276</v>
      </c>
      <c r="N2520" s="21" t="s">
        <v>2276</v>
      </c>
      <c r="O2520" s="21" t="s">
        <v>2276</v>
      </c>
      <c r="P2520" s="21" t="s">
        <v>2276</v>
      </c>
      <c r="Q2520" s="21" t="s">
        <v>2276</v>
      </c>
      <c r="R2520" s="21" t="s">
        <v>2276</v>
      </c>
      <c r="S2520" s="21" t="s">
        <v>2276</v>
      </c>
      <c r="T2520" s="21" t="s">
        <v>2276</v>
      </c>
      <c r="U2520" s="21" t="s">
        <v>2276</v>
      </c>
      <c r="V2520" s="21" t="s">
        <v>2276</v>
      </c>
      <c r="W2520" s="21" t="s">
        <v>2276</v>
      </c>
      <c r="X2520" s="21" t="s">
        <v>2276</v>
      </c>
      <c r="Y2520" s="21" t="s">
        <v>2276</v>
      </c>
      <c r="Z2520" s="4" t="s">
        <v>2276</v>
      </c>
      <c r="AA2520" s="4" t="s">
        <v>2276</v>
      </c>
      <c r="AB2520" s="4" t="s">
        <v>2276</v>
      </c>
      <c r="AC2520" s="4"/>
      <c r="AD2520" s="4"/>
    </row>
    <row r="2521" spans="1:30" ht="31" customHeight="1">
      <c r="A2521" s="4" t="s">
        <v>6427</v>
      </c>
      <c r="B2521" s="4" t="s">
        <v>6630</v>
      </c>
      <c r="C2521" s="4" t="s">
        <v>24</v>
      </c>
      <c r="D2521" s="4" t="s">
        <v>2659</v>
      </c>
      <c r="E2521" s="4" t="s">
        <v>2649</v>
      </c>
      <c r="F2521" s="4" t="s">
        <v>74</v>
      </c>
      <c r="G2521" s="4" t="s">
        <v>74</v>
      </c>
      <c r="H2521" s="4" t="s">
        <v>523</v>
      </c>
      <c r="I2521" s="4"/>
      <c r="J2521" s="21" t="s">
        <v>2276</v>
      </c>
      <c r="K2521" s="21" t="s">
        <v>2276</v>
      </c>
      <c r="L2521" s="21" t="s">
        <v>2276</v>
      </c>
      <c r="M2521" s="21" t="s">
        <v>2276</v>
      </c>
      <c r="N2521" s="21" t="s">
        <v>2276</v>
      </c>
      <c r="O2521" s="21" t="s">
        <v>2276</v>
      </c>
      <c r="P2521" s="21" t="s">
        <v>2276</v>
      </c>
      <c r="Q2521" s="21" t="s">
        <v>2276</v>
      </c>
      <c r="R2521" s="21" t="s">
        <v>2276</v>
      </c>
      <c r="S2521" s="21" t="s">
        <v>2276</v>
      </c>
      <c r="T2521" s="21" t="s">
        <v>2276</v>
      </c>
      <c r="U2521" s="21" t="s">
        <v>2276</v>
      </c>
      <c r="V2521" s="21" t="s">
        <v>2276</v>
      </c>
      <c r="W2521" s="21" t="s">
        <v>2276</v>
      </c>
      <c r="X2521" s="21" t="s">
        <v>2276</v>
      </c>
      <c r="Y2521" s="21" t="s">
        <v>2276</v>
      </c>
      <c r="Z2521" s="4" t="s">
        <v>2276</v>
      </c>
      <c r="AA2521" s="4" t="s">
        <v>2276</v>
      </c>
      <c r="AB2521" s="4" t="s">
        <v>2276</v>
      </c>
      <c r="AC2521" s="4"/>
      <c r="AD2521" s="4"/>
    </row>
    <row r="2522" spans="1:30" ht="31" customHeight="1">
      <c r="A2522" s="4" t="s">
        <v>6428</v>
      </c>
      <c r="B2522" s="4" t="s">
        <v>6631</v>
      </c>
      <c r="C2522" s="4" t="s">
        <v>24</v>
      </c>
      <c r="D2522" s="4" t="s">
        <v>2659</v>
      </c>
      <c r="E2522" s="4" t="s">
        <v>2649</v>
      </c>
      <c r="F2522" s="4" t="s">
        <v>74</v>
      </c>
      <c r="G2522" s="4" t="s">
        <v>74</v>
      </c>
      <c r="H2522" s="4" t="s">
        <v>523</v>
      </c>
      <c r="I2522" s="4"/>
      <c r="J2522" s="21" t="s">
        <v>2276</v>
      </c>
      <c r="K2522" s="21" t="s">
        <v>2276</v>
      </c>
      <c r="L2522" s="21" t="s">
        <v>2276</v>
      </c>
      <c r="M2522" s="21" t="s">
        <v>2276</v>
      </c>
      <c r="N2522" s="21" t="s">
        <v>2276</v>
      </c>
      <c r="O2522" s="21" t="s">
        <v>2276</v>
      </c>
      <c r="P2522" s="21" t="s">
        <v>2276</v>
      </c>
      <c r="Q2522" s="21" t="s">
        <v>2276</v>
      </c>
      <c r="R2522" s="21" t="s">
        <v>2276</v>
      </c>
      <c r="S2522" s="21" t="s">
        <v>2276</v>
      </c>
      <c r="T2522" s="21" t="s">
        <v>2276</v>
      </c>
      <c r="U2522" s="21" t="s">
        <v>2276</v>
      </c>
      <c r="V2522" s="21" t="s">
        <v>2276</v>
      </c>
      <c r="W2522" s="21" t="s">
        <v>2276</v>
      </c>
      <c r="X2522" s="21" t="s">
        <v>2276</v>
      </c>
      <c r="Y2522" s="21" t="s">
        <v>2276</v>
      </c>
      <c r="Z2522" s="4" t="s">
        <v>2276</v>
      </c>
      <c r="AA2522" s="4" t="s">
        <v>2276</v>
      </c>
      <c r="AB2522" s="4" t="s">
        <v>2276</v>
      </c>
      <c r="AC2522" s="4"/>
      <c r="AD2522" s="4"/>
    </row>
    <row r="2523" spans="1:30" s="204" customFormat="1" ht="31" customHeight="1">
      <c r="A2523" s="4" t="s">
        <v>6428</v>
      </c>
      <c r="B2523" s="4" t="s">
        <v>6669</v>
      </c>
      <c r="C2523" s="4" t="s">
        <v>24</v>
      </c>
      <c r="D2523" s="4" t="s">
        <v>1242</v>
      </c>
      <c r="E2523" s="4" t="s">
        <v>2649</v>
      </c>
      <c r="F2523" s="4" t="s">
        <v>74</v>
      </c>
      <c r="G2523" s="4" t="s">
        <v>74</v>
      </c>
      <c r="H2523" s="4" t="s">
        <v>523</v>
      </c>
      <c r="I2523" s="4"/>
      <c r="J2523" s="21" t="s">
        <v>2276</v>
      </c>
      <c r="K2523" s="21" t="s">
        <v>2276</v>
      </c>
      <c r="L2523" s="21" t="s">
        <v>2276</v>
      </c>
      <c r="M2523" s="21" t="s">
        <v>2276</v>
      </c>
      <c r="N2523" s="21" t="s">
        <v>2276</v>
      </c>
      <c r="O2523" s="21" t="s">
        <v>2276</v>
      </c>
      <c r="P2523" s="21" t="s">
        <v>2276</v>
      </c>
      <c r="Q2523" s="21" t="s">
        <v>2276</v>
      </c>
      <c r="R2523" s="21" t="s">
        <v>2276</v>
      </c>
      <c r="S2523" s="21" t="s">
        <v>2276</v>
      </c>
      <c r="T2523" s="21" t="s">
        <v>2276</v>
      </c>
      <c r="U2523" s="21" t="s">
        <v>2276</v>
      </c>
      <c r="V2523" s="21" t="s">
        <v>2276</v>
      </c>
      <c r="W2523" s="21" t="s">
        <v>2276</v>
      </c>
      <c r="X2523" s="21" t="s">
        <v>2276</v>
      </c>
      <c r="Y2523" s="21" t="s">
        <v>2276</v>
      </c>
      <c r="Z2523" s="21" t="s">
        <v>2276</v>
      </c>
      <c r="AA2523" s="21" t="s">
        <v>2276</v>
      </c>
      <c r="AB2523" s="21" t="s">
        <v>2276</v>
      </c>
      <c r="AC2523" s="4"/>
      <c r="AD2523" s="4"/>
    </row>
    <row r="2524" spans="1:30" ht="31" customHeight="1">
      <c r="A2524" s="4" t="s">
        <v>6429</v>
      </c>
      <c r="B2524" s="4" t="s">
        <v>6632</v>
      </c>
      <c r="C2524" s="4" t="s">
        <v>24</v>
      </c>
      <c r="D2524" s="4" t="s">
        <v>2659</v>
      </c>
      <c r="E2524" s="4" t="s">
        <v>2649</v>
      </c>
      <c r="F2524" s="4" t="s">
        <v>74</v>
      </c>
      <c r="G2524" s="4" t="s">
        <v>74</v>
      </c>
      <c r="H2524" s="4" t="s">
        <v>523</v>
      </c>
      <c r="I2524" s="4"/>
      <c r="J2524" s="21" t="s">
        <v>2276</v>
      </c>
      <c r="K2524" s="21" t="s">
        <v>2276</v>
      </c>
      <c r="L2524" s="21" t="s">
        <v>2276</v>
      </c>
      <c r="M2524" s="21" t="s">
        <v>2276</v>
      </c>
      <c r="N2524" s="21" t="s">
        <v>2276</v>
      </c>
      <c r="O2524" s="21" t="s">
        <v>2276</v>
      </c>
      <c r="P2524" s="21" t="s">
        <v>2276</v>
      </c>
      <c r="Q2524" s="21" t="s">
        <v>2276</v>
      </c>
      <c r="R2524" s="21" t="s">
        <v>2276</v>
      </c>
      <c r="S2524" s="21" t="s">
        <v>2276</v>
      </c>
      <c r="T2524" s="21" t="s">
        <v>2276</v>
      </c>
      <c r="U2524" s="21" t="s">
        <v>2276</v>
      </c>
      <c r="V2524" s="21" t="s">
        <v>2276</v>
      </c>
      <c r="W2524" s="21" t="s">
        <v>2276</v>
      </c>
      <c r="X2524" s="21" t="s">
        <v>2276</v>
      </c>
      <c r="Y2524" s="21" t="s">
        <v>2276</v>
      </c>
      <c r="Z2524" s="21" t="s">
        <v>2276</v>
      </c>
      <c r="AA2524" s="21" t="s">
        <v>2276</v>
      </c>
      <c r="AB2524" s="21" t="s">
        <v>2276</v>
      </c>
      <c r="AC2524" s="4"/>
      <c r="AD2524" s="4"/>
    </row>
    <row r="2525" spans="1:30" s="204" customFormat="1" ht="31" customHeight="1">
      <c r="A2525" s="4" t="s">
        <v>6429</v>
      </c>
      <c r="B2525" s="4" t="s">
        <v>6672</v>
      </c>
      <c r="C2525" s="4" t="s">
        <v>24</v>
      </c>
      <c r="D2525" s="4" t="s">
        <v>1242</v>
      </c>
      <c r="E2525" s="4" t="s">
        <v>2649</v>
      </c>
      <c r="F2525" s="4" t="s">
        <v>74</v>
      </c>
      <c r="G2525" s="4" t="s">
        <v>74</v>
      </c>
      <c r="H2525" s="4" t="s">
        <v>523</v>
      </c>
      <c r="I2525" s="4"/>
      <c r="J2525" s="21" t="s">
        <v>2276</v>
      </c>
      <c r="K2525" s="21" t="s">
        <v>2276</v>
      </c>
      <c r="L2525" s="21" t="s">
        <v>2276</v>
      </c>
      <c r="M2525" s="21" t="s">
        <v>2276</v>
      </c>
      <c r="N2525" s="21" t="s">
        <v>2276</v>
      </c>
      <c r="O2525" s="21" t="s">
        <v>2276</v>
      </c>
      <c r="P2525" s="21" t="s">
        <v>2276</v>
      </c>
      <c r="Q2525" s="21" t="s">
        <v>2276</v>
      </c>
      <c r="R2525" s="21" t="s">
        <v>2276</v>
      </c>
      <c r="S2525" s="21" t="s">
        <v>2276</v>
      </c>
      <c r="T2525" s="21" t="s">
        <v>2276</v>
      </c>
      <c r="U2525" s="21" t="s">
        <v>2276</v>
      </c>
      <c r="V2525" s="21" t="s">
        <v>2276</v>
      </c>
      <c r="W2525" s="21" t="s">
        <v>2276</v>
      </c>
      <c r="X2525" s="21" t="s">
        <v>2276</v>
      </c>
      <c r="Y2525" s="21" t="s">
        <v>2276</v>
      </c>
      <c r="Z2525" s="21" t="s">
        <v>2276</v>
      </c>
      <c r="AA2525" s="21" t="s">
        <v>2276</v>
      </c>
      <c r="AB2525" s="21" t="s">
        <v>2276</v>
      </c>
      <c r="AC2525" s="4"/>
      <c r="AD2525" s="4"/>
    </row>
    <row r="2526" spans="1:30" ht="31" customHeight="1">
      <c r="A2526" s="4" t="s">
        <v>6430</v>
      </c>
      <c r="B2526" s="4" t="s">
        <v>6633</v>
      </c>
      <c r="C2526" s="4" t="s">
        <v>24</v>
      </c>
      <c r="D2526" s="4" t="s">
        <v>2659</v>
      </c>
      <c r="E2526" s="4" t="s">
        <v>2649</v>
      </c>
      <c r="F2526" s="4" t="s">
        <v>74</v>
      </c>
      <c r="G2526" s="4" t="s">
        <v>74</v>
      </c>
      <c r="H2526" s="4" t="s">
        <v>523</v>
      </c>
      <c r="I2526" s="4"/>
      <c r="J2526" s="21" t="s">
        <v>2276</v>
      </c>
      <c r="K2526" s="21" t="s">
        <v>2276</v>
      </c>
      <c r="L2526" s="21" t="s">
        <v>2276</v>
      </c>
      <c r="M2526" s="21" t="s">
        <v>2276</v>
      </c>
      <c r="N2526" s="21" t="s">
        <v>2276</v>
      </c>
      <c r="O2526" s="21" t="s">
        <v>2276</v>
      </c>
      <c r="P2526" s="21" t="s">
        <v>2276</v>
      </c>
      <c r="Q2526" s="21" t="s">
        <v>2276</v>
      </c>
      <c r="R2526" s="21" t="s">
        <v>2276</v>
      </c>
      <c r="S2526" s="21" t="s">
        <v>2276</v>
      </c>
      <c r="T2526" s="21" t="s">
        <v>2276</v>
      </c>
      <c r="U2526" s="21" t="s">
        <v>2276</v>
      </c>
      <c r="V2526" s="21" t="s">
        <v>2276</v>
      </c>
      <c r="W2526" s="21" t="s">
        <v>2276</v>
      </c>
      <c r="X2526" s="21" t="s">
        <v>2276</v>
      </c>
      <c r="Y2526" s="21" t="s">
        <v>2276</v>
      </c>
      <c r="Z2526" s="21" t="s">
        <v>2276</v>
      </c>
      <c r="AA2526" s="21" t="s">
        <v>2276</v>
      </c>
      <c r="AB2526" s="21" t="s">
        <v>2276</v>
      </c>
      <c r="AC2526" s="4"/>
      <c r="AD2526" s="4"/>
    </row>
    <row r="2527" spans="1:30" ht="31" customHeight="1">
      <c r="A2527" s="4" t="s">
        <v>6431</v>
      </c>
      <c r="B2527" s="4" t="s">
        <v>6634</v>
      </c>
      <c r="C2527" s="4" t="s">
        <v>24</v>
      </c>
      <c r="D2527" s="4" t="s">
        <v>2659</v>
      </c>
      <c r="E2527" s="4" t="s">
        <v>2649</v>
      </c>
      <c r="F2527" s="4" t="s">
        <v>74</v>
      </c>
      <c r="G2527" s="4" t="s">
        <v>74</v>
      </c>
      <c r="H2527" s="4" t="s">
        <v>523</v>
      </c>
      <c r="I2527" s="4"/>
      <c r="J2527" s="21" t="s">
        <v>2276</v>
      </c>
      <c r="K2527" s="21" t="s">
        <v>2276</v>
      </c>
      <c r="L2527" s="21" t="s">
        <v>2276</v>
      </c>
      <c r="M2527" s="21" t="s">
        <v>2276</v>
      </c>
      <c r="N2527" s="21" t="s">
        <v>2276</v>
      </c>
      <c r="O2527" s="21" t="s">
        <v>2276</v>
      </c>
      <c r="P2527" s="21" t="s">
        <v>2276</v>
      </c>
      <c r="Q2527" s="21" t="s">
        <v>2276</v>
      </c>
      <c r="R2527" s="21" t="s">
        <v>2276</v>
      </c>
      <c r="S2527" s="21" t="s">
        <v>2276</v>
      </c>
      <c r="T2527" s="21" t="s">
        <v>2276</v>
      </c>
      <c r="U2527" s="21" t="s">
        <v>2276</v>
      </c>
      <c r="V2527" s="21" t="s">
        <v>2276</v>
      </c>
      <c r="W2527" s="21" t="s">
        <v>2276</v>
      </c>
      <c r="X2527" s="21" t="s">
        <v>2276</v>
      </c>
      <c r="Y2527" s="21" t="s">
        <v>2276</v>
      </c>
      <c r="Z2527" s="21" t="s">
        <v>2276</v>
      </c>
      <c r="AA2527" s="21" t="s">
        <v>2276</v>
      </c>
      <c r="AB2527" s="21" t="s">
        <v>2276</v>
      </c>
      <c r="AC2527" s="4"/>
      <c r="AD2527" s="4"/>
    </row>
    <row r="2528" spans="1:30" ht="31" customHeight="1">
      <c r="A2528" s="4" t="s">
        <v>6635</v>
      </c>
      <c r="B2528" s="4" t="s">
        <v>6636</v>
      </c>
      <c r="C2528" s="4" t="s">
        <v>24</v>
      </c>
      <c r="D2528" s="4" t="s">
        <v>2659</v>
      </c>
      <c r="E2528" s="4" t="s">
        <v>2649</v>
      </c>
      <c r="F2528" s="4" t="s">
        <v>74</v>
      </c>
      <c r="G2528" s="4" t="s">
        <v>74</v>
      </c>
      <c r="H2528" s="4" t="s">
        <v>523</v>
      </c>
      <c r="I2528" s="4"/>
      <c r="J2528" s="21" t="s">
        <v>2276</v>
      </c>
      <c r="K2528" s="21" t="s">
        <v>2276</v>
      </c>
      <c r="L2528" s="21" t="s">
        <v>2276</v>
      </c>
      <c r="M2528" s="21" t="s">
        <v>2276</v>
      </c>
      <c r="N2528" s="21" t="s">
        <v>2276</v>
      </c>
      <c r="O2528" s="21" t="s">
        <v>2276</v>
      </c>
      <c r="P2528" s="21" t="s">
        <v>2276</v>
      </c>
      <c r="Q2528" s="21" t="s">
        <v>2276</v>
      </c>
      <c r="R2528" s="21" t="s">
        <v>2276</v>
      </c>
      <c r="S2528" s="21" t="s">
        <v>2276</v>
      </c>
      <c r="T2528" s="21" t="s">
        <v>2276</v>
      </c>
      <c r="U2528" s="21" t="s">
        <v>2276</v>
      </c>
      <c r="V2528" s="21" t="s">
        <v>2276</v>
      </c>
      <c r="W2528" s="21" t="s">
        <v>2276</v>
      </c>
      <c r="X2528" s="21" t="s">
        <v>2276</v>
      </c>
      <c r="Y2528" s="21" t="s">
        <v>2276</v>
      </c>
      <c r="Z2528" s="21" t="s">
        <v>2276</v>
      </c>
      <c r="AA2528" s="21" t="s">
        <v>2276</v>
      </c>
      <c r="AB2528" s="21" t="s">
        <v>2276</v>
      </c>
      <c r="AC2528" s="4"/>
      <c r="AD2528" s="4"/>
    </row>
    <row r="2529" spans="1:30" s="204" customFormat="1" ht="31" customHeight="1">
      <c r="A2529" s="4" t="s">
        <v>6635</v>
      </c>
      <c r="B2529" s="4" t="s">
        <v>6677</v>
      </c>
      <c r="C2529" s="4" t="s">
        <v>24</v>
      </c>
      <c r="D2529" s="4" t="s">
        <v>1242</v>
      </c>
      <c r="E2529" s="4" t="s">
        <v>2649</v>
      </c>
      <c r="F2529" s="4" t="s">
        <v>74</v>
      </c>
      <c r="G2529" s="4" t="s">
        <v>74</v>
      </c>
      <c r="H2529" s="4" t="s">
        <v>523</v>
      </c>
      <c r="I2529" s="4"/>
      <c r="J2529" s="21" t="s">
        <v>2276</v>
      </c>
      <c r="K2529" s="21" t="s">
        <v>2276</v>
      </c>
      <c r="L2529" s="21" t="s">
        <v>2276</v>
      </c>
      <c r="M2529" s="21" t="s">
        <v>2276</v>
      </c>
      <c r="N2529" s="21" t="s">
        <v>2276</v>
      </c>
      <c r="O2529" s="21" t="s">
        <v>2276</v>
      </c>
      <c r="P2529" s="21" t="s">
        <v>2276</v>
      </c>
      <c r="Q2529" s="21" t="s">
        <v>2276</v>
      </c>
      <c r="R2529" s="21" t="s">
        <v>2276</v>
      </c>
      <c r="S2529" s="21" t="s">
        <v>2276</v>
      </c>
      <c r="T2529" s="21" t="s">
        <v>2276</v>
      </c>
      <c r="U2529" s="21" t="s">
        <v>2276</v>
      </c>
      <c r="V2529" s="21" t="s">
        <v>2276</v>
      </c>
      <c r="W2529" s="21" t="s">
        <v>2276</v>
      </c>
      <c r="X2529" s="21" t="s">
        <v>2276</v>
      </c>
      <c r="Y2529" s="21" t="s">
        <v>2276</v>
      </c>
      <c r="Z2529" s="21" t="s">
        <v>2276</v>
      </c>
      <c r="AA2529" s="21" t="s">
        <v>2276</v>
      </c>
      <c r="AB2529" s="21" t="s">
        <v>2276</v>
      </c>
      <c r="AC2529" s="4"/>
      <c r="AD2529" s="4"/>
    </row>
    <row r="2530" spans="1:30" ht="31" customHeight="1">
      <c r="A2530" s="4" t="s">
        <v>6433</v>
      </c>
      <c r="B2530" s="4" t="s">
        <v>6637</v>
      </c>
      <c r="C2530" s="4" t="s">
        <v>24</v>
      </c>
      <c r="D2530" s="4" t="s">
        <v>2659</v>
      </c>
      <c r="E2530" s="4" t="s">
        <v>2649</v>
      </c>
      <c r="F2530" s="4" t="s">
        <v>74</v>
      </c>
      <c r="G2530" s="4" t="s">
        <v>74</v>
      </c>
      <c r="H2530" s="4" t="s">
        <v>523</v>
      </c>
      <c r="I2530" s="4"/>
      <c r="J2530" s="21" t="s">
        <v>2276</v>
      </c>
      <c r="K2530" s="21" t="s">
        <v>2276</v>
      </c>
      <c r="L2530" s="21" t="s">
        <v>2276</v>
      </c>
      <c r="M2530" s="21" t="s">
        <v>2276</v>
      </c>
      <c r="N2530" s="21" t="s">
        <v>2276</v>
      </c>
      <c r="O2530" s="21" t="s">
        <v>2276</v>
      </c>
      <c r="P2530" s="21" t="s">
        <v>2276</v>
      </c>
      <c r="Q2530" s="21" t="s">
        <v>2276</v>
      </c>
      <c r="R2530" s="21" t="s">
        <v>2276</v>
      </c>
      <c r="S2530" s="21" t="s">
        <v>2276</v>
      </c>
      <c r="T2530" s="21" t="s">
        <v>2276</v>
      </c>
      <c r="U2530" s="21" t="s">
        <v>2276</v>
      </c>
      <c r="V2530" s="21" t="s">
        <v>2276</v>
      </c>
      <c r="W2530" s="21" t="s">
        <v>2276</v>
      </c>
      <c r="X2530" s="21" t="s">
        <v>2276</v>
      </c>
      <c r="Y2530" s="21" t="s">
        <v>2276</v>
      </c>
      <c r="Z2530" s="21" t="s">
        <v>2276</v>
      </c>
      <c r="AA2530" s="21" t="s">
        <v>2276</v>
      </c>
      <c r="AB2530" s="21" t="s">
        <v>2276</v>
      </c>
      <c r="AC2530" s="4"/>
      <c r="AD2530" s="4"/>
    </row>
    <row r="2531" spans="1:30" ht="31" customHeight="1">
      <c r="A2531" s="4" t="s">
        <v>6434</v>
      </c>
      <c r="B2531" s="4" t="s">
        <v>6638</v>
      </c>
      <c r="C2531" s="4" t="s">
        <v>24</v>
      </c>
      <c r="D2531" s="4" t="s">
        <v>2659</v>
      </c>
      <c r="E2531" s="4" t="s">
        <v>2649</v>
      </c>
      <c r="F2531" s="4" t="s">
        <v>74</v>
      </c>
      <c r="G2531" s="4" t="s">
        <v>74</v>
      </c>
      <c r="H2531" s="4" t="s">
        <v>523</v>
      </c>
      <c r="I2531" s="4"/>
      <c r="J2531" s="21" t="s">
        <v>2276</v>
      </c>
      <c r="K2531" s="21" t="s">
        <v>2276</v>
      </c>
      <c r="L2531" s="21" t="s">
        <v>2276</v>
      </c>
      <c r="M2531" s="21" t="s">
        <v>2276</v>
      </c>
      <c r="N2531" s="21" t="s">
        <v>2276</v>
      </c>
      <c r="O2531" s="21" t="s">
        <v>2276</v>
      </c>
      <c r="P2531" s="21" t="s">
        <v>2276</v>
      </c>
      <c r="Q2531" s="21" t="s">
        <v>2276</v>
      </c>
      <c r="R2531" s="21" t="s">
        <v>2276</v>
      </c>
      <c r="S2531" s="21" t="s">
        <v>2276</v>
      </c>
      <c r="T2531" s="21" t="s">
        <v>2276</v>
      </c>
      <c r="U2531" s="21" t="s">
        <v>2276</v>
      </c>
      <c r="V2531" s="21" t="s">
        <v>2276</v>
      </c>
      <c r="W2531" s="21" t="s">
        <v>2276</v>
      </c>
      <c r="X2531" s="21" t="s">
        <v>2276</v>
      </c>
      <c r="Y2531" s="21" t="s">
        <v>2276</v>
      </c>
      <c r="Z2531" s="21" t="s">
        <v>2276</v>
      </c>
      <c r="AA2531" s="21" t="s">
        <v>2276</v>
      </c>
      <c r="AB2531" s="21" t="s">
        <v>2276</v>
      </c>
      <c r="AC2531" s="4"/>
      <c r="AD2531" s="4"/>
    </row>
    <row r="2532" spans="1:30" ht="31" customHeight="1">
      <c r="A2532" s="4" t="s">
        <v>6435</v>
      </c>
      <c r="B2532" s="4" t="s">
        <v>6639</v>
      </c>
      <c r="C2532" s="4" t="s">
        <v>24</v>
      </c>
      <c r="D2532" s="4" t="s">
        <v>2659</v>
      </c>
      <c r="E2532" s="4" t="s">
        <v>2649</v>
      </c>
      <c r="F2532" s="4" t="s">
        <v>74</v>
      </c>
      <c r="G2532" s="4" t="s">
        <v>74</v>
      </c>
      <c r="H2532" s="4" t="s">
        <v>523</v>
      </c>
      <c r="I2532" s="4"/>
      <c r="J2532" s="21" t="s">
        <v>2276</v>
      </c>
      <c r="K2532" s="21" t="s">
        <v>2276</v>
      </c>
      <c r="L2532" s="21" t="s">
        <v>2276</v>
      </c>
      <c r="M2532" s="21" t="s">
        <v>2276</v>
      </c>
      <c r="N2532" s="21" t="s">
        <v>2276</v>
      </c>
      <c r="O2532" s="21" t="s">
        <v>2276</v>
      </c>
      <c r="P2532" s="21" t="s">
        <v>2276</v>
      </c>
      <c r="Q2532" s="21" t="s">
        <v>2276</v>
      </c>
      <c r="R2532" s="21" t="s">
        <v>2276</v>
      </c>
      <c r="S2532" s="21" t="s">
        <v>2276</v>
      </c>
      <c r="T2532" s="21" t="s">
        <v>2276</v>
      </c>
      <c r="U2532" s="21" t="s">
        <v>2276</v>
      </c>
      <c r="V2532" s="21" t="s">
        <v>2276</v>
      </c>
      <c r="W2532" s="21" t="s">
        <v>2276</v>
      </c>
      <c r="X2532" s="21" t="s">
        <v>2276</v>
      </c>
      <c r="Y2532" s="21" t="s">
        <v>2276</v>
      </c>
      <c r="Z2532" s="21" t="s">
        <v>2276</v>
      </c>
      <c r="AA2532" s="21" t="s">
        <v>2276</v>
      </c>
      <c r="AB2532" s="21" t="s">
        <v>2276</v>
      </c>
      <c r="AC2532" s="4"/>
      <c r="AD2532" s="4"/>
    </row>
    <row r="2533" spans="1:30" s="204" customFormat="1" ht="31" customHeight="1">
      <c r="A2533" s="4" t="s">
        <v>6435</v>
      </c>
      <c r="B2533" s="4" t="s">
        <v>6681</v>
      </c>
      <c r="C2533" s="4" t="s">
        <v>24</v>
      </c>
      <c r="D2533" s="4" t="s">
        <v>1242</v>
      </c>
      <c r="E2533" s="4" t="s">
        <v>2649</v>
      </c>
      <c r="F2533" s="4" t="s">
        <v>74</v>
      </c>
      <c r="G2533" s="4" t="s">
        <v>74</v>
      </c>
      <c r="H2533" s="4" t="s">
        <v>523</v>
      </c>
      <c r="I2533" s="4"/>
      <c r="J2533" s="21" t="s">
        <v>2276</v>
      </c>
      <c r="K2533" s="21" t="s">
        <v>2276</v>
      </c>
      <c r="L2533" s="21" t="s">
        <v>2276</v>
      </c>
      <c r="M2533" s="21" t="s">
        <v>2276</v>
      </c>
      <c r="N2533" s="21" t="s">
        <v>2276</v>
      </c>
      <c r="O2533" s="21" t="s">
        <v>2276</v>
      </c>
      <c r="P2533" s="21" t="s">
        <v>2276</v>
      </c>
      <c r="Q2533" s="21" t="s">
        <v>2276</v>
      </c>
      <c r="R2533" s="21" t="s">
        <v>2276</v>
      </c>
      <c r="S2533" s="21" t="s">
        <v>2276</v>
      </c>
      <c r="T2533" s="21" t="s">
        <v>2276</v>
      </c>
      <c r="U2533" s="21" t="s">
        <v>2276</v>
      </c>
      <c r="V2533" s="21" t="s">
        <v>2276</v>
      </c>
      <c r="W2533" s="21" t="s">
        <v>2276</v>
      </c>
      <c r="X2533" s="21" t="s">
        <v>2276</v>
      </c>
      <c r="Y2533" s="21" t="s">
        <v>2276</v>
      </c>
      <c r="Z2533" s="21" t="s">
        <v>2276</v>
      </c>
      <c r="AA2533" s="21" t="s">
        <v>2276</v>
      </c>
      <c r="AB2533" s="21" t="s">
        <v>2276</v>
      </c>
      <c r="AC2533" s="4"/>
      <c r="AD2533" s="4"/>
    </row>
    <row r="2534" spans="1:30" ht="31" customHeight="1">
      <c r="A2534" s="4" t="s">
        <v>6436</v>
      </c>
      <c r="B2534" s="4" t="s">
        <v>6640</v>
      </c>
      <c r="C2534" s="4" t="s">
        <v>24</v>
      </c>
      <c r="D2534" s="4" t="s">
        <v>2659</v>
      </c>
      <c r="E2534" s="4" t="s">
        <v>2649</v>
      </c>
      <c r="F2534" s="4" t="s">
        <v>74</v>
      </c>
      <c r="G2534" s="4" t="s">
        <v>74</v>
      </c>
      <c r="H2534" s="4" t="s">
        <v>523</v>
      </c>
      <c r="I2534" s="4"/>
      <c r="J2534" s="21" t="s">
        <v>2276</v>
      </c>
      <c r="K2534" s="21" t="s">
        <v>2276</v>
      </c>
      <c r="L2534" s="21" t="s">
        <v>2276</v>
      </c>
      <c r="M2534" s="21" t="s">
        <v>2276</v>
      </c>
      <c r="N2534" s="21" t="s">
        <v>2276</v>
      </c>
      <c r="O2534" s="21" t="s">
        <v>2276</v>
      </c>
      <c r="P2534" s="21" t="s">
        <v>2276</v>
      </c>
      <c r="Q2534" s="21" t="s">
        <v>2276</v>
      </c>
      <c r="R2534" s="21" t="s">
        <v>2276</v>
      </c>
      <c r="S2534" s="21" t="s">
        <v>2276</v>
      </c>
      <c r="T2534" s="21" t="s">
        <v>2276</v>
      </c>
      <c r="U2534" s="21" t="s">
        <v>2276</v>
      </c>
      <c r="V2534" s="21" t="s">
        <v>2276</v>
      </c>
      <c r="W2534" s="21" t="s">
        <v>2276</v>
      </c>
      <c r="X2534" s="21" t="s">
        <v>2276</v>
      </c>
      <c r="Y2534" s="21" t="s">
        <v>2276</v>
      </c>
      <c r="Z2534" s="21" t="s">
        <v>2276</v>
      </c>
      <c r="AA2534" s="21" t="s">
        <v>2276</v>
      </c>
      <c r="AB2534" s="21" t="s">
        <v>2276</v>
      </c>
      <c r="AC2534" s="4"/>
      <c r="AD2534" s="4"/>
    </row>
    <row r="2535" spans="1:30" s="204" customFormat="1" ht="31" customHeight="1">
      <c r="A2535" s="4" t="s">
        <v>6436</v>
      </c>
      <c r="B2535" s="4" t="s">
        <v>6683</v>
      </c>
      <c r="C2535" s="4" t="s">
        <v>24</v>
      </c>
      <c r="D2535" s="4" t="s">
        <v>1242</v>
      </c>
      <c r="E2535" s="4" t="s">
        <v>2649</v>
      </c>
      <c r="F2535" s="4" t="s">
        <v>74</v>
      </c>
      <c r="G2535" s="4" t="s">
        <v>74</v>
      </c>
      <c r="H2535" s="4" t="s">
        <v>523</v>
      </c>
      <c r="I2535" s="4"/>
      <c r="J2535" s="21" t="s">
        <v>2276</v>
      </c>
      <c r="K2535" s="21" t="s">
        <v>2276</v>
      </c>
      <c r="L2535" s="21" t="s">
        <v>2276</v>
      </c>
      <c r="M2535" s="21" t="s">
        <v>2276</v>
      </c>
      <c r="N2535" s="21" t="s">
        <v>2276</v>
      </c>
      <c r="O2535" s="21" t="s">
        <v>2276</v>
      </c>
      <c r="P2535" s="21" t="s">
        <v>2276</v>
      </c>
      <c r="Q2535" s="21" t="s">
        <v>2276</v>
      </c>
      <c r="R2535" s="21" t="s">
        <v>2276</v>
      </c>
      <c r="S2535" s="21" t="s">
        <v>2276</v>
      </c>
      <c r="T2535" s="21" t="s">
        <v>2276</v>
      </c>
      <c r="U2535" s="21" t="s">
        <v>2276</v>
      </c>
      <c r="V2535" s="21" t="s">
        <v>2276</v>
      </c>
      <c r="W2535" s="21" t="s">
        <v>2276</v>
      </c>
      <c r="X2535" s="21" t="s">
        <v>2276</v>
      </c>
      <c r="Y2535" s="21" t="s">
        <v>2276</v>
      </c>
      <c r="Z2535" s="21" t="s">
        <v>2276</v>
      </c>
      <c r="AA2535" s="21" t="s">
        <v>2276</v>
      </c>
      <c r="AB2535" s="21" t="s">
        <v>2276</v>
      </c>
      <c r="AC2535" s="4"/>
      <c r="AD2535" s="4"/>
    </row>
    <row r="2536" spans="1:30" ht="38" customHeight="1">
      <c r="A2536" s="4" t="s">
        <v>6437</v>
      </c>
      <c r="B2536" s="4" t="s">
        <v>6641</v>
      </c>
      <c r="C2536" s="4" t="s">
        <v>2458</v>
      </c>
      <c r="D2536" s="4" t="s">
        <v>2276</v>
      </c>
      <c r="E2536" s="4" t="s">
        <v>2652</v>
      </c>
      <c r="F2536" s="4" t="s">
        <v>74</v>
      </c>
      <c r="G2536" s="4" t="s">
        <v>74</v>
      </c>
      <c r="H2536" s="4" t="s">
        <v>523</v>
      </c>
      <c r="I2536" s="4"/>
      <c r="J2536" s="222">
        <v>1.1627906976744187E-5</v>
      </c>
      <c r="K2536" s="21" t="s">
        <v>2276</v>
      </c>
      <c r="L2536" s="21" t="s">
        <v>2276</v>
      </c>
      <c r="M2536" s="21" t="s">
        <v>2276</v>
      </c>
      <c r="N2536" s="21" t="s">
        <v>2276</v>
      </c>
      <c r="O2536" s="21" t="s">
        <v>2276</v>
      </c>
      <c r="P2536" s="75">
        <f>T2536/(23/16)</f>
        <v>2268.4310018903593</v>
      </c>
      <c r="Q2536" s="21" t="s">
        <v>2276</v>
      </c>
      <c r="R2536" s="21" t="s">
        <v>2276</v>
      </c>
      <c r="S2536" s="21" t="s">
        <v>2276</v>
      </c>
      <c r="T2536" s="75">
        <f>150000/46</f>
        <v>3260.8695652173915</v>
      </c>
      <c r="U2536" s="21" t="s">
        <v>2276</v>
      </c>
      <c r="V2536" s="21" t="s">
        <v>2276</v>
      </c>
      <c r="W2536" s="21" t="s">
        <v>2276</v>
      </c>
      <c r="X2536" s="75">
        <f>T2536/'Record info'!K$1053</f>
        <v>7.583417593528817E-2</v>
      </c>
      <c r="Y2536" s="21" t="s">
        <v>2276</v>
      </c>
      <c r="Z2536" s="4" t="s">
        <v>189</v>
      </c>
      <c r="AA2536" s="4" t="s">
        <v>68</v>
      </c>
      <c r="AB2536" s="4" t="s">
        <v>2276</v>
      </c>
      <c r="AC2536" s="4" t="s">
        <v>6610</v>
      </c>
      <c r="AD2536" s="4" t="s">
        <v>6611</v>
      </c>
    </row>
    <row r="2537" spans="1:30" ht="38" customHeight="1">
      <c r="A2537" s="4" t="s">
        <v>6437</v>
      </c>
      <c r="B2537" s="4" t="s">
        <v>6642</v>
      </c>
      <c r="C2537" s="4" t="s">
        <v>2656</v>
      </c>
      <c r="D2537" s="4" t="s">
        <v>2276</v>
      </c>
      <c r="E2537" s="4" t="s">
        <v>137</v>
      </c>
      <c r="F2537" s="4" t="s">
        <v>74</v>
      </c>
      <c r="G2537" s="4" t="s">
        <v>74</v>
      </c>
      <c r="H2537" s="4" t="s">
        <v>523</v>
      </c>
      <c r="I2537" s="4"/>
      <c r="J2537" s="222">
        <v>2.6188068756319516E-4</v>
      </c>
      <c r="K2537" s="21" t="s">
        <v>2276</v>
      </c>
      <c r="L2537" s="21" t="s">
        <v>2276</v>
      </c>
      <c r="M2537" s="21" t="s">
        <v>2276</v>
      </c>
      <c r="N2537" s="21" t="s">
        <v>2276</v>
      </c>
      <c r="O2537" s="21" t="s">
        <v>2276</v>
      </c>
      <c r="P2537" s="75">
        <f>T2537/(518/16)</f>
        <v>2283.0283699848915</v>
      </c>
      <c r="Q2537" s="21" t="s">
        <v>2276</v>
      </c>
      <c r="R2537" s="21" t="s">
        <v>2276</v>
      </c>
      <c r="S2537" s="21" t="s">
        <v>2276</v>
      </c>
      <c r="T2537" s="75">
        <f>3400000/46</f>
        <v>73913.043478260865</v>
      </c>
      <c r="U2537" s="21" t="s">
        <v>2276</v>
      </c>
      <c r="V2537" s="21" t="s">
        <v>2276</v>
      </c>
      <c r="W2537" s="21" t="s">
        <v>2276</v>
      </c>
      <c r="X2537" s="75">
        <f>T2537/'Record info'!K$1053</f>
        <v>1.7189079878665317</v>
      </c>
      <c r="Y2537" s="21" t="s">
        <v>2276</v>
      </c>
      <c r="Z2537" s="4" t="s">
        <v>189</v>
      </c>
      <c r="AA2537" s="4" t="s">
        <v>68</v>
      </c>
      <c r="AB2537" s="4" t="s">
        <v>2276</v>
      </c>
      <c r="AC2537" s="4" t="s">
        <v>6610</v>
      </c>
      <c r="AD2537" s="4" t="s">
        <v>6611</v>
      </c>
    </row>
    <row r="2538" spans="1:30" s="204" customFormat="1" ht="49" customHeight="1">
      <c r="A2538" s="4" t="s">
        <v>6437</v>
      </c>
      <c r="B2538" s="4" t="s">
        <v>7928</v>
      </c>
      <c r="C2538" s="4" t="s">
        <v>1105</v>
      </c>
      <c r="D2538" s="4" t="s">
        <v>2276</v>
      </c>
      <c r="E2538" s="4" t="s">
        <v>1105</v>
      </c>
      <c r="F2538" s="4" t="s">
        <v>74</v>
      </c>
      <c r="G2538" s="4" t="s">
        <v>74</v>
      </c>
      <c r="H2538" s="4" t="s">
        <v>523</v>
      </c>
      <c r="I2538" s="4"/>
      <c r="J2538" s="205" t="s">
        <v>2276</v>
      </c>
      <c r="K2538" s="205" t="s">
        <v>2276</v>
      </c>
      <c r="L2538" s="205" t="s">
        <v>2276</v>
      </c>
      <c r="M2538" s="205" t="s">
        <v>2276</v>
      </c>
      <c r="N2538" s="205" t="s">
        <v>2276</v>
      </c>
      <c r="O2538" s="205" t="s">
        <v>2276</v>
      </c>
      <c r="P2538" s="205" t="s">
        <v>2276</v>
      </c>
      <c r="Q2538" s="205" t="s">
        <v>2276</v>
      </c>
      <c r="R2538" s="205" t="s">
        <v>2276</v>
      </c>
      <c r="S2538" s="205" t="s">
        <v>2276</v>
      </c>
      <c r="T2538" s="205" t="s">
        <v>2276</v>
      </c>
      <c r="U2538" s="205" t="s">
        <v>2276</v>
      </c>
      <c r="V2538" s="205" t="s">
        <v>2276</v>
      </c>
      <c r="W2538" s="205" t="s">
        <v>2276</v>
      </c>
      <c r="X2538" s="205" t="s">
        <v>2276</v>
      </c>
      <c r="Y2538" s="205" t="s">
        <v>2276</v>
      </c>
      <c r="Z2538" s="4" t="s">
        <v>189</v>
      </c>
      <c r="AA2538" s="4" t="s">
        <v>68</v>
      </c>
      <c r="AB2538" s="4" t="s">
        <v>2276</v>
      </c>
      <c r="AC2538" s="4" t="s">
        <v>7931</v>
      </c>
      <c r="AD2538" s="4" t="s">
        <v>7930</v>
      </c>
    </row>
    <row r="2539" spans="1:30" ht="38" customHeight="1">
      <c r="A2539" s="4" t="s">
        <v>6438</v>
      </c>
      <c r="B2539" s="4" t="s">
        <v>6685</v>
      </c>
      <c r="C2539" s="4" t="s">
        <v>2458</v>
      </c>
      <c r="D2539" s="4" t="s">
        <v>2276</v>
      </c>
      <c r="E2539" s="4" t="s">
        <v>2649</v>
      </c>
      <c r="F2539" s="4" t="s">
        <v>74</v>
      </c>
      <c r="G2539" s="4" t="s">
        <v>74</v>
      </c>
      <c r="H2539" s="4" t="s">
        <v>523</v>
      </c>
      <c r="I2539" s="4"/>
      <c r="J2539" s="222">
        <v>1.4639515685195377E-4</v>
      </c>
      <c r="K2539" s="205" t="s">
        <v>2276</v>
      </c>
      <c r="L2539" s="205" t="s">
        <v>2276</v>
      </c>
      <c r="M2539" s="205" t="s">
        <v>2276</v>
      </c>
      <c r="N2539" s="205" t="s">
        <v>2276</v>
      </c>
      <c r="O2539" s="205" t="s">
        <v>2276</v>
      </c>
      <c r="P2539" s="75">
        <f>T2539/(532/46)</f>
        <v>4191.729323308271</v>
      </c>
      <c r="Q2539" s="205" t="s">
        <v>2276</v>
      </c>
      <c r="R2539" s="205" t="s">
        <v>2276</v>
      </c>
      <c r="S2539" s="205" t="s">
        <v>2276</v>
      </c>
      <c r="T2539" s="75">
        <f>2230000/46</f>
        <v>48478.260869565216</v>
      </c>
      <c r="U2539" s="205" t="s">
        <v>2276</v>
      </c>
      <c r="V2539" s="205" t="s">
        <v>2276</v>
      </c>
      <c r="W2539" s="205" t="s">
        <v>2276</v>
      </c>
      <c r="X2539" s="75">
        <f>T2539/'Record info'!K$1054</f>
        <v>0.61364887176664829</v>
      </c>
      <c r="Y2539" s="205" t="s">
        <v>2276</v>
      </c>
      <c r="Z2539" s="4" t="s">
        <v>189</v>
      </c>
      <c r="AA2539" s="4" t="s">
        <v>68</v>
      </c>
      <c r="AB2539" s="4" t="s">
        <v>2276</v>
      </c>
      <c r="AC2539" s="4" t="s">
        <v>6610</v>
      </c>
      <c r="AD2539" s="4" t="s">
        <v>6611</v>
      </c>
    </row>
    <row r="2540" spans="1:30" ht="38" customHeight="1">
      <c r="A2540" s="4" t="s">
        <v>6438</v>
      </c>
      <c r="B2540" s="4" t="s">
        <v>6686</v>
      </c>
      <c r="C2540" s="4" t="s">
        <v>2656</v>
      </c>
      <c r="D2540" s="4" t="s">
        <v>2276</v>
      </c>
      <c r="E2540" s="4" t="s">
        <v>2649</v>
      </c>
      <c r="F2540" s="4" t="s">
        <v>74</v>
      </c>
      <c r="G2540" s="4" t="s">
        <v>74</v>
      </c>
      <c r="H2540" s="4" t="s">
        <v>523</v>
      </c>
      <c r="I2540" s="4"/>
      <c r="J2540" s="222">
        <v>1.6895982388552558E-4</v>
      </c>
      <c r="K2540" s="205" t="s">
        <v>2276</v>
      </c>
      <c r="L2540" s="205" t="s">
        <v>2276</v>
      </c>
      <c r="M2540" s="205" t="s">
        <v>2276</v>
      </c>
      <c r="N2540" s="205" t="s">
        <v>2276</v>
      </c>
      <c r="O2540" s="205" t="s">
        <v>2276</v>
      </c>
      <c r="P2540" s="75">
        <f>T2540/(614/46)</f>
        <v>3257.328990228013</v>
      </c>
      <c r="Q2540" s="205" t="s">
        <v>2276</v>
      </c>
      <c r="R2540" s="205" t="s">
        <v>2276</v>
      </c>
      <c r="S2540" s="205" t="s">
        <v>2276</v>
      </c>
      <c r="T2540" s="75">
        <f>2000000/46</f>
        <v>43478.260869565216</v>
      </c>
      <c r="U2540" s="205" t="s">
        <v>2276</v>
      </c>
      <c r="V2540" s="205" t="s">
        <v>2276</v>
      </c>
      <c r="W2540" s="205" t="s">
        <v>2276</v>
      </c>
      <c r="X2540" s="75">
        <f>T2540/'Record info'!K$1054</f>
        <v>0.55035773252614195</v>
      </c>
      <c r="Y2540" s="205" t="s">
        <v>2276</v>
      </c>
      <c r="Z2540" s="4" t="s">
        <v>189</v>
      </c>
      <c r="AA2540" s="4" t="s">
        <v>68</v>
      </c>
      <c r="AB2540" s="4" t="s">
        <v>2276</v>
      </c>
      <c r="AC2540" s="4" t="s">
        <v>6610</v>
      </c>
      <c r="AD2540" s="4" t="s">
        <v>6611</v>
      </c>
    </row>
    <row r="2541" spans="1:30" s="204" customFormat="1" ht="44.5" customHeight="1">
      <c r="A2541" s="4" t="s">
        <v>6438</v>
      </c>
      <c r="B2541" s="4" t="s">
        <v>7929</v>
      </c>
      <c r="C2541" s="4" t="s">
        <v>1105</v>
      </c>
      <c r="D2541" s="4" t="s">
        <v>2276</v>
      </c>
      <c r="E2541" s="4" t="s">
        <v>1105</v>
      </c>
      <c r="F2541" s="4" t="s">
        <v>74</v>
      </c>
      <c r="G2541" s="4" t="s">
        <v>74</v>
      </c>
      <c r="H2541" s="4" t="s">
        <v>523</v>
      </c>
      <c r="I2541" s="205"/>
      <c r="J2541" s="205" t="s">
        <v>2276</v>
      </c>
      <c r="K2541" s="205" t="s">
        <v>2276</v>
      </c>
      <c r="L2541" s="205" t="s">
        <v>2276</v>
      </c>
      <c r="M2541" s="205" t="s">
        <v>2276</v>
      </c>
      <c r="N2541" s="205" t="s">
        <v>2276</v>
      </c>
      <c r="O2541" s="205" t="s">
        <v>2276</v>
      </c>
      <c r="P2541" s="205" t="s">
        <v>2276</v>
      </c>
      <c r="Q2541" s="205" t="s">
        <v>2276</v>
      </c>
      <c r="R2541" s="205" t="s">
        <v>2276</v>
      </c>
      <c r="S2541" s="205" t="s">
        <v>2276</v>
      </c>
      <c r="T2541" s="205" t="s">
        <v>2276</v>
      </c>
      <c r="U2541" s="205" t="s">
        <v>2276</v>
      </c>
      <c r="V2541" s="205" t="s">
        <v>2276</v>
      </c>
      <c r="W2541" s="205" t="s">
        <v>2276</v>
      </c>
      <c r="X2541" s="205" t="s">
        <v>2276</v>
      </c>
      <c r="Y2541" s="205" t="s">
        <v>2276</v>
      </c>
      <c r="Z2541" s="4" t="s">
        <v>189</v>
      </c>
      <c r="AA2541" s="4" t="s">
        <v>68</v>
      </c>
      <c r="AB2541" s="4" t="s">
        <v>2276</v>
      </c>
      <c r="AC2541" s="4" t="s">
        <v>7931</v>
      </c>
      <c r="AD2541" s="4" t="s">
        <v>7930</v>
      </c>
    </row>
    <row r="2542" spans="1:30" ht="34" customHeight="1">
      <c r="A2542" s="4" t="s">
        <v>6439</v>
      </c>
      <c r="B2542" s="4" t="s">
        <v>6643</v>
      </c>
      <c r="C2542" s="4" t="s">
        <v>1105</v>
      </c>
      <c r="D2542" s="4" t="s">
        <v>2276</v>
      </c>
      <c r="E2542" s="4" t="s">
        <v>2649</v>
      </c>
      <c r="F2542" s="4" t="s">
        <v>74</v>
      </c>
      <c r="G2542" s="4" t="s">
        <v>74</v>
      </c>
      <c r="H2542" s="4" t="s">
        <v>523</v>
      </c>
      <c r="I2542" s="4">
        <v>1989</v>
      </c>
      <c r="J2542" s="205" t="s">
        <v>2276</v>
      </c>
      <c r="K2542" s="205" t="s">
        <v>2276</v>
      </c>
      <c r="L2542" s="205" t="s">
        <v>2276</v>
      </c>
      <c r="M2542" s="205" t="s">
        <v>2276</v>
      </c>
      <c r="N2542" s="205" t="s">
        <v>2276</v>
      </c>
      <c r="O2542" s="205" t="s">
        <v>2276</v>
      </c>
      <c r="P2542" s="205" t="s">
        <v>2276</v>
      </c>
      <c r="Q2542" s="205" t="s">
        <v>2276</v>
      </c>
      <c r="R2542" s="205" t="s">
        <v>2276</v>
      </c>
      <c r="S2542" s="205" t="s">
        <v>2276</v>
      </c>
      <c r="T2542" s="75">
        <v>92285</v>
      </c>
      <c r="U2542" s="205" t="s">
        <v>2276</v>
      </c>
      <c r="V2542" s="205" t="s">
        <v>2276</v>
      </c>
      <c r="W2542" s="205" t="s">
        <v>2276</v>
      </c>
      <c r="X2542" s="75">
        <v>14.448880538594018</v>
      </c>
      <c r="Y2542" s="205" t="s">
        <v>2276</v>
      </c>
      <c r="Z2542" s="4" t="s">
        <v>2276</v>
      </c>
      <c r="AA2542" s="4" t="s">
        <v>2276</v>
      </c>
      <c r="AB2542" s="4" t="s">
        <v>2276</v>
      </c>
      <c r="AC2542" s="4"/>
      <c r="AD2542" s="4"/>
    </row>
    <row r="2543" spans="1:30" ht="34" customHeight="1">
      <c r="A2543" s="4" t="s">
        <v>6439</v>
      </c>
      <c r="B2543" s="4" t="s">
        <v>6644</v>
      </c>
      <c r="C2543" s="4" t="s">
        <v>1105</v>
      </c>
      <c r="D2543" s="4" t="s">
        <v>2276</v>
      </c>
      <c r="E2543" s="4" t="s">
        <v>2649</v>
      </c>
      <c r="F2543" s="4" t="s">
        <v>74</v>
      </c>
      <c r="G2543" s="4" t="s">
        <v>74</v>
      </c>
      <c r="H2543" s="4" t="s">
        <v>523</v>
      </c>
      <c r="I2543" s="4">
        <v>1990</v>
      </c>
      <c r="J2543" s="205" t="s">
        <v>2276</v>
      </c>
      <c r="K2543" s="205" t="s">
        <v>2276</v>
      </c>
      <c r="L2543" s="205" t="s">
        <v>2276</v>
      </c>
      <c r="M2543" s="205" t="s">
        <v>2276</v>
      </c>
      <c r="N2543" s="205" t="s">
        <v>2276</v>
      </c>
      <c r="O2543" s="205" t="s">
        <v>2276</v>
      </c>
      <c r="P2543" s="205" t="s">
        <v>2276</v>
      </c>
      <c r="Q2543" s="205" t="s">
        <v>2276</v>
      </c>
      <c r="R2543" s="205" t="s">
        <v>2276</v>
      </c>
      <c r="S2543" s="205" t="s">
        <v>2276</v>
      </c>
      <c r="T2543" s="75">
        <v>51141</v>
      </c>
      <c r="U2543" s="205" t="s">
        <v>2276</v>
      </c>
      <c r="V2543" s="205" t="s">
        <v>2276</v>
      </c>
      <c r="W2543" s="205" t="s">
        <v>2276</v>
      </c>
      <c r="X2543" s="75">
        <v>8.0070455612963833</v>
      </c>
      <c r="Y2543" s="205" t="s">
        <v>2276</v>
      </c>
      <c r="Z2543" s="4" t="s">
        <v>2276</v>
      </c>
      <c r="AA2543" s="4" t="s">
        <v>2276</v>
      </c>
      <c r="AB2543" s="4" t="s">
        <v>2276</v>
      </c>
      <c r="AC2543" s="4"/>
      <c r="AD2543" s="4"/>
    </row>
    <row r="2544" spans="1:30" ht="34" customHeight="1">
      <c r="A2544" s="4" t="s">
        <v>6439</v>
      </c>
      <c r="B2544" s="4" t="s">
        <v>6645</v>
      </c>
      <c r="C2544" s="4" t="s">
        <v>1105</v>
      </c>
      <c r="D2544" s="4" t="s">
        <v>2276</v>
      </c>
      <c r="E2544" s="4" t="s">
        <v>2649</v>
      </c>
      <c r="F2544" s="4" t="s">
        <v>74</v>
      </c>
      <c r="G2544" s="4" t="s">
        <v>74</v>
      </c>
      <c r="H2544" s="4" t="s">
        <v>523</v>
      </c>
      <c r="I2544" s="4">
        <v>1991</v>
      </c>
      <c r="J2544" s="205" t="s">
        <v>2276</v>
      </c>
      <c r="K2544" s="205" t="s">
        <v>2276</v>
      </c>
      <c r="L2544" s="205" t="s">
        <v>2276</v>
      </c>
      <c r="M2544" s="205" t="s">
        <v>2276</v>
      </c>
      <c r="N2544" s="205" t="s">
        <v>2276</v>
      </c>
      <c r="O2544" s="205" t="s">
        <v>2276</v>
      </c>
      <c r="P2544" s="205" t="s">
        <v>2276</v>
      </c>
      <c r="Q2544" s="205" t="s">
        <v>2276</v>
      </c>
      <c r="R2544" s="205" t="s">
        <v>2276</v>
      </c>
      <c r="S2544" s="205" t="s">
        <v>2276</v>
      </c>
      <c r="T2544" s="75">
        <v>42741</v>
      </c>
      <c r="U2544" s="205" t="s">
        <v>2276</v>
      </c>
      <c r="V2544" s="205" t="s">
        <v>2276</v>
      </c>
      <c r="W2544" s="205" t="s">
        <v>2276</v>
      </c>
      <c r="X2544" s="75">
        <v>6.6918741193048383</v>
      </c>
      <c r="Y2544" s="205" t="s">
        <v>2276</v>
      </c>
      <c r="Z2544" s="4" t="s">
        <v>2276</v>
      </c>
      <c r="AA2544" s="4" t="s">
        <v>2276</v>
      </c>
      <c r="AB2544" s="4" t="s">
        <v>2276</v>
      </c>
      <c r="AC2544" s="4"/>
      <c r="AD2544" s="4"/>
    </row>
    <row r="2545" spans="1:30" ht="34" customHeight="1">
      <c r="A2545" s="4" t="s">
        <v>6440</v>
      </c>
      <c r="B2545" s="4" t="s">
        <v>6646</v>
      </c>
      <c r="C2545" s="4" t="s">
        <v>24</v>
      </c>
      <c r="D2545" s="4" t="s">
        <v>1242</v>
      </c>
      <c r="E2545" s="4" t="s">
        <v>2649</v>
      </c>
      <c r="F2545" s="4" t="s">
        <v>74</v>
      </c>
      <c r="G2545" s="4" t="s">
        <v>74</v>
      </c>
      <c r="H2545" s="4" t="s">
        <v>523</v>
      </c>
      <c r="I2545" s="4"/>
      <c r="J2545" s="75">
        <f>T2545/P2545/'Record info'!K1056</f>
        <v>1.4983277591973246E-2</v>
      </c>
      <c r="K2545" s="205" t="s">
        <v>2276</v>
      </c>
      <c r="L2545" s="75">
        <v>0.2</v>
      </c>
      <c r="M2545" s="205" t="s">
        <v>2276</v>
      </c>
      <c r="N2545" s="75">
        <v>152</v>
      </c>
      <c r="O2545" s="205" t="s">
        <v>2276</v>
      </c>
      <c r="P2545" s="75">
        <v>25</v>
      </c>
      <c r="Q2545" s="205" t="s">
        <v>2276</v>
      </c>
      <c r="R2545" s="205" t="s">
        <v>2276</v>
      </c>
      <c r="S2545" s="205" t="s">
        <v>2276</v>
      </c>
      <c r="T2545" s="75">
        <f>11200/50</f>
        <v>224</v>
      </c>
      <c r="U2545" s="205" t="s">
        <v>2276</v>
      </c>
      <c r="V2545" s="205" t="s">
        <v>2276</v>
      </c>
      <c r="W2545" s="205" t="s">
        <v>2276</v>
      </c>
      <c r="X2545" s="75">
        <f>18.7/50</f>
        <v>0.374</v>
      </c>
      <c r="Y2545" s="205" t="s">
        <v>2276</v>
      </c>
      <c r="Z2545" s="4" t="s">
        <v>34</v>
      </c>
      <c r="AA2545" s="4" t="s">
        <v>405</v>
      </c>
      <c r="AB2545" s="4" t="s">
        <v>64</v>
      </c>
      <c r="AC2545" s="4"/>
      <c r="AD2545" s="4" t="s">
        <v>6612</v>
      </c>
    </row>
    <row r="2546" spans="1:30" ht="34" customHeight="1">
      <c r="A2546" s="4" t="s">
        <v>6441</v>
      </c>
      <c r="B2546" s="4" t="s">
        <v>6647</v>
      </c>
      <c r="C2546" s="4" t="s">
        <v>24</v>
      </c>
      <c r="D2546" s="4" t="s">
        <v>1242</v>
      </c>
      <c r="E2546" s="4" t="s">
        <v>2649</v>
      </c>
      <c r="F2546" s="4" t="s">
        <v>74</v>
      </c>
      <c r="G2546" s="4" t="s">
        <v>74</v>
      </c>
      <c r="H2546" s="4" t="s">
        <v>523</v>
      </c>
      <c r="I2546" s="4"/>
      <c r="J2546" s="75">
        <v>1.5260675923500131E-3</v>
      </c>
      <c r="K2546" s="205" t="s">
        <v>2276</v>
      </c>
      <c r="L2546" s="205" t="s">
        <v>2276</v>
      </c>
      <c r="M2546" s="205" t="s">
        <v>2276</v>
      </c>
      <c r="N2546" s="205" t="s">
        <v>2276</v>
      </c>
      <c r="O2546" s="205" t="s">
        <v>2276</v>
      </c>
      <c r="P2546" s="75">
        <v>12</v>
      </c>
      <c r="Q2546" s="205" t="s">
        <v>2276</v>
      </c>
      <c r="R2546" s="75">
        <v>7.5</v>
      </c>
      <c r="S2546" s="205" t="s">
        <v>2276</v>
      </c>
      <c r="T2546" s="75">
        <v>6141</v>
      </c>
      <c r="U2546" s="205" t="s">
        <v>2276</v>
      </c>
      <c r="V2546" s="75">
        <v>2.0110689022792769E-4</v>
      </c>
      <c r="W2546" s="205" t="s">
        <v>2276</v>
      </c>
      <c r="X2546" s="205" t="s">
        <v>2276</v>
      </c>
      <c r="Y2546" s="205" t="s">
        <v>2276</v>
      </c>
      <c r="Z2546" s="4" t="s">
        <v>2276</v>
      </c>
      <c r="AA2546" s="4" t="s">
        <v>2276</v>
      </c>
      <c r="AB2546" s="4" t="s">
        <v>2276</v>
      </c>
      <c r="AC2546" s="4"/>
      <c r="AD2546" s="4"/>
    </row>
    <row r="2547" spans="1:30" ht="34" customHeight="1">
      <c r="A2547" s="4" t="s">
        <v>6441</v>
      </c>
      <c r="B2547" s="4" t="s">
        <v>6648</v>
      </c>
      <c r="C2547" s="4" t="s">
        <v>2656</v>
      </c>
      <c r="D2547" s="4" t="s">
        <v>2276</v>
      </c>
      <c r="E2547" s="4" t="s">
        <v>2649</v>
      </c>
      <c r="F2547" s="4" t="s">
        <v>74</v>
      </c>
      <c r="G2547" s="4" t="s">
        <v>74</v>
      </c>
      <c r="H2547" s="4" t="s">
        <v>523</v>
      </c>
      <c r="I2547" s="4"/>
      <c r="J2547" s="75">
        <v>2.9473408435944457E-3</v>
      </c>
      <c r="K2547" s="205" t="s">
        <v>2276</v>
      </c>
      <c r="L2547" s="205" t="s">
        <v>2276</v>
      </c>
      <c r="M2547" s="205" t="s">
        <v>2276</v>
      </c>
      <c r="N2547" s="205" t="s">
        <v>2276</v>
      </c>
      <c r="O2547" s="205" t="s">
        <v>2276</v>
      </c>
      <c r="P2547" s="75">
        <v>3.5</v>
      </c>
      <c r="Q2547" s="205" t="s">
        <v>2276</v>
      </c>
      <c r="R2547" s="75">
        <v>1</v>
      </c>
      <c r="S2547" s="205" t="s">
        <v>2276</v>
      </c>
      <c r="T2547" s="75">
        <v>14301</v>
      </c>
      <c r="U2547" s="205" t="s">
        <v>2276</v>
      </c>
      <c r="V2547" s="75">
        <v>4.6833246004715745E-4</v>
      </c>
      <c r="W2547" s="205" t="s">
        <v>2276</v>
      </c>
      <c r="X2547" s="205" t="s">
        <v>2276</v>
      </c>
      <c r="Y2547" s="205" t="s">
        <v>2276</v>
      </c>
      <c r="Z2547" s="4" t="s">
        <v>2276</v>
      </c>
      <c r="AA2547" s="4" t="s">
        <v>2276</v>
      </c>
      <c r="AB2547" s="4" t="s">
        <v>2276</v>
      </c>
      <c r="AC2547" s="4"/>
      <c r="AD2547" s="4"/>
    </row>
    <row r="2548" spans="1:30" ht="123" customHeight="1">
      <c r="A2548" s="19" t="s">
        <v>7069</v>
      </c>
      <c r="B2548" s="19" t="s">
        <v>7071</v>
      </c>
      <c r="C2548" s="205" t="s">
        <v>24</v>
      </c>
      <c r="D2548" s="205" t="s">
        <v>25</v>
      </c>
      <c r="E2548" s="205" t="s">
        <v>45</v>
      </c>
      <c r="F2548" s="4" t="s">
        <v>29</v>
      </c>
      <c r="G2548" s="4" t="s">
        <v>29</v>
      </c>
      <c r="H2548" s="4" t="s">
        <v>523</v>
      </c>
      <c r="I2548" s="205"/>
      <c r="J2548" s="205" t="s">
        <v>2276</v>
      </c>
      <c r="K2548" s="205" t="s">
        <v>2276</v>
      </c>
      <c r="L2548" s="205" t="s">
        <v>2276</v>
      </c>
      <c r="M2548" s="205" t="s">
        <v>2276</v>
      </c>
      <c r="N2548" s="205" t="s">
        <v>2276</v>
      </c>
      <c r="O2548" s="205" t="s">
        <v>2276</v>
      </c>
      <c r="P2548" s="205" t="s">
        <v>2276</v>
      </c>
      <c r="Q2548" s="205" t="s">
        <v>2276</v>
      </c>
      <c r="R2548" s="205" t="s">
        <v>2276</v>
      </c>
      <c r="S2548" s="205" t="s">
        <v>2276</v>
      </c>
      <c r="T2548" s="205" t="s">
        <v>2276</v>
      </c>
      <c r="U2548" s="205" t="s">
        <v>2276</v>
      </c>
      <c r="V2548" s="205" t="s">
        <v>2276</v>
      </c>
      <c r="W2548" s="205" t="s">
        <v>2276</v>
      </c>
      <c r="X2548" s="205" t="s">
        <v>2276</v>
      </c>
      <c r="Y2548" s="205" t="s">
        <v>2276</v>
      </c>
      <c r="Z2548" s="205" t="s">
        <v>405</v>
      </c>
      <c r="AA2548" s="205" t="s">
        <v>425</v>
      </c>
      <c r="AB2548" s="4" t="s">
        <v>64</v>
      </c>
      <c r="AC2548" s="205"/>
      <c r="AD2548" s="4" t="s">
        <v>7076</v>
      </c>
    </row>
    <row r="2549" spans="1:30" ht="73" customHeight="1">
      <c r="A2549" s="19" t="s">
        <v>7069</v>
      </c>
      <c r="B2549" s="19" t="s">
        <v>7072</v>
      </c>
      <c r="C2549" s="205" t="s">
        <v>24</v>
      </c>
      <c r="D2549" s="205" t="s">
        <v>25</v>
      </c>
      <c r="E2549" s="205" t="s">
        <v>2647</v>
      </c>
      <c r="F2549" s="4" t="s">
        <v>29</v>
      </c>
      <c r="G2549" s="4" t="s">
        <v>29</v>
      </c>
      <c r="H2549" s="4" t="s">
        <v>523</v>
      </c>
      <c r="I2549" s="205"/>
      <c r="J2549" s="205" t="s">
        <v>2276</v>
      </c>
      <c r="K2549" s="205" t="s">
        <v>2276</v>
      </c>
      <c r="L2549" s="205" t="s">
        <v>2276</v>
      </c>
      <c r="M2549" s="205" t="s">
        <v>2276</v>
      </c>
      <c r="N2549" s="205" t="s">
        <v>2276</v>
      </c>
      <c r="O2549" s="205" t="s">
        <v>2276</v>
      </c>
      <c r="P2549" s="205" t="s">
        <v>2276</v>
      </c>
      <c r="Q2549" s="205" t="s">
        <v>2276</v>
      </c>
      <c r="R2549" s="205" t="s">
        <v>2276</v>
      </c>
      <c r="S2549" s="205" t="s">
        <v>2276</v>
      </c>
      <c r="T2549" s="205" t="s">
        <v>2276</v>
      </c>
      <c r="U2549" s="205" t="s">
        <v>2276</v>
      </c>
      <c r="V2549" s="205" t="s">
        <v>2276</v>
      </c>
      <c r="W2549" s="205" t="s">
        <v>2276</v>
      </c>
      <c r="X2549" s="205" t="s">
        <v>2276</v>
      </c>
      <c r="Y2549" s="205" t="s">
        <v>2276</v>
      </c>
      <c r="Z2549" s="205" t="s">
        <v>405</v>
      </c>
      <c r="AA2549" s="205" t="s">
        <v>425</v>
      </c>
      <c r="AB2549" s="4" t="s">
        <v>64</v>
      </c>
      <c r="AC2549" s="205"/>
      <c r="AD2549" s="4"/>
    </row>
    <row r="2550" spans="1:30" ht="123" customHeight="1">
      <c r="A2550" s="19" t="s">
        <v>7069</v>
      </c>
      <c r="B2550" s="19" t="s">
        <v>7073</v>
      </c>
      <c r="C2550" s="205" t="s">
        <v>2458</v>
      </c>
      <c r="D2550" s="205" t="s">
        <v>25</v>
      </c>
      <c r="E2550" s="205" t="s">
        <v>45</v>
      </c>
      <c r="F2550" s="4" t="s">
        <v>29</v>
      </c>
      <c r="G2550" s="205" t="s">
        <v>160</v>
      </c>
      <c r="H2550" s="4" t="s">
        <v>523</v>
      </c>
      <c r="I2550" s="205"/>
      <c r="J2550" s="205" t="s">
        <v>2276</v>
      </c>
      <c r="K2550" s="205" t="s">
        <v>2276</v>
      </c>
      <c r="L2550" s="205" t="s">
        <v>2276</v>
      </c>
      <c r="M2550" s="205" t="s">
        <v>2276</v>
      </c>
      <c r="N2550" s="205" t="s">
        <v>2276</v>
      </c>
      <c r="O2550" s="205" t="s">
        <v>2276</v>
      </c>
      <c r="P2550" s="205" t="s">
        <v>2276</v>
      </c>
      <c r="Q2550" s="205" t="s">
        <v>2276</v>
      </c>
      <c r="R2550" s="205" t="s">
        <v>2276</v>
      </c>
      <c r="S2550" s="205" t="s">
        <v>2276</v>
      </c>
      <c r="T2550" s="205" t="s">
        <v>2276</v>
      </c>
      <c r="U2550" s="205" t="s">
        <v>2276</v>
      </c>
      <c r="V2550" s="205" t="s">
        <v>2276</v>
      </c>
      <c r="W2550" s="205" t="s">
        <v>2276</v>
      </c>
      <c r="X2550" s="205" t="s">
        <v>2276</v>
      </c>
      <c r="Y2550" s="205" t="s">
        <v>2276</v>
      </c>
      <c r="Z2550" s="205" t="s">
        <v>405</v>
      </c>
      <c r="AA2550" s="205" t="s">
        <v>425</v>
      </c>
      <c r="AB2550" s="4" t="s">
        <v>64</v>
      </c>
      <c r="AC2550" s="4" t="s">
        <v>7078</v>
      </c>
      <c r="AD2550" s="4" t="s">
        <v>7077</v>
      </c>
    </row>
    <row r="2551" spans="1:30" ht="71" customHeight="1">
      <c r="A2551" s="19" t="s">
        <v>7069</v>
      </c>
      <c r="B2551" s="19" t="s">
        <v>7074</v>
      </c>
      <c r="C2551" s="205" t="s">
        <v>2458</v>
      </c>
      <c r="D2551" s="205" t="s">
        <v>25</v>
      </c>
      <c r="E2551" s="205" t="s">
        <v>2647</v>
      </c>
      <c r="F2551" s="4" t="s">
        <v>29</v>
      </c>
      <c r="G2551" s="205" t="s">
        <v>160</v>
      </c>
      <c r="H2551" s="4" t="s">
        <v>523</v>
      </c>
      <c r="I2551" s="205"/>
      <c r="J2551" s="205" t="s">
        <v>2276</v>
      </c>
      <c r="K2551" s="205" t="s">
        <v>2276</v>
      </c>
      <c r="L2551" s="205" t="s">
        <v>2276</v>
      </c>
      <c r="M2551" s="205" t="s">
        <v>2276</v>
      </c>
      <c r="N2551" s="205" t="s">
        <v>2276</v>
      </c>
      <c r="O2551" s="205" t="s">
        <v>2276</v>
      </c>
      <c r="P2551" s="205" t="s">
        <v>2276</v>
      </c>
      <c r="Q2551" s="205" t="s">
        <v>2276</v>
      </c>
      <c r="R2551" s="205" t="s">
        <v>2276</v>
      </c>
      <c r="S2551" s="205" t="s">
        <v>2276</v>
      </c>
      <c r="T2551" s="205" t="s">
        <v>2276</v>
      </c>
      <c r="U2551" s="205" t="s">
        <v>2276</v>
      </c>
      <c r="V2551" s="205" t="s">
        <v>2276</v>
      </c>
      <c r="W2551" s="205" t="s">
        <v>2276</v>
      </c>
      <c r="X2551" s="205" t="s">
        <v>2276</v>
      </c>
      <c r="Y2551" s="205" t="s">
        <v>2276</v>
      </c>
      <c r="Z2551" s="205" t="s">
        <v>405</v>
      </c>
      <c r="AA2551" s="205" t="s">
        <v>425</v>
      </c>
      <c r="AB2551" s="4" t="s">
        <v>64</v>
      </c>
      <c r="AC2551" s="205"/>
      <c r="AD2551" s="205"/>
    </row>
    <row r="2552" spans="1:30" ht="55.5" customHeight="1">
      <c r="A2552" s="19" t="s">
        <v>7080</v>
      </c>
      <c r="B2552" s="19" t="s">
        <v>7084</v>
      </c>
      <c r="C2552" s="205" t="s">
        <v>24</v>
      </c>
      <c r="D2552" s="205" t="s">
        <v>2231</v>
      </c>
      <c r="E2552" s="205" t="s">
        <v>84</v>
      </c>
      <c r="F2552" s="4" t="s">
        <v>2662</v>
      </c>
      <c r="G2552" s="4" t="s">
        <v>2662</v>
      </c>
      <c r="H2552" s="4" t="s">
        <v>523</v>
      </c>
      <c r="I2552" s="205"/>
      <c r="J2552" s="205" t="s">
        <v>2276</v>
      </c>
      <c r="K2552" s="205" t="s">
        <v>2276</v>
      </c>
      <c r="L2552" s="205" t="s">
        <v>2276</v>
      </c>
      <c r="M2552" s="205" t="s">
        <v>2276</v>
      </c>
      <c r="N2552" s="205" t="s">
        <v>2276</v>
      </c>
      <c r="O2552" s="205" t="s">
        <v>2276</v>
      </c>
      <c r="P2552" s="205" t="s">
        <v>2276</v>
      </c>
      <c r="Q2552" s="205" t="s">
        <v>2276</v>
      </c>
      <c r="R2552" s="205" t="s">
        <v>2276</v>
      </c>
      <c r="S2552" s="205" t="s">
        <v>2276</v>
      </c>
      <c r="T2552" s="205" t="s">
        <v>2276</v>
      </c>
      <c r="U2552" s="205" t="s">
        <v>2276</v>
      </c>
      <c r="V2552" s="21">
        <v>34</v>
      </c>
      <c r="W2552" s="205" t="s">
        <v>2276</v>
      </c>
      <c r="X2552" s="21">
        <f>100*534/'Record info'!K1060</f>
        <v>1.5602629656683711</v>
      </c>
      <c r="Y2552" s="205" t="s">
        <v>2276</v>
      </c>
      <c r="Z2552" s="205" t="s">
        <v>2276</v>
      </c>
      <c r="AA2552" s="205" t="s">
        <v>2276</v>
      </c>
      <c r="AB2552" s="205" t="s">
        <v>2276</v>
      </c>
      <c r="AC2552" s="4" t="s">
        <v>7086</v>
      </c>
      <c r="AD2552" s="205"/>
    </row>
    <row r="2553" spans="1:30" ht="50" customHeight="1">
      <c r="A2553" s="19" t="s">
        <v>7080</v>
      </c>
      <c r="B2553" s="19" t="s">
        <v>7085</v>
      </c>
      <c r="C2553" s="205" t="s">
        <v>24</v>
      </c>
      <c r="D2553" s="205" t="s">
        <v>25</v>
      </c>
      <c r="E2553" s="205" t="s">
        <v>45</v>
      </c>
      <c r="F2553" s="4" t="s">
        <v>29</v>
      </c>
      <c r="G2553" s="205" t="s">
        <v>29</v>
      </c>
      <c r="H2553" s="4" t="s">
        <v>523</v>
      </c>
      <c r="I2553" s="205"/>
      <c r="J2553" s="205" t="s">
        <v>2276</v>
      </c>
      <c r="K2553" s="205" t="s">
        <v>2276</v>
      </c>
      <c r="L2553" s="205" t="s">
        <v>2276</v>
      </c>
      <c r="M2553" s="205" t="s">
        <v>2276</v>
      </c>
      <c r="N2553" s="205" t="s">
        <v>2276</v>
      </c>
      <c r="O2553" s="205" t="s">
        <v>2276</v>
      </c>
      <c r="P2553" s="205" t="s">
        <v>2276</v>
      </c>
      <c r="Q2553" s="205" t="s">
        <v>2276</v>
      </c>
      <c r="R2553" s="205" t="s">
        <v>2276</v>
      </c>
      <c r="S2553" s="205" t="s">
        <v>2276</v>
      </c>
      <c r="T2553" s="205" t="s">
        <v>2276</v>
      </c>
      <c r="U2553" s="205" t="s">
        <v>2276</v>
      </c>
      <c r="V2553" s="205" t="s">
        <v>2276</v>
      </c>
      <c r="W2553" s="205" t="s">
        <v>2276</v>
      </c>
      <c r="X2553" s="21">
        <f>100*938/'Record info'!K1060</f>
        <v>2.7406866325785244</v>
      </c>
      <c r="Y2553" s="205" t="s">
        <v>2276</v>
      </c>
      <c r="Z2553" s="205" t="s">
        <v>2276</v>
      </c>
      <c r="AA2553" s="205" t="s">
        <v>2276</v>
      </c>
      <c r="AB2553" s="205" t="s">
        <v>2276</v>
      </c>
      <c r="AC2553" s="4" t="s">
        <v>7088</v>
      </c>
      <c r="AD2553" s="205"/>
    </row>
    <row r="2554" spans="1:30" ht="49" customHeight="1">
      <c r="A2554" s="19" t="s">
        <v>7080</v>
      </c>
      <c r="B2554" s="19" t="s">
        <v>7085</v>
      </c>
      <c r="C2554" s="205" t="s">
        <v>2458</v>
      </c>
      <c r="D2554" s="205" t="s">
        <v>25</v>
      </c>
      <c r="E2554" s="205" t="s">
        <v>2647</v>
      </c>
      <c r="F2554" s="4" t="s">
        <v>29</v>
      </c>
      <c r="G2554" s="205" t="s">
        <v>74</v>
      </c>
      <c r="H2554" s="4" t="s">
        <v>523</v>
      </c>
      <c r="I2554" s="205"/>
      <c r="J2554" s="205" t="s">
        <v>2276</v>
      </c>
      <c r="K2554" s="205" t="s">
        <v>2276</v>
      </c>
      <c r="L2554" s="205" t="s">
        <v>2276</v>
      </c>
      <c r="M2554" s="205" t="s">
        <v>2276</v>
      </c>
      <c r="N2554" s="205" t="s">
        <v>2276</v>
      </c>
      <c r="O2554" s="205" t="s">
        <v>2276</v>
      </c>
      <c r="P2554" s="205" t="s">
        <v>2276</v>
      </c>
      <c r="Q2554" s="205" t="s">
        <v>2276</v>
      </c>
      <c r="R2554" s="205" t="s">
        <v>2276</v>
      </c>
      <c r="S2554" s="205" t="s">
        <v>2276</v>
      </c>
      <c r="T2554" s="205" t="s">
        <v>2276</v>
      </c>
      <c r="U2554" s="205" t="s">
        <v>2276</v>
      </c>
      <c r="V2554" s="21">
        <f>100 * 180 / ('Record info'!K1060*'Land use'!R1060/100)</f>
        <v>0.92524000302366016</v>
      </c>
      <c r="W2554" s="205" t="s">
        <v>2276</v>
      </c>
      <c r="X2554" s="21">
        <f>100 * 180 / 'Record info'!K1060</f>
        <v>0.52593133674214754</v>
      </c>
      <c r="Y2554" s="205" t="s">
        <v>2276</v>
      </c>
      <c r="Z2554" s="205" t="s">
        <v>2276</v>
      </c>
      <c r="AA2554" s="205" t="s">
        <v>2276</v>
      </c>
      <c r="AB2554" s="205" t="s">
        <v>2276</v>
      </c>
      <c r="AC2554" s="4" t="s">
        <v>7087</v>
      </c>
      <c r="AD2554" s="205"/>
    </row>
    <row r="2555" spans="1:30" ht="60.5" customHeight="1">
      <c r="A2555" s="19" t="s">
        <v>7090</v>
      </c>
      <c r="B2555" s="19" t="s">
        <v>7091</v>
      </c>
      <c r="C2555" s="205" t="s">
        <v>24</v>
      </c>
      <c r="D2555" s="205" t="s">
        <v>143</v>
      </c>
      <c r="E2555" s="205" t="s">
        <v>45</v>
      </c>
      <c r="F2555" s="205" t="s">
        <v>74</v>
      </c>
      <c r="G2555" s="205" t="s">
        <v>74</v>
      </c>
      <c r="H2555" s="4" t="s">
        <v>523</v>
      </c>
      <c r="I2555" s="205"/>
      <c r="J2555" s="205" t="s">
        <v>2276</v>
      </c>
      <c r="K2555" s="205" t="s">
        <v>2276</v>
      </c>
      <c r="L2555" s="205" t="s">
        <v>2276</v>
      </c>
      <c r="M2555" s="205" t="s">
        <v>2276</v>
      </c>
      <c r="N2555" s="205" t="s">
        <v>2276</v>
      </c>
      <c r="O2555" s="205" t="s">
        <v>2276</v>
      </c>
      <c r="P2555" s="14">
        <v>333</v>
      </c>
      <c r="Q2555" s="205" t="s">
        <v>2276</v>
      </c>
      <c r="R2555" s="205" t="s">
        <v>2276</v>
      </c>
      <c r="S2555" s="205" t="s">
        <v>2276</v>
      </c>
      <c r="T2555" s="205" t="s">
        <v>2276</v>
      </c>
      <c r="U2555" s="205" t="s">
        <v>2276</v>
      </c>
      <c r="V2555" s="205" t="s">
        <v>2276</v>
      </c>
      <c r="W2555" s="205" t="s">
        <v>2276</v>
      </c>
      <c r="X2555" s="205" t="s">
        <v>2276</v>
      </c>
      <c r="Y2555" s="205" t="s">
        <v>2276</v>
      </c>
      <c r="Z2555" s="205" t="s">
        <v>2276</v>
      </c>
      <c r="AA2555" s="205" t="s">
        <v>2276</v>
      </c>
      <c r="AB2555" s="205" t="s">
        <v>2276</v>
      </c>
      <c r="AC2555" s="4" t="s">
        <v>7094</v>
      </c>
      <c r="AD2555" s="4" t="s">
        <v>7099</v>
      </c>
    </row>
    <row r="2556" spans="1:30" ht="65.5" customHeight="1">
      <c r="A2556" s="19" t="s">
        <v>7090</v>
      </c>
      <c r="B2556" s="19" t="s">
        <v>7092</v>
      </c>
      <c r="C2556" s="205" t="s">
        <v>24</v>
      </c>
      <c r="D2556" s="205" t="s">
        <v>143</v>
      </c>
      <c r="E2556" s="205" t="s">
        <v>84</v>
      </c>
      <c r="F2556" s="205" t="s">
        <v>74</v>
      </c>
      <c r="G2556" s="205" t="s">
        <v>74</v>
      </c>
      <c r="H2556" s="4" t="s">
        <v>523</v>
      </c>
      <c r="I2556" s="205"/>
      <c r="J2556" s="178" t="s">
        <v>2276</v>
      </c>
      <c r="K2556" s="205" t="s">
        <v>2276</v>
      </c>
      <c r="L2556" s="205" t="s">
        <v>2276</v>
      </c>
      <c r="M2556" s="205" t="s">
        <v>2276</v>
      </c>
      <c r="N2556" s="205" t="s">
        <v>2276</v>
      </c>
      <c r="O2556" s="205" t="s">
        <v>2276</v>
      </c>
      <c r="P2556" s="205" t="s">
        <v>2276</v>
      </c>
      <c r="Q2556" s="205" t="s">
        <v>2276</v>
      </c>
      <c r="R2556" s="205" t="s">
        <v>2276</v>
      </c>
      <c r="S2556" s="205" t="s">
        <v>2276</v>
      </c>
      <c r="T2556" s="205" t="s">
        <v>2276</v>
      </c>
      <c r="U2556" s="205" t="s">
        <v>2276</v>
      </c>
      <c r="V2556" s="205" t="s">
        <v>2276</v>
      </c>
      <c r="W2556" s="205" t="s">
        <v>2276</v>
      </c>
      <c r="X2556" s="205" t="s">
        <v>2276</v>
      </c>
      <c r="Y2556" s="205" t="s">
        <v>2276</v>
      </c>
      <c r="Z2556" s="205" t="s">
        <v>2276</v>
      </c>
      <c r="AA2556" s="205" t="s">
        <v>2276</v>
      </c>
      <c r="AB2556" s="205" t="s">
        <v>2276</v>
      </c>
      <c r="AC2556" s="4" t="s">
        <v>7094</v>
      </c>
      <c r="AD2556" s="4" t="s">
        <v>7093</v>
      </c>
    </row>
    <row r="2557" spans="1:30" ht="44.5" customHeight="1">
      <c r="A2557" s="19" t="s">
        <v>7096</v>
      </c>
      <c r="B2557" s="19" t="s">
        <v>7101</v>
      </c>
      <c r="C2557" s="205" t="s">
        <v>24</v>
      </c>
      <c r="D2557" s="205" t="s">
        <v>144</v>
      </c>
      <c r="E2557" s="205" t="s">
        <v>137</v>
      </c>
      <c r="F2557" s="4" t="s">
        <v>55</v>
      </c>
      <c r="G2557" s="4" t="s">
        <v>55</v>
      </c>
      <c r="H2557" s="4" t="s">
        <v>523</v>
      </c>
      <c r="I2557" s="205"/>
      <c r="J2557" s="205" t="s">
        <v>2276</v>
      </c>
      <c r="K2557" s="205" t="s">
        <v>2276</v>
      </c>
      <c r="L2557" s="205" t="s">
        <v>2276</v>
      </c>
      <c r="M2557" s="205" t="s">
        <v>2276</v>
      </c>
      <c r="N2557" s="205" t="s">
        <v>2276</v>
      </c>
      <c r="O2557" s="205" t="s">
        <v>2276</v>
      </c>
      <c r="P2557" s="205" t="s">
        <v>2276</v>
      </c>
      <c r="Q2557" s="205" t="s">
        <v>2276</v>
      </c>
      <c r="R2557" s="205" t="s">
        <v>2276</v>
      </c>
      <c r="S2557" s="205" t="s">
        <v>2276</v>
      </c>
      <c r="T2557" s="205" t="s">
        <v>2276</v>
      </c>
      <c r="U2557" s="205" t="s">
        <v>2276</v>
      </c>
      <c r="V2557" s="205" t="s">
        <v>2276</v>
      </c>
      <c r="W2557" s="205" t="s">
        <v>2276</v>
      </c>
      <c r="X2557" s="205" t="s">
        <v>2276</v>
      </c>
      <c r="Y2557" s="205" t="s">
        <v>2276</v>
      </c>
      <c r="Z2557" s="205" t="s">
        <v>2276</v>
      </c>
      <c r="AA2557" s="205" t="s">
        <v>2276</v>
      </c>
      <c r="AB2557" s="205" t="s">
        <v>2276</v>
      </c>
      <c r="AC2557" s="205"/>
      <c r="AD2557" s="205"/>
    </row>
    <row r="2558" spans="1:30" ht="66.5" customHeight="1">
      <c r="A2558" s="19" t="s">
        <v>7096</v>
      </c>
      <c r="B2558" s="19" t="s">
        <v>7102</v>
      </c>
      <c r="C2558" s="205" t="s">
        <v>24</v>
      </c>
      <c r="D2558" s="205" t="s">
        <v>144</v>
      </c>
      <c r="E2558" s="205" t="s">
        <v>2647</v>
      </c>
      <c r="F2558" s="4" t="s">
        <v>55</v>
      </c>
      <c r="G2558" s="4" t="s">
        <v>55</v>
      </c>
      <c r="H2558" s="4" t="s">
        <v>524</v>
      </c>
      <c r="I2558" s="205"/>
      <c r="J2558" s="21">
        <v>0</v>
      </c>
      <c r="K2558" s="21">
        <v>0</v>
      </c>
      <c r="L2558" s="21">
        <v>0</v>
      </c>
      <c r="M2558" s="21">
        <v>0</v>
      </c>
      <c r="N2558" s="21">
        <v>0</v>
      </c>
      <c r="O2558" s="21">
        <v>0</v>
      </c>
      <c r="P2558" s="21">
        <v>0</v>
      </c>
      <c r="Q2558" s="21">
        <v>0</v>
      </c>
      <c r="R2558" s="21">
        <v>0</v>
      </c>
      <c r="S2558" s="21">
        <v>0</v>
      </c>
      <c r="T2558" s="21">
        <v>0</v>
      </c>
      <c r="U2558" s="21">
        <v>0</v>
      </c>
      <c r="V2558" s="21">
        <v>0</v>
      </c>
      <c r="W2558" s="21">
        <v>0</v>
      </c>
      <c r="X2558" s="21">
        <v>0</v>
      </c>
      <c r="Y2558" s="205" t="s">
        <v>2276</v>
      </c>
      <c r="Z2558" s="205" t="s">
        <v>2276</v>
      </c>
      <c r="AA2558" s="205" t="s">
        <v>2276</v>
      </c>
      <c r="AB2558" s="205" t="s">
        <v>2276</v>
      </c>
      <c r="AC2558" s="4" t="s">
        <v>7104</v>
      </c>
      <c r="AD2558" s="205"/>
    </row>
    <row r="2559" spans="1:30" ht="66.5" customHeight="1">
      <c r="A2559" s="19" t="s">
        <v>7096</v>
      </c>
      <c r="B2559" s="19" t="s">
        <v>7103</v>
      </c>
      <c r="C2559" s="205" t="s">
        <v>24</v>
      </c>
      <c r="D2559" s="205" t="s">
        <v>25</v>
      </c>
      <c r="E2559" s="205" t="s">
        <v>2647</v>
      </c>
      <c r="F2559" s="4" t="s">
        <v>55</v>
      </c>
      <c r="G2559" s="4" t="s">
        <v>55</v>
      </c>
      <c r="H2559" s="4" t="s">
        <v>524</v>
      </c>
      <c r="I2559" s="205"/>
      <c r="J2559" s="21">
        <v>0</v>
      </c>
      <c r="K2559" s="21">
        <v>0</v>
      </c>
      <c r="L2559" s="21">
        <v>0</v>
      </c>
      <c r="M2559" s="21">
        <v>0</v>
      </c>
      <c r="N2559" s="21">
        <v>0</v>
      </c>
      <c r="O2559" s="21">
        <v>0</v>
      </c>
      <c r="P2559" s="21">
        <v>0</v>
      </c>
      <c r="Q2559" s="21">
        <v>0</v>
      </c>
      <c r="R2559" s="21">
        <v>0</v>
      </c>
      <c r="S2559" s="21">
        <v>0</v>
      </c>
      <c r="T2559" s="21">
        <v>0</v>
      </c>
      <c r="U2559" s="21">
        <v>0</v>
      </c>
      <c r="V2559" s="21">
        <v>0</v>
      </c>
      <c r="W2559" s="21">
        <v>0</v>
      </c>
      <c r="X2559" s="21">
        <v>0</v>
      </c>
      <c r="Y2559" s="205" t="s">
        <v>2276</v>
      </c>
      <c r="Z2559" s="205" t="s">
        <v>2276</v>
      </c>
      <c r="AA2559" s="205" t="s">
        <v>2276</v>
      </c>
      <c r="AB2559" s="205" t="s">
        <v>2276</v>
      </c>
      <c r="AC2559" s="4" t="s">
        <v>7104</v>
      </c>
      <c r="AD2559" s="205"/>
    </row>
    <row r="2560" spans="1:30" ht="47.5" customHeight="1">
      <c r="A2560" s="19" t="s">
        <v>7106</v>
      </c>
      <c r="B2560" s="19" t="s">
        <v>7108</v>
      </c>
      <c r="C2560" s="205" t="s">
        <v>24</v>
      </c>
      <c r="D2560" s="205" t="s">
        <v>25</v>
      </c>
      <c r="E2560" s="205" t="s">
        <v>45</v>
      </c>
      <c r="F2560" s="4" t="s">
        <v>55</v>
      </c>
      <c r="G2560" s="4" t="s">
        <v>55</v>
      </c>
      <c r="H2560" s="205" t="s">
        <v>523</v>
      </c>
      <c r="I2560" s="205"/>
      <c r="J2560" s="205" t="s">
        <v>2276</v>
      </c>
      <c r="K2560" s="205" t="s">
        <v>2276</v>
      </c>
      <c r="L2560" s="205" t="s">
        <v>2276</v>
      </c>
      <c r="M2560" s="205" t="s">
        <v>2276</v>
      </c>
      <c r="N2560" s="205" t="s">
        <v>2276</v>
      </c>
      <c r="O2560" s="205" t="s">
        <v>2276</v>
      </c>
      <c r="P2560" s="205" t="s">
        <v>2276</v>
      </c>
      <c r="Q2560" s="205" t="s">
        <v>2276</v>
      </c>
      <c r="R2560" s="205" t="s">
        <v>2276</v>
      </c>
      <c r="S2560" s="205" t="s">
        <v>2276</v>
      </c>
      <c r="T2560" s="205" t="s">
        <v>2276</v>
      </c>
      <c r="U2560" s="205" t="s">
        <v>2276</v>
      </c>
      <c r="V2560" s="21">
        <f>100*42/200</f>
        <v>21</v>
      </c>
      <c r="W2560" s="205" t="s">
        <v>2276</v>
      </c>
      <c r="X2560" s="21">
        <f>100*42/200</f>
        <v>21</v>
      </c>
      <c r="Y2560" s="205" t="s">
        <v>2276</v>
      </c>
      <c r="Z2560" s="205" t="s">
        <v>404</v>
      </c>
      <c r="AA2560" s="205" t="s">
        <v>405</v>
      </c>
      <c r="AB2560" s="205" t="s">
        <v>2276</v>
      </c>
      <c r="AC2560" s="205" t="s">
        <v>7109</v>
      </c>
      <c r="AD2560" s="4" t="s">
        <v>7110</v>
      </c>
    </row>
    <row r="2561" spans="1:30" ht="108.5" customHeight="1">
      <c r="A2561" s="19" t="s">
        <v>7112</v>
      </c>
      <c r="B2561" s="19" t="s">
        <v>7115</v>
      </c>
      <c r="C2561" s="205" t="s">
        <v>24</v>
      </c>
      <c r="D2561" s="205" t="s">
        <v>2804</v>
      </c>
      <c r="E2561" s="205" t="s">
        <v>45</v>
      </c>
      <c r="F2561" s="4" t="s">
        <v>2662</v>
      </c>
      <c r="G2561" s="4" t="s">
        <v>2662</v>
      </c>
      <c r="H2561" s="205" t="s">
        <v>523</v>
      </c>
      <c r="I2561" s="205"/>
      <c r="J2561" s="205" t="s">
        <v>2276</v>
      </c>
      <c r="K2561" s="205" t="s">
        <v>2276</v>
      </c>
      <c r="L2561" s="205" t="s">
        <v>2276</v>
      </c>
      <c r="M2561" s="205" t="s">
        <v>2276</v>
      </c>
      <c r="N2561" s="205" t="s">
        <v>2276</v>
      </c>
      <c r="O2561" s="21">
        <v>131</v>
      </c>
      <c r="P2561" s="21">
        <v>98</v>
      </c>
      <c r="Q2561" s="205" t="s">
        <v>2276</v>
      </c>
      <c r="R2561" s="205" t="s">
        <v>2276</v>
      </c>
      <c r="S2561" s="205" t="s">
        <v>2276</v>
      </c>
      <c r="T2561" s="205" t="s">
        <v>2276</v>
      </c>
      <c r="U2561" s="205" t="s">
        <v>2276</v>
      </c>
      <c r="V2561" s="205" t="s">
        <v>2276</v>
      </c>
      <c r="W2561" s="205" t="s">
        <v>2276</v>
      </c>
      <c r="X2561" s="205" t="s">
        <v>2276</v>
      </c>
      <c r="Y2561" s="205" t="s">
        <v>2276</v>
      </c>
      <c r="Z2561" s="205" t="s">
        <v>2276</v>
      </c>
      <c r="AA2561" s="205" t="s">
        <v>2276</v>
      </c>
      <c r="AB2561" s="205" t="s">
        <v>2276</v>
      </c>
      <c r="AC2561" s="4"/>
      <c r="AD2561" s="4" t="s">
        <v>7116</v>
      </c>
    </row>
    <row r="2562" spans="1:30" ht="58" customHeight="1">
      <c r="A2562" s="19" t="s">
        <v>7119</v>
      </c>
      <c r="B2562" s="19" t="s">
        <v>7122</v>
      </c>
      <c r="C2562" s="205" t="s">
        <v>1105</v>
      </c>
      <c r="D2562" s="205" t="s">
        <v>1105</v>
      </c>
      <c r="E2562" s="205" t="s">
        <v>1105</v>
      </c>
      <c r="F2562" s="205" t="s">
        <v>2276</v>
      </c>
      <c r="G2562" s="4" t="s">
        <v>2662</v>
      </c>
      <c r="H2562" s="205" t="s">
        <v>523</v>
      </c>
      <c r="I2562" s="205"/>
      <c r="J2562" s="205" t="s">
        <v>2276</v>
      </c>
      <c r="K2562" s="205" t="s">
        <v>2276</v>
      </c>
      <c r="L2562" s="205" t="s">
        <v>2276</v>
      </c>
      <c r="M2562" s="205" t="s">
        <v>2276</v>
      </c>
      <c r="N2562" s="205" t="s">
        <v>2276</v>
      </c>
      <c r="O2562" s="205" t="s">
        <v>2276</v>
      </c>
      <c r="P2562" s="205" t="s">
        <v>2276</v>
      </c>
      <c r="Q2562" s="205" t="s">
        <v>2276</v>
      </c>
      <c r="R2562" s="205" t="s">
        <v>2276</v>
      </c>
      <c r="S2562" s="205" t="s">
        <v>2276</v>
      </c>
      <c r="T2562" s="205" t="s">
        <v>2276</v>
      </c>
      <c r="U2562" s="205" t="s">
        <v>2276</v>
      </c>
      <c r="V2562" s="205" t="s">
        <v>2276</v>
      </c>
      <c r="W2562" s="205" t="s">
        <v>2276</v>
      </c>
      <c r="X2562" s="205" t="s">
        <v>2276</v>
      </c>
      <c r="Y2562" s="205" t="s">
        <v>2276</v>
      </c>
      <c r="Z2562" s="205" t="s">
        <v>38</v>
      </c>
      <c r="AA2562" s="205" t="s">
        <v>425</v>
      </c>
      <c r="AB2562" s="205" t="s">
        <v>76</v>
      </c>
      <c r="AC2562" s="4" t="s">
        <v>7125</v>
      </c>
      <c r="AD2562" s="19" t="s">
        <v>7128</v>
      </c>
    </row>
    <row r="2563" spans="1:30" ht="58" customHeight="1">
      <c r="A2563" s="19" t="s">
        <v>7121</v>
      </c>
      <c r="B2563" s="19" t="s">
        <v>7123</v>
      </c>
      <c r="C2563" s="205" t="s">
        <v>24</v>
      </c>
      <c r="D2563" s="205" t="s">
        <v>25</v>
      </c>
      <c r="E2563" s="205" t="s">
        <v>45</v>
      </c>
      <c r="F2563" s="205" t="s">
        <v>29</v>
      </c>
      <c r="G2563" s="205" t="s">
        <v>29</v>
      </c>
      <c r="H2563" s="205" t="s">
        <v>523</v>
      </c>
      <c r="I2563" s="205"/>
      <c r="J2563" s="205" t="s">
        <v>2276</v>
      </c>
      <c r="K2563" s="205" t="s">
        <v>2276</v>
      </c>
      <c r="L2563" s="205" t="s">
        <v>2276</v>
      </c>
      <c r="M2563" s="205" t="s">
        <v>2276</v>
      </c>
      <c r="N2563" s="205" t="s">
        <v>2276</v>
      </c>
      <c r="O2563" s="205" t="s">
        <v>2276</v>
      </c>
      <c r="P2563" s="205" t="s">
        <v>2276</v>
      </c>
      <c r="Q2563" s="205" t="s">
        <v>2276</v>
      </c>
      <c r="R2563" s="205" t="s">
        <v>2276</v>
      </c>
      <c r="S2563" s="205" t="s">
        <v>2276</v>
      </c>
      <c r="T2563" s="205" t="s">
        <v>2276</v>
      </c>
      <c r="U2563" s="205" t="s">
        <v>2276</v>
      </c>
      <c r="V2563" s="205" t="s">
        <v>2276</v>
      </c>
      <c r="W2563" s="205" t="s">
        <v>2276</v>
      </c>
      <c r="X2563" s="205" t="s">
        <v>2276</v>
      </c>
      <c r="Y2563" s="205" t="s">
        <v>2276</v>
      </c>
      <c r="Z2563" s="205" t="s">
        <v>38</v>
      </c>
      <c r="AA2563" s="205" t="s">
        <v>425</v>
      </c>
      <c r="AB2563" s="205" t="s">
        <v>2276</v>
      </c>
      <c r="AC2563" s="4" t="s">
        <v>7126</v>
      </c>
      <c r="AD2563" s="4" t="s">
        <v>7129</v>
      </c>
    </row>
    <row r="2564" spans="1:30" ht="58" customHeight="1">
      <c r="A2564" s="19" t="s">
        <v>7121</v>
      </c>
      <c r="B2564" s="19" t="s">
        <v>7124</v>
      </c>
      <c r="C2564" s="205" t="s">
        <v>24</v>
      </c>
      <c r="D2564" s="205" t="s">
        <v>1242</v>
      </c>
      <c r="E2564" s="205" t="s">
        <v>45</v>
      </c>
      <c r="F2564" s="4" t="s">
        <v>2662</v>
      </c>
      <c r="G2564" s="4" t="s">
        <v>2662</v>
      </c>
      <c r="H2564" s="205" t="s">
        <v>523</v>
      </c>
      <c r="I2564" s="205"/>
      <c r="J2564" s="205" t="s">
        <v>2276</v>
      </c>
      <c r="K2564" s="205" t="s">
        <v>2276</v>
      </c>
      <c r="L2564" s="205" t="s">
        <v>2276</v>
      </c>
      <c r="M2564" s="205" t="s">
        <v>2276</v>
      </c>
      <c r="N2564" s="205" t="s">
        <v>2276</v>
      </c>
      <c r="O2564" s="205" t="s">
        <v>2276</v>
      </c>
      <c r="P2564" s="205" t="s">
        <v>2276</v>
      </c>
      <c r="Q2564" s="205" t="s">
        <v>2276</v>
      </c>
      <c r="R2564" s="205" t="s">
        <v>2276</v>
      </c>
      <c r="S2564" s="205" t="s">
        <v>2276</v>
      </c>
      <c r="T2564" s="205" t="s">
        <v>2276</v>
      </c>
      <c r="U2564" s="205" t="s">
        <v>2276</v>
      </c>
      <c r="V2564" s="205" t="s">
        <v>2276</v>
      </c>
      <c r="W2564" s="205" t="s">
        <v>2276</v>
      </c>
      <c r="X2564" s="205" t="s">
        <v>2276</v>
      </c>
      <c r="Y2564" s="205" t="s">
        <v>2276</v>
      </c>
      <c r="Z2564" s="205" t="s">
        <v>38</v>
      </c>
      <c r="AA2564" s="205" t="s">
        <v>86</v>
      </c>
      <c r="AB2564" s="205" t="s">
        <v>2655</v>
      </c>
      <c r="AC2564" s="4" t="s">
        <v>7127</v>
      </c>
      <c r="AD2564" s="205"/>
    </row>
    <row r="2565" spans="1:30" ht="26.5" customHeight="1">
      <c r="A2565" s="19" t="s">
        <v>7132</v>
      </c>
      <c r="B2565" s="19" t="s">
        <v>7140</v>
      </c>
      <c r="C2565" s="205" t="s">
        <v>24</v>
      </c>
      <c r="D2565" s="205" t="s">
        <v>25</v>
      </c>
      <c r="E2565" s="205" t="s">
        <v>45</v>
      </c>
      <c r="F2565" s="4" t="s">
        <v>55</v>
      </c>
      <c r="G2565" s="4" t="s">
        <v>55</v>
      </c>
      <c r="H2565" s="205" t="s">
        <v>523</v>
      </c>
      <c r="I2565" s="205"/>
      <c r="J2565" s="205" t="s">
        <v>2276</v>
      </c>
      <c r="K2565" s="205" t="s">
        <v>2276</v>
      </c>
      <c r="L2565" s="205" t="s">
        <v>2276</v>
      </c>
      <c r="M2565" s="205" t="s">
        <v>2276</v>
      </c>
      <c r="N2565" s="205" t="s">
        <v>2276</v>
      </c>
      <c r="O2565" s="205" t="s">
        <v>2276</v>
      </c>
      <c r="P2565" s="205" t="s">
        <v>2276</v>
      </c>
      <c r="Q2565" s="205" t="s">
        <v>2276</v>
      </c>
      <c r="R2565" s="205" t="s">
        <v>2276</v>
      </c>
      <c r="S2565" s="205" t="s">
        <v>2276</v>
      </c>
      <c r="T2565" s="205" t="s">
        <v>2276</v>
      </c>
      <c r="U2565" s="205" t="s">
        <v>2276</v>
      </c>
      <c r="V2565" s="205" t="s">
        <v>2276</v>
      </c>
      <c r="W2565" s="205" t="s">
        <v>2276</v>
      </c>
      <c r="X2565" s="205" t="s">
        <v>2276</v>
      </c>
      <c r="Y2565" s="205" t="s">
        <v>2276</v>
      </c>
      <c r="Z2565" s="205" t="s">
        <v>2276</v>
      </c>
      <c r="AA2565" s="205" t="s">
        <v>2276</v>
      </c>
      <c r="AB2565" s="205" t="s">
        <v>2276</v>
      </c>
      <c r="AC2565" s="205"/>
      <c r="AD2565" s="205"/>
    </row>
    <row r="2566" spans="1:30" ht="26.5" customHeight="1">
      <c r="A2566" s="19" t="s">
        <v>7132</v>
      </c>
      <c r="B2566" s="19" t="s">
        <v>7141</v>
      </c>
      <c r="C2566" s="205" t="s">
        <v>2458</v>
      </c>
      <c r="D2566" s="205" t="s">
        <v>25</v>
      </c>
      <c r="E2566" s="205" t="s">
        <v>45</v>
      </c>
      <c r="F2566" s="4" t="s">
        <v>55</v>
      </c>
      <c r="G2566" s="205" t="s">
        <v>2276</v>
      </c>
      <c r="H2566" s="205" t="s">
        <v>523</v>
      </c>
      <c r="I2566" s="205"/>
      <c r="J2566" s="205" t="s">
        <v>2276</v>
      </c>
      <c r="K2566" s="205" t="s">
        <v>2276</v>
      </c>
      <c r="L2566" s="205" t="s">
        <v>2276</v>
      </c>
      <c r="M2566" s="205" t="s">
        <v>2276</v>
      </c>
      <c r="N2566" s="205" t="s">
        <v>2276</v>
      </c>
      <c r="O2566" s="205" t="s">
        <v>2276</v>
      </c>
      <c r="P2566" s="205" t="s">
        <v>2276</v>
      </c>
      <c r="Q2566" s="205" t="s">
        <v>2276</v>
      </c>
      <c r="R2566" s="205" t="s">
        <v>2276</v>
      </c>
      <c r="S2566" s="205" t="s">
        <v>2276</v>
      </c>
      <c r="T2566" s="205" t="s">
        <v>2276</v>
      </c>
      <c r="U2566" s="205" t="s">
        <v>2276</v>
      </c>
      <c r="V2566" s="205" t="s">
        <v>2276</v>
      </c>
      <c r="W2566" s="205" t="s">
        <v>2276</v>
      </c>
      <c r="X2566" s="205" t="s">
        <v>2276</v>
      </c>
      <c r="Y2566" s="205" t="s">
        <v>2276</v>
      </c>
      <c r="Z2566" s="205" t="s">
        <v>2276</v>
      </c>
      <c r="AA2566" s="205" t="s">
        <v>2276</v>
      </c>
      <c r="AB2566" s="205" t="s">
        <v>2276</v>
      </c>
      <c r="AC2566" s="205"/>
      <c r="AD2566" s="205"/>
    </row>
    <row r="2567" spans="1:30" ht="26.5" customHeight="1">
      <c r="A2567" s="19" t="s">
        <v>7132</v>
      </c>
      <c r="B2567" s="19" t="s">
        <v>7142</v>
      </c>
      <c r="C2567" s="205" t="s">
        <v>24</v>
      </c>
      <c r="D2567" s="205" t="s">
        <v>27</v>
      </c>
      <c r="E2567" s="205" t="s">
        <v>130</v>
      </c>
      <c r="F2567" s="4" t="s">
        <v>160</v>
      </c>
      <c r="G2567" s="205" t="s">
        <v>2276</v>
      </c>
      <c r="H2567" s="205" t="s">
        <v>523</v>
      </c>
      <c r="I2567" s="205"/>
      <c r="J2567" s="205" t="s">
        <v>2276</v>
      </c>
      <c r="K2567" s="205" t="s">
        <v>2276</v>
      </c>
      <c r="L2567" s="205" t="s">
        <v>2276</v>
      </c>
      <c r="M2567" s="205" t="s">
        <v>2276</v>
      </c>
      <c r="N2567" s="205" t="s">
        <v>2276</v>
      </c>
      <c r="O2567" s="205" t="s">
        <v>2276</v>
      </c>
      <c r="P2567" s="205" t="s">
        <v>2276</v>
      </c>
      <c r="Q2567" s="205" t="s">
        <v>2276</v>
      </c>
      <c r="R2567" s="205" t="s">
        <v>2276</v>
      </c>
      <c r="S2567" s="205" t="s">
        <v>2276</v>
      </c>
      <c r="T2567" s="205" t="s">
        <v>2276</v>
      </c>
      <c r="U2567" s="205" t="s">
        <v>2276</v>
      </c>
      <c r="V2567" s="205" t="s">
        <v>2276</v>
      </c>
      <c r="W2567" s="205" t="s">
        <v>2276</v>
      </c>
      <c r="X2567" s="205" t="s">
        <v>2276</v>
      </c>
      <c r="Y2567" s="205" t="s">
        <v>2276</v>
      </c>
      <c r="Z2567" s="205" t="s">
        <v>2276</v>
      </c>
      <c r="AA2567" s="205" t="s">
        <v>2276</v>
      </c>
      <c r="AB2567" s="205" t="s">
        <v>2276</v>
      </c>
      <c r="AC2567" s="205"/>
      <c r="AD2567" s="205"/>
    </row>
    <row r="2568" spans="1:30" ht="66" customHeight="1">
      <c r="A2568" s="19" t="s">
        <v>7132</v>
      </c>
      <c r="B2568" s="19" t="s">
        <v>7143</v>
      </c>
      <c r="C2568" s="205" t="s">
        <v>24</v>
      </c>
      <c r="D2568" s="205" t="s">
        <v>2231</v>
      </c>
      <c r="E2568" s="205" t="s">
        <v>84</v>
      </c>
      <c r="F2568" s="4" t="s">
        <v>2662</v>
      </c>
      <c r="G2568" s="4" t="s">
        <v>2662</v>
      </c>
      <c r="H2568" s="205" t="s">
        <v>524</v>
      </c>
      <c r="I2568" s="205"/>
      <c r="J2568" s="21">
        <v>0</v>
      </c>
      <c r="K2568" s="21">
        <v>0</v>
      </c>
      <c r="L2568" s="21">
        <v>0</v>
      </c>
      <c r="M2568" s="21">
        <v>0</v>
      </c>
      <c r="N2568" s="21">
        <v>0</v>
      </c>
      <c r="O2568" s="21">
        <v>0</v>
      </c>
      <c r="P2568" s="21">
        <v>0</v>
      </c>
      <c r="Q2568" s="21">
        <v>0</v>
      </c>
      <c r="R2568" s="21">
        <v>0</v>
      </c>
      <c r="S2568" s="21">
        <v>0</v>
      </c>
      <c r="T2568" s="21">
        <v>0</v>
      </c>
      <c r="U2568" s="21">
        <v>0</v>
      </c>
      <c r="V2568" s="21">
        <v>0</v>
      </c>
      <c r="W2568" s="21">
        <v>0</v>
      </c>
      <c r="X2568" s="21">
        <v>0</v>
      </c>
      <c r="Y2568" s="205" t="s">
        <v>2276</v>
      </c>
      <c r="Z2568" s="205" t="s">
        <v>2276</v>
      </c>
      <c r="AA2568" s="205" t="s">
        <v>2276</v>
      </c>
      <c r="AB2568" s="205" t="s">
        <v>2276</v>
      </c>
      <c r="AC2568" s="4" t="s">
        <v>7144</v>
      </c>
      <c r="AD2568" s="205"/>
    </row>
    <row r="2569" spans="1:30" ht="45.5" customHeight="1">
      <c r="A2569" s="19" t="s">
        <v>7132</v>
      </c>
      <c r="B2569" s="19" t="s">
        <v>7145</v>
      </c>
      <c r="C2569" s="4" t="s">
        <v>24</v>
      </c>
      <c r="D2569" s="4" t="s">
        <v>2346</v>
      </c>
      <c r="E2569" s="4" t="s">
        <v>130</v>
      </c>
      <c r="F2569" s="156" t="s">
        <v>2276</v>
      </c>
      <c r="G2569" s="4" t="s">
        <v>2662</v>
      </c>
      <c r="H2569" s="4" t="s">
        <v>523</v>
      </c>
      <c r="I2569" s="4"/>
      <c r="J2569" s="205" t="s">
        <v>2276</v>
      </c>
      <c r="K2569" s="205" t="s">
        <v>2276</v>
      </c>
      <c r="L2569" s="205" t="s">
        <v>2276</v>
      </c>
      <c r="M2569" s="205" t="s">
        <v>2276</v>
      </c>
      <c r="N2569" s="205" t="s">
        <v>2276</v>
      </c>
      <c r="O2569" s="75">
        <v>3.6</v>
      </c>
      <c r="P2569" s="205" t="s">
        <v>2276</v>
      </c>
      <c r="Q2569" s="205" t="s">
        <v>2276</v>
      </c>
      <c r="R2569" s="205" t="s">
        <v>2276</v>
      </c>
      <c r="S2569" s="205" t="s">
        <v>2276</v>
      </c>
      <c r="T2569" s="205" t="s">
        <v>2276</v>
      </c>
      <c r="U2569" s="205" t="s">
        <v>2276</v>
      </c>
      <c r="V2569" s="205" t="s">
        <v>2276</v>
      </c>
      <c r="W2569" s="205" t="s">
        <v>2276</v>
      </c>
      <c r="X2569" s="205" t="s">
        <v>2276</v>
      </c>
      <c r="Y2569" s="205" t="s">
        <v>2276</v>
      </c>
      <c r="Z2569" s="205" t="s">
        <v>2276</v>
      </c>
      <c r="AA2569" s="205" t="s">
        <v>2276</v>
      </c>
      <c r="AB2569" s="205" t="s">
        <v>2276</v>
      </c>
      <c r="AC2569" s="4" t="s">
        <v>7147</v>
      </c>
      <c r="AD2569" s="4"/>
    </row>
    <row r="2570" spans="1:30" ht="43.5" customHeight="1">
      <c r="A2570" s="19" t="s">
        <v>7132</v>
      </c>
      <c r="B2570" s="19" t="s">
        <v>7146</v>
      </c>
      <c r="C2570" s="205" t="s">
        <v>24</v>
      </c>
      <c r="D2570" s="205" t="s">
        <v>2346</v>
      </c>
      <c r="E2570" s="205" t="s">
        <v>45</v>
      </c>
      <c r="F2570" s="156" t="s">
        <v>2276</v>
      </c>
      <c r="G2570" s="4" t="s">
        <v>2662</v>
      </c>
      <c r="H2570" s="205" t="s">
        <v>523</v>
      </c>
      <c r="I2570" s="205"/>
      <c r="J2570" s="205" t="s">
        <v>2276</v>
      </c>
      <c r="K2570" s="205" t="s">
        <v>2276</v>
      </c>
      <c r="L2570" s="205" t="s">
        <v>2276</v>
      </c>
      <c r="M2570" s="205" t="s">
        <v>2276</v>
      </c>
      <c r="N2570" s="205" t="s">
        <v>2276</v>
      </c>
      <c r="O2570" s="21">
        <v>3.6</v>
      </c>
      <c r="P2570" s="205" t="s">
        <v>2276</v>
      </c>
      <c r="Q2570" s="205" t="s">
        <v>2276</v>
      </c>
      <c r="R2570" s="205" t="s">
        <v>2276</v>
      </c>
      <c r="S2570" s="205" t="s">
        <v>2276</v>
      </c>
      <c r="T2570" s="205" t="s">
        <v>2276</v>
      </c>
      <c r="U2570" s="205" t="s">
        <v>2276</v>
      </c>
      <c r="V2570" s="205" t="s">
        <v>2276</v>
      </c>
      <c r="W2570" s="205" t="s">
        <v>2276</v>
      </c>
      <c r="X2570" s="205" t="s">
        <v>2276</v>
      </c>
      <c r="Y2570" s="205" t="s">
        <v>2276</v>
      </c>
      <c r="Z2570" s="205" t="s">
        <v>2276</v>
      </c>
      <c r="AA2570" s="205" t="s">
        <v>2276</v>
      </c>
      <c r="AB2570" s="205" t="s">
        <v>2276</v>
      </c>
      <c r="AC2570" s="4" t="s">
        <v>7147</v>
      </c>
      <c r="AD2570" s="205"/>
    </row>
    <row r="2571" spans="1:30" ht="37.5" customHeight="1">
      <c r="A2571" s="19" t="s">
        <v>7152</v>
      </c>
      <c r="B2571" s="19" t="s">
        <v>7156</v>
      </c>
      <c r="C2571" s="205" t="s">
        <v>24</v>
      </c>
      <c r="D2571" s="205" t="s">
        <v>1242</v>
      </c>
      <c r="E2571" s="4" t="s">
        <v>3209</v>
      </c>
      <c r="F2571" s="4" t="s">
        <v>2662</v>
      </c>
      <c r="G2571" s="4" t="s">
        <v>2662</v>
      </c>
      <c r="H2571" s="205" t="s">
        <v>523</v>
      </c>
      <c r="I2571" s="205"/>
      <c r="J2571" s="205" t="s">
        <v>2276</v>
      </c>
      <c r="K2571" s="205" t="s">
        <v>2276</v>
      </c>
      <c r="L2571" s="205" t="s">
        <v>2276</v>
      </c>
      <c r="M2571" s="205" t="s">
        <v>2276</v>
      </c>
      <c r="N2571" s="205" t="s">
        <v>2276</v>
      </c>
      <c r="O2571" s="205" t="s">
        <v>2276</v>
      </c>
      <c r="P2571" s="205" t="s">
        <v>2276</v>
      </c>
      <c r="Q2571" s="205" t="s">
        <v>2276</v>
      </c>
      <c r="R2571" s="205" t="s">
        <v>2276</v>
      </c>
      <c r="S2571" s="205" t="s">
        <v>2276</v>
      </c>
      <c r="T2571" s="205" t="s">
        <v>2276</v>
      </c>
      <c r="U2571" s="205" t="s">
        <v>2276</v>
      </c>
      <c r="V2571" s="205" t="s">
        <v>2276</v>
      </c>
      <c r="W2571" s="205" t="s">
        <v>2276</v>
      </c>
      <c r="X2571" s="205" t="s">
        <v>2276</v>
      </c>
      <c r="Y2571" s="205" t="s">
        <v>2276</v>
      </c>
      <c r="Z2571" s="205" t="s">
        <v>35</v>
      </c>
      <c r="AA2571" s="205" t="s">
        <v>35</v>
      </c>
      <c r="AB2571" s="205" t="s">
        <v>2276</v>
      </c>
      <c r="AC2571" s="205"/>
      <c r="AD2571" s="205"/>
    </row>
    <row r="2572" spans="1:30" ht="37.5" customHeight="1">
      <c r="A2572" s="19" t="s">
        <v>7152</v>
      </c>
      <c r="B2572" s="19" t="s">
        <v>7157</v>
      </c>
      <c r="C2572" s="205" t="s">
        <v>24</v>
      </c>
      <c r="D2572" s="205" t="s">
        <v>144</v>
      </c>
      <c r="E2572" s="4" t="s">
        <v>3209</v>
      </c>
      <c r="F2572" s="4" t="s">
        <v>2662</v>
      </c>
      <c r="G2572" s="4" t="s">
        <v>2662</v>
      </c>
      <c r="H2572" s="205" t="s">
        <v>523</v>
      </c>
      <c r="I2572" s="205"/>
      <c r="J2572" s="205" t="s">
        <v>2276</v>
      </c>
      <c r="K2572" s="205" t="s">
        <v>2276</v>
      </c>
      <c r="L2572" s="205" t="s">
        <v>2276</v>
      </c>
      <c r="M2572" s="205" t="s">
        <v>2276</v>
      </c>
      <c r="N2572" s="205" t="s">
        <v>2276</v>
      </c>
      <c r="O2572" s="205" t="s">
        <v>2276</v>
      </c>
      <c r="P2572" s="205" t="s">
        <v>2276</v>
      </c>
      <c r="Q2572" s="205" t="s">
        <v>2276</v>
      </c>
      <c r="R2572" s="205" t="s">
        <v>2276</v>
      </c>
      <c r="S2572" s="205" t="s">
        <v>2276</v>
      </c>
      <c r="T2572" s="205" t="s">
        <v>2276</v>
      </c>
      <c r="U2572" s="205" t="s">
        <v>2276</v>
      </c>
      <c r="V2572" s="205" t="s">
        <v>2276</v>
      </c>
      <c r="W2572" s="205" t="s">
        <v>2276</v>
      </c>
      <c r="X2572" s="205" t="s">
        <v>2276</v>
      </c>
      <c r="Y2572" s="205" t="s">
        <v>2276</v>
      </c>
      <c r="Z2572" s="205" t="s">
        <v>35</v>
      </c>
      <c r="AA2572" s="205" t="s">
        <v>35</v>
      </c>
      <c r="AB2572" s="205" t="s">
        <v>2276</v>
      </c>
      <c r="AC2572" s="205"/>
      <c r="AD2572" s="205"/>
    </row>
    <row r="2573" spans="1:30" ht="40" customHeight="1">
      <c r="A2573" s="19" t="s">
        <v>7152</v>
      </c>
      <c r="B2573" s="19" t="s">
        <v>7158</v>
      </c>
      <c r="C2573" s="205" t="s">
        <v>24</v>
      </c>
      <c r="D2573" s="205" t="s">
        <v>2804</v>
      </c>
      <c r="E2573" s="205" t="s">
        <v>45</v>
      </c>
      <c r="F2573" s="4" t="s">
        <v>2662</v>
      </c>
      <c r="G2573" s="152" t="s">
        <v>2276</v>
      </c>
      <c r="H2573" s="205" t="s">
        <v>524</v>
      </c>
      <c r="I2573" s="205"/>
      <c r="J2573" s="21">
        <v>0</v>
      </c>
      <c r="K2573" s="21">
        <v>0</v>
      </c>
      <c r="L2573" s="21">
        <v>0</v>
      </c>
      <c r="M2573" s="21">
        <v>0</v>
      </c>
      <c r="N2573" s="21">
        <v>0</v>
      </c>
      <c r="O2573" s="21">
        <v>0</v>
      </c>
      <c r="P2573" s="21">
        <v>0</v>
      </c>
      <c r="Q2573" s="21">
        <v>0</v>
      </c>
      <c r="R2573" s="21">
        <v>0</v>
      </c>
      <c r="S2573" s="21">
        <v>0</v>
      </c>
      <c r="T2573" s="21">
        <v>0</v>
      </c>
      <c r="U2573" s="21">
        <v>0</v>
      </c>
      <c r="V2573" s="21">
        <v>0</v>
      </c>
      <c r="W2573" s="21">
        <v>0</v>
      </c>
      <c r="X2573" s="21">
        <v>0</v>
      </c>
      <c r="Y2573" s="205" t="s">
        <v>2276</v>
      </c>
      <c r="Z2573" s="205" t="s">
        <v>2276</v>
      </c>
      <c r="AA2573" s="205" t="s">
        <v>2276</v>
      </c>
      <c r="AB2573" s="205" t="s">
        <v>2276</v>
      </c>
      <c r="AC2573" s="4" t="s">
        <v>7160</v>
      </c>
      <c r="AD2573" s="205"/>
    </row>
    <row r="2574" spans="1:30" ht="40" customHeight="1">
      <c r="A2574" s="19" t="s">
        <v>7152</v>
      </c>
      <c r="B2574" s="19" t="s">
        <v>7159</v>
      </c>
      <c r="C2574" s="205" t="s">
        <v>24</v>
      </c>
      <c r="D2574" s="205" t="s">
        <v>2804</v>
      </c>
      <c r="E2574" s="205" t="s">
        <v>45</v>
      </c>
      <c r="F2574" s="4" t="s">
        <v>2662</v>
      </c>
      <c r="G2574" s="152" t="s">
        <v>2276</v>
      </c>
      <c r="H2574" s="205" t="s">
        <v>523</v>
      </c>
      <c r="I2574" s="205">
        <v>1979</v>
      </c>
      <c r="J2574" s="205" t="s">
        <v>2276</v>
      </c>
      <c r="K2574" s="205" t="s">
        <v>2276</v>
      </c>
      <c r="L2574" s="205" t="s">
        <v>2276</v>
      </c>
      <c r="M2574" s="205" t="s">
        <v>2276</v>
      </c>
      <c r="N2574" s="205" t="s">
        <v>2276</v>
      </c>
      <c r="O2574" s="205" t="s">
        <v>2276</v>
      </c>
      <c r="P2574" s="205" t="s">
        <v>2276</v>
      </c>
      <c r="Q2574" s="205" t="s">
        <v>2276</v>
      </c>
      <c r="R2574" s="205" t="s">
        <v>2276</v>
      </c>
      <c r="S2574" s="205" t="s">
        <v>2276</v>
      </c>
      <c r="T2574" s="205" t="s">
        <v>2276</v>
      </c>
      <c r="U2574" s="205" t="s">
        <v>2276</v>
      </c>
      <c r="V2574" s="205" t="s">
        <v>2276</v>
      </c>
      <c r="W2574" s="205" t="s">
        <v>2276</v>
      </c>
      <c r="X2574" s="205" t="s">
        <v>2276</v>
      </c>
      <c r="Y2574" s="205" t="s">
        <v>2276</v>
      </c>
      <c r="Z2574" s="205" t="s">
        <v>2276</v>
      </c>
      <c r="AA2574" s="205" t="s">
        <v>2276</v>
      </c>
      <c r="AB2574" s="205" t="s">
        <v>2276</v>
      </c>
      <c r="AC2574" s="205"/>
      <c r="AD2574" s="205"/>
    </row>
    <row r="2575" spans="1:30" ht="35.5" customHeight="1">
      <c r="A2575" s="19" t="s">
        <v>7167</v>
      </c>
      <c r="B2575" s="19" t="s">
        <v>7256</v>
      </c>
      <c r="C2575" s="205" t="s">
        <v>24</v>
      </c>
      <c r="D2575" s="205" t="s">
        <v>2804</v>
      </c>
      <c r="E2575" s="205" t="s">
        <v>45</v>
      </c>
      <c r="F2575" s="4" t="s">
        <v>2662</v>
      </c>
      <c r="G2575" s="152" t="s">
        <v>2276</v>
      </c>
      <c r="H2575" s="205" t="s">
        <v>523</v>
      </c>
      <c r="I2575" s="205"/>
      <c r="J2575" s="205" t="s">
        <v>2276</v>
      </c>
      <c r="K2575" s="205" t="s">
        <v>2276</v>
      </c>
      <c r="L2575" s="205" t="s">
        <v>2276</v>
      </c>
      <c r="M2575" s="205" t="s">
        <v>2276</v>
      </c>
      <c r="N2575" s="205" t="s">
        <v>2276</v>
      </c>
      <c r="O2575" s="205" t="s">
        <v>2276</v>
      </c>
      <c r="P2575" s="205" t="s">
        <v>2276</v>
      </c>
      <c r="Q2575" s="205" t="s">
        <v>2276</v>
      </c>
      <c r="R2575" s="205" t="s">
        <v>2276</v>
      </c>
      <c r="S2575" s="205" t="s">
        <v>2276</v>
      </c>
      <c r="T2575" s="205" t="s">
        <v>2276</v>
      </c>
      <c r="U2575" s="205" t="s">
        <v>2276</v>
      </c>
      <c r="V2575" s="205" t="s">
        <v>2276</v>
      </c>
      <c r="W2575" s="205" t="s">
        <v>2276</v>
      </c>
      <c r="X2575" s="205" t="s">
        <v>2276</v>
      </c>
      <c r="Y2575" s="205" t="s">
        <v>2276</v>
      </c>
      <c r="Z2575" s="205" t="s">
        <v>2276</v>
      </c>
      <c r="AA2575" s="205" t="s">
        <v>2276</v>
      </c>
      <c r="AB2575" s="205" t="s">
        <v>2276</v>
      </c>
      <c r="AC2575" s="205"/>
      <c r="AD2575" s="205"/>
    </row>
    <row r="2576" spans="1:30" ht="29">
      <c r="A2576" s="19" t="s">
        <v>7192</v>
      </c>
      <c r="B2576" s="19" t="s">
        <v>7261</v>
      </c>
      <c r="C2576" s="205" t="s">
        <v>24</v>
      </c>
      <c r="D2576" s="205" t="s">
        <v>2804</v>
      </c>
      <c r="E2576" s="205" t="s">
        <v>45</v>
      </c>
      <c r="F2576" s="4" t="s">
        <v>2662</v>
      </c>
      <c r="G2576" s="152" t="s">
        <v>2276</v>
      </c>
      <c r="H2576" s="205" t="s">
        <v>523</v>
      </c>
      <c r="I2576" s="205"/>
      <c r="J2576" s="205" t="s">
        <v>2276</v>
      </c>
      <c r="K2576" s="205" t="s">
        <v>2276</v>
      </c>
      <c r="L2576" s="205" t="s">
        <v>2276</v>
      </c>
      <c r="M2576" s="205" t="s">
        <v>2276</v>
      </c>
      <c r="N2576" s="205" t="s">
        <v>2276</v>
      </c>
      <c r="O2576" s="205" t="s">
        <v>2276</v>
      </c>
      <c r="P2576" s="205" t="s">
        <v>2276</v>
      </c>
      <c r="Q2576" s="205" t="s">
        <v>2276</v>
      </c>
      <c r="R2576" s="205" t="s">
        <v>2276</v>
      </c>
      <c r="S2576" s="205" t="s">
        <v>2276</v>
      </c>
      <c r="T2576" s="205" t="s">
        <v>2276</v>
      </c>
      <c r="U2576" s="205" t="s">
        <v>2276</v>
      </c>
      <c r="V2576" s="205" t="s">
        <v>2276</v>
      </c>
      <c r="W2576" s="205" t="s">
        <v>2276</v>
      </c>
      <c r="X2576" s="205" t="s">
        <v>2276</v>
      </c>
      <c r="Y2576" s="205" t="s">
        <v>2276</v>
      </c>
      <c r="Z2576" s="205" t="s">
        <v>2276</v>
      </c>
      <c r="AA2576" s="205" t="s">
        <v>2276</v>
      </c>
      <c r="AB2576" s="205" t="s">
        <v>2276</v>
      </c>
      <c r="AC2576" s="205"/>
      <c r="AD2576" s="205"/>
    </row>
    <row r="2577" spans="1:30" ht="29">
      <c r="A2577" s="19" t="s">
        <v>7193</v>
      </c>
      <c r="B2577" s="19" t="s">
        <v>7262</v>
      </c>
      <c r="C2577" s="205" t="s">
        <v>24</v>
      </c>
      <c r="D2577" s="205" t="s">
        <v>2804</v>
      </c>
      <c r="E2577" s="205" t="s">
        <v>45</v>
      </c>
      <c r="F2577" s="4" t="s">
        <v>2662</v>
      </c>
      <c r="G2577" s="152" t="s">
        <v>2276</v>
      </c>
      <c r="H2577" s="205" t="s">
        <v>523</v>
      </c>
      <c r="I2577" s="205"/>
      <c r="J2577" s="205" t="s">
        <v>2276</v>
      </c>
      <c r="K2577" s="205" t="s">
        <v>2276</v>
      </c>
      <c r="L2577" s="205" t="s">
        <v>2276</v>
      </c>
      <c r="M2577" s="205" t="s">
        <v>2276</v>
      </c>
      <c r="N2577" s="205" t="s">
        <v>2276</v>
      </c>
      <c r="O2577" s="205" t="s">
        <v>2276</v>
      </c>
      <c r="P2577" s="205" t="s">
        <v>2276</v>
      </c>
      <c r="Q2577" s="205" t="s">
        <v>2276</v>
      </c>
      <c r="R2577" s="205" t="s">
        <v>2276</v>
      </c>
      <c r="S2577" s="205" t="s">
        <v>2276</v>
      </c>
      <c r="T2577" s="205" t="s">
        <v>2276</v>
      </c>
      <c r="U2577" s="205" t="s">
        <v>2276</v>
      </c>
      <c r="V2577" s="205" t="s">
        <v>2276</v>
      </c>
      <c r="W2577" s="205" t="s">
        <v>2276</v>
      </c>
      <c r="X2577" s="205" t="s">
        <v>2276</v>
      </c>
      <c r="Y2577" s="205" t="s">
        <v>2276</v>
      </c>
      <c r="Z2577" s="205" t="s">
        <v>2276</v>
      </c>
      <c r="AA2577" s="205" t="s">
        <v>2276</v>
      </c>
      <c r="AB2577" s="205" t="s">
        <v>2276</v>
      </c>
      <c r="AC2577" s="205"/>
      <c r="AD2577" s="205"/>
    </row>
    <row r="2578" spans="1:30" ht="29">
      <c r="A2578" s="19" t="s">
        <v>7194</v>
      </c>
      <c r="B2578" s="19" t="s">
        <v>7263</v>
      </c>
      <c r="C2578" s="205" t="s">
        <v>24</v>
      </c>
      <c r="D2578" s="205" t="s">
        <v>2804</v>
      </c>
      <c r="E2578" s="205" t="s">
        <v>45</v>
      </c>
      <c r="F2578" s="4" t="s">
        <v>2662</v>
      </c>
      <c r="G2578" s="152" t="s">
        <v>2276</v>
      </c>
      <c r="H2578" s="205" t="s">
        <v>523</v>
      </c>
      <c r="I2578" s="205"/>
      <c r="J2578" s="205" t="s">
        <v>2276</v>
      </c>
      <c r="K2578" s="205" t="s">
        <v>2276</v>
      </c>
      <c r="L2578" s="205" t="s">
        <v>2276</v>
      </c>
      <c r="M2578" s="205" t="s">
        <v>2276</v>
      </c>
      <c r="N2578" s="205" t="s">
        <v>2276</v>
      </c>
      <c r="O2578" s="205" t="s">
        <v>2276</v>
      </c>
      <c r="P2578" s="205" t="s">
        <v>2276</v>
      </c>
      <c r="Q2578" s="205" t="s">
        <v>2276</v>
      </c>
      <c r="R2578" s="205" t="s">
        <v>2276</v>
      </c>
      <c r="S2578" s="205" t="s">
        <v>2276</v>
      </c>
      <c r="T2578" s="205" t="s">
        <v>2276</v>
      </c>
      <c r="U2578" s="205" t="s">
        <v>2276</v>
      </c>
      <c r="V2578" s="205" t="s">
        <v>2276</v>
      </c>
      <c r="W2578" s="205" t="s">
        <v>2276</v>
      </c>
      <c r="X2578" s="205" t="s">
        <v>2276</v>
      </c>
      <c r="Y2578" s="205" t="s">
        <v>2276</v>
      </c>
      <c r="Z2578" s="205" t="s">
        <v>2276</v>
      </c>
      <c r="AA2578" s="205" t="s">
        <v>2276</v>
      </c>
      <c r="AB2578" s="205" t="s">
        <v>2276</v>
      </c>
      <c r="AC2578" s="205"/>
      <c r="AD2578" s="205"/>
    </row>
    <row r="2579" spans="1:30" ht="29">
      <c r="A2579" s="19" t="s">
        <v>7195</v>
      </c>
      <c r="B2579" s="19" t="s">
        <v>7264</v>
      </c>
      <c r="C2579" s="205" t="s">
        <v>24</v>
      </c>
      <c r="D2579" s="205" t="s">
        <v>2804</v>
      </c>
      <c r="E2579" s="205" t="s">
        <v>45</v>
      </c>
      <c r="F2579" s="4" t="s">
        <v>2662</v>
      </c>
      <c r="G2579" s="152" t="s">
        <v>2276</v>
      </c>
      <c r="H2579" s="205" t="s">
        <v>523</v>
      </c>
      <c r="I2579" s="205"/>
      <c r="J2579" s="205" t="s">
        <v>2276</v>
      </c>
      <c r="K2579" s="205" t="s">
        <v>2276</v>
      </c>
      <c r="L2579" s="205" t="s">
        <v>2276</v>
      </c>
      <c r="M2579" s="205" t="s">
        <v>2276</v>
      </c>
      <c r="N2579" s="205" t="s">
        <v>2276</v>
      </c>
      <c r="O2579" s="205" t="s">
        <v>2276</v>
      </c>
      <c r="P2579" s="205" t="s">
        <v>2276</v>
      </c>
      <c r="Q2579" s="205" t="s">
        <v>2276</v>
      </c>
      <c r="R2579" s="205" t="s">
        <v>2276</v>
      </c>
      <c r="S2579" s="205" t="s">
        <v>2276</v>
      </c>
      <c r="T2579" s="205" t="s">
        <v>2276</v>
      </c>
      <c r="U2579" s="205" t="s">
        <v>2276</v>
      </c>
      <c r="V2579" s="205" t="s">
        <v>2276</v>
      </c>
      <c r="W2579" s="205" t="s">
        <v>2276</v>
      </c>
      <c r="X2579" s="205" t="s">
        <v>2276</v>
      </c>
      <c r="Y2579" s="205" t="s">
        <v>2276</v>
      </c>
      <c r="Z2579" s="205" t="s">
        <v>2276</v>
      </c>
      <c r="AA2579" s="205" t="s">
        <v>2276</v>
      </c>
      <c r="AB2579" s="205" t="s">
        <v>2276</v>
      </c>
      <c r="AC2579" s="205"/>
      <c r="AD2579" s="205"/>
    </row>
    <row r="2580" spans="1:30" ht="29">
      <c r="A2580" s="19" t="s">
        <v>7196</v>
      </c>
      <c r="B2580" s="19" t="s">
        <v>7265</v>
      </c>
      <c r="C2580" s="205" t="s">
        <v>24</v>
      </c>
      <c r="D2580" s="205" t="s">
        <v>2804</v>
      </c>
      <c r="E2580" s="205" t="s">
        <v>45</v>
      </c>
      <c r="F2580" s="4" t="s">
        <v>2662</v>
      </c>
      <c r="G2580" s="152" t="s">
        <v>2276</v>
      </c>
      <c r="H2580" s="205" t="s">
        <v>523</v>
      </c>
      <c r="I2580" s="205"/>
      <c r="J2580" s="205" t="s">
        <v>2276</v>
      </c>
      <c r="K2580" s="205" t="s">
        <v>2276</v>
      </c>
      <c r="L2580" s="205" t="s">
        <v>2276</v>
      </c>
      <c r="M2580" s="205" t="s">
        <v>2276</v>
      </c>
      <c r="N2580" s="205" t="s">
        <v>2276</v>
      </c>
      <c r="O2580" s="205" t="s">
        <v>2276</v>
      </c>
      <c r="P2580" s="205" t="s">
        <v>2276</v>
      </c>
      <c r="Q2580" s="205" t="s">
        <v>2276</v>
      </c>
      <c r="R2580" s="205" t="s">
        <v>2276</v>
      </c>
      <c r="S2580" s="205" t="s">
        <v>2276</v>
      </c>
      <c r="T2580" s="205" t="s">
        <v>2276</v>
      </c>
      <c r="U2580" s="205" t="s">
        <v>2276</v>
      </c>
      <c r="V2580" s="205" t="s">
        <v>2276</v>
      </c>
      <c r="W2580" s="205" t="s">
        <v>2276</v>
      </c>
      <c r="X2580" s="205" t="s">
        <v>2276</v>
      </c>
      <c r="Y2580" s="205" t="s">
        <v>2276</v>
      </c>
      <c r="Z2580" s="205" t="s">
        <v>2276</v>
      </c>
      <c r="AA2580" s="205" t="s">
        <v>2276</v>
      </c>
      <c r="AB2580" s="205" t="s">
        <v>2276</v>
      </c>
      <c r="AC2580" s="205"/>
      <c r="AD2580" s="205"/>
    </row>
    <row r="2581" spans="1:30" ht="29">
      <c r="A2581" s="19" t="s">
        <v>7197</v>
      </c>
      <c r="B2581" s="19" t="s">
        <v>7273</v>
      </c>
      <c r="C2581" s="205" t="s">
        <v>24</v>
      </c>
      <c r="D2581" s="205" t="s">
        <v>2804</v>
      </c>
      <c r="E2581" s="205" t="s">
        <v>45</v>
      </c>
      <c r="F2581" s="4" t="s">
        <v>2662</v>
      </c>
      <c r="G2581" s="152" t="s">
        <v>2276</v>
      </c>
      <c r="H2581" s="205" t="s">
        <v>523</v>
      </c>
      <c r="I2581" s="205"/>
      <c r="J2581" s="205" t="s">
        <v>2276</v>
      </c>
      <c r="K2581" s="205" t="s">
        <v>2276</v>
      </c>
      <c r="L2581" s="205" t="s">
        <v>2276</v>
      </c>
      <c r="M2581" s="205" t="s">
        <v>2276</v>
      </c>
      <c r="N2581" s="205" t="s">
        <v>2276</v>
      </c>
      <c r="O2581" s="205" t="s">
        <v>2276</v>
      </c>
      <c r="P2581" s="205" t="s">
        <v>2276</v>
      </c>
      <c r="Q2581" s="205" t="s">
        <v>2276</v>
      </c>
      <c r="R2581" s="205" t="s">
        <v>2276</v>
      </c>
      <c r="S2581" s="205" t="s">
        <v>2276</v>
      </c>
      <c r="T2581" s="205" t="s">
        <v>2276</v>
      </c>
      <c r="U2581" s="205" t="s">
        <v>2276</v>
      </c>
      <c r="V2581" s="205" t="s">
        <v>2276</v>
      </c>
      <c r="W2581" s="205" t="s">
        <v>2276</v>
      </c>
      <c r="X2581" s="205" t="s">
        <v>2276</v>
      </c>
      <c r="Y2581" s="205" t="s">
        <v>2276</v>
      </c>
      <c r="Z2581" s="205" t="s">
        <v>2276</v>
      </c>
      <c r="AA2581" s="205" t="s">
        <v>2276</v>
      </c>
      <c r="AB2581" s="205" t="s">
        <v>2276</v>
      </c>
      <c r="AC2581" s="205"/>
      <c r="AD2581" s="205"/>
    </row>
    <row r="2582" spans="1:30" ht="37" customHeight="1">
      <c r="A2582" s="19" t="s">
        <v>7241</v>
      </c>
      <c r="B2582" s="19" t="s">
        <v>7293</v>
      </c>
      <c r="C2582" s="205" t="s">
        <v>24</v>
      </c>
      <c r="D2582" s="205" t="s">
        <v>2804</v>
      </c>
      <c r="E2582" s="205" t="s">
        <v>45</v>
      </c>
      <c r="F2582" s="4" t="s">
        <v>2662</v>
      </c>
      <c r="G2582" s="152" t="s">
        <v>2276</v>
      </c>
      <c r="H2582" s="205" t="s">
        <v>523</v>
      </c>
      <c r="I2582" s="205"/>
      <c r="J2582" s="205" t="s">
        <v>2276</v>
      </c>
      <c r="K2582" s="205" t="s">
        <v>2276</v>
      </c>
      <c r="L2582" s="205" t="s">
        <v>2276</v>
      </c>
      <c r="M2582" s="205" t="s">
        <v>2276</v>
      </c>
      <c r="N2582" s="205" t="s">
        <v>2276</v>
      </c>
      <c r="O2582" s="205" t="s">
        <v>2276</v>
      </c>
      <c r="P2582" s="205" t="s">
        <v>2276</v>
      </c>
      <c r="Q2582" s="205" t="s">
        <v>2276</v>
      </c>
      <c r="R2582" s="205" t="s">
        <v>2276</v>
      </c>
      <c r="S2582" s="205" t="s">
        <v>2276</v>
      </c>
      <c r="T2582" s="205" t="s">
        <v>2276</v>
      </c>
      <c r="U2582" s="205" t="s">
        <v>2276</v>
      </c>
      <c r="V2582" s="205" t="s">
        <v>2276</v>
      </c>
      <c r="W2582" s="205" t="s">
        <v>2276</v>
      </c>
      <c r="X2582" s="205" t="s">
        <v>2276</v>
      </c>
      <c r="Y2582" s="205" t="s">
        <v>2276</v>
      </c>
      <c r="Z2582" s="205" t="s">
        <v>34</v>
      </c>
      <c r="AA2582" s="205" t="s">
        <v>405</v>
      </c>
      <c r="AB2582" s="205" t="s">
        <v>2276</v>
      </c>
      <c r="AC2582" s="11" t="s">
        <v>7294</v>
      </c>
      <c r="AD2582" s="205"/>
    </row>
    <row r="2583" spans="1:30" s="204" customFormat="1" ht="37" customHeight="1">
      <c r="A2583" s="19" t="s">
        <v>7241</v>
      </c>
      <c r="B2583" s="19" t="s">
        <v>7295</v>
      </c>
      <c r="C2583" s="205" t="s">
        <v>2458</v>
      </c>
      <c r="D2583" s="205" t="s">
        <v>2804</v>
      </c>
      <c r="E2583" s="205" t="s">
        <v>45</v>
      </c>
      <c r="F2583" s="4" t="s">
        <v>2662</v>
      </c>
      <c r="G2583" s="152" t="s">
        <v>2276</v>
      </c>
      <c r="H2583" s="205" t="s">
        <v>523</v>
      </c>
      <c r="I2583" s="205"/>
      <c r="J2583" s="205" t="s">
        <v>2276</v>
      </c>
      <c r="K2583" s="205" t="s">
        <v>2276</v>
      </c>
      <c r="L2583" s="205" t="s">
        <v>2276</v>
      </c>
      <c r="M2583" s="205" t="s">
        <v>2276</v>
      </c>
      <c r="N2583" s="205" t="s">
        <v>2276</v>
      </c>
      <c r="O2583" s="205" t="s">
        <v>2276</v>
      </c>
      <c r="P2583" s="205" t="s">
        <v>2276</v>
      </c>
      <c r="Q2583" s="205" t="s">
        <v>2276</v>
      </c>
      <c r="R2583" s="205" t="s">
        <v>2276</v>
      </c>
      <c r="S2583" s="205" t="s">
        <v>2276</v>
      </c>
      <c r="T2583" s="205" t="s">
        <v>2276</v>
      </c>
      <c r="U2583" s="205" t="s">
        <v>2276</v>
      </c>
      <c r="V2583" s="205" t="s">
        <v>2276</v>
      </c>
      <c r="W2583" s="205" t="s">
        <v>2276</v>
      </c>
      <c r="X2583" s="205" t="s">
        <v>2276</v>
      </c>
      <c r="Y2583" s="205" t="s">
        <v>2276</v>
      </c>
      <c r="Z2583" s="205" t="s">
        <v>2276</v>
      </c>
      <c r="AA2583" s="205" t="s">
        <v>2276</v>
      </c>
      <c r="AB2583" s="205" t="s">
        <v>2276</v>
      </c>
      <c r="AC2583" s="11" t="s">
        <v>7297</v>
      </c>
      <c r="AD2583" s="205"/>
    </row>
    <row r="2584" spans="1:30" ht="32.5" customHeight="1">
      <c r="A2584" s="19" t="s">
        <v>7242</v>
      </c>
      <c r="B2584" s="19" t="s">
        <v>7296</v>
      </c>
      <c r="C2584" s="205" t="s">
        <v>24</v>
      </c>
      <c r="D2584" s="205" t="s">
        <v>2804</v>
      </c>
      <c r="E2584" s="205" t="s">
        <v>45</v>
      </c>
      <c r="F2584" s="4" t="s">
        <v>2662</v>
      </c>
      <c r="G2584" s="152" t="s">
        <v>2276</v>
      </c>
      <c r="H2584" s="205" t="s">
        <v>523</v>
      </c>
      <c r="I2584" s="205"/>
      <c r="J2584" s="205" t="s">
        <v>2276</v>
      </c>
      <c r="K2584" s="205" t="s">
        <v>2276</v>
      </c>
      <c r="L2584" s="205" t="s">
        <v>2276</v>
      </c>
      <c r="M2584" s="205" t="s">
        <v>2276</v>
      </c>
      <c r="N2584" s="205" t="s">
        <v>2276</v>
      </c>
      <c r="O2584" s="205" t="s">
        <v>2276</v>
      </c>
      <c r="P2584" s="205" t="s">
        <v>2276</v>
      </c>
      <c r="Q2584" s="205" t="s">
        <v>2276</v>
      </c>
      <c r="R2584" s="205" t="s">
        <v>2276</v>
      </c>
      <c r="S2584" s="205" t="s">
        <v>2276</v>
      </c>
      <c r="T2584" s="205" t="s">
        <v>2276</v>
      </c>
      <c r="U2584" s="205" t="s">
        <v>2276</v>
      </c>
      <c r="V2584" s="205" t="s">
        <v>2276</v>
      </c>
      <c r="W2584" s="205" t="s">
        <v>2276</v>
      </c>
      <c r="X2584" s="205" t="s">
        <v>2276</v>
      </c>
      <c r="Y2584" s="205" t="s">
        <v>2276</v>
      </c>
      <c r="Z2584" s="205" t="s">
        <v>34</v>
      </c>
      <c r="AA2584" s="205" t="s">
        <v>405</v>
      </c>
      <c r="AB2584" s="205" t="s">
        <v>2276</v>
      </c>
      <c r="AC2584" s="11" t="s">
        <v>7294</v>
      </c>
      <c r="AD2584" s="205"/>
    </row>
    <row r="2585" spans="1:30" ht="35.5" customHeight="1">
      <c r="A2585" s="19" t="s">
        <v>7243</v>
      </c>
      <c r="B2585" s="19" t="s">
        <v>7298</v>
      </c>
      <c r="C2585" s="205" t="s">
        <v>24</v>
      </c>
      <c r="D2585" s="205" t="s">
        <v>2804</v>
      </c>
      <c r="E2585" s="205" t="s">
        <v>45</v>
      </c>
      <c r="F2585" s="4" t="s">
        <v>2662</v>
      </c>
      <c r="G2585" s="152" t="s">
        <v>2276</v>
      </c>
      <c r="H2585" s="205" t="s">
        <v>523</v>
      </c>
      <c r="I2585" s="205"/>
      <c r="J2585" s="205" t="s">
        <v>2276</v>
      </c>
      <c r="K2585" s="205" t="s">
        <v>2276</v>
      </c>
      <c r="L2585" s="205" t="s">
        <v>2276</v>
      </c>
      <c r="M2585" s="205" t="s">
        <v>2276</v>
      </c>
      <c r="N2585" s="205" t="s">
        <v>2276</v>
      </c>
      <c r="O2585" s="205" t="s">
        <v>2276</v>
      </c>
      <c r="P2585" s="205" t="s">
        <v>2276</v>
      </c>
      <c r="Q2585" s="205" t="s">
        <v>2276</v>
      </c>
      <c r="R2585" s="205" t="s">
        <v>2276</v>
      </c>
      <c r="S2585" s="205" t="s">
        <v>2276</v>
      </c>
      <c r="T2585" s="205" t="s">
        <v>2276</v>
      </c>
      <c r="U2585" s="205" t="s">
        <v>2276</v>
      </c>
      <c r="V2585" s="205" t="s">
        <v>2276</v>
      </c>
      <c r="W2585" s="205" t="s">
        <v>2276</v>
      </c>
      <c r="X2585" s="205" t="s">
        <v>2276</v>
      </c>
      <c r="Y2585" s="205" t="s">
        <v>2276</v>
      </c>
      <c r="Z2585" s="205" t="s">
        <v>34</v>
      </c>
      <c r="AA2585" s="205" t="s">
        <v>405</v>
      </c>
      <c r="AB2585" s="205" t="s">
        <v>2276</v>
      </c>
      <c r="AC2585" s="11" t="s">
        <v>7294</v>
      </c>
      <c r="AD2585" s="205"/>
    </row>
    <row r="2586" spans="1:30" ht="29">
      <c r="A2586" s="19" t="s">
        <v>7244</v>
      </c>
      <c r="B2586" s="19" t="s">
        <v>7300</v>
      </c>
      <c r="C2586" s="205" t="s">
        <v>24</v>
      </c>
      <c r="D2586" s="205" t="s">
        <v>2804</v>
      </c>
      <c r="E2586" s="205" t="s">
        <v>45</v>
      </c>
      <c r="F2586" s="4" t="s">
        <v>2662</v>
      </c>
      <c r="G2586" s="152" t="s">
        <v>2276</v>
      </c>
      <c r="H2586" s="205" t="s">
        <v>523</v>
      </c>
      <c r="I2586" s="205"/>
      <c r="J2586" s="205" t="s">
        <v>2276</v>
      </c>
      <c r="K2586" s="205" t="s">
        <v>2276</v>
      </c>
      <c r="L2586" s="205" t="s">
        <v>2276</v>
      </c>
      <c r="M2586" s="205" t="s">
        <v>2276</v>
      </c>
      <c r="N2586" s="205" t="s">
        <v>2276</v>
      </c>
      <c r="O2586" s="205" t="s">
        <v>2276</v>
      </c>
      <c r="P2586" s="205" t="s">
        <v>2276</v>
      </c>
      <c r="Q2586" s="205" t="s">
        <v>2276</v>
      </c>
      <c r="R2586" s="205" t="s">
        <v>2276</v>
      </c>
      <c r="S2586" s="205" t="s">
        <v>2276</v>
      </c>
      <c r="T2586" s="205" t="s">
        <v>2276</v>
      </c>
      <c r="U2586" s="205" t="s">
        <v>2276</v>
      </c>
      <c r="V2586" s="205" t="s">
        <v>2276</v>
      </c>
      <c r="W2586" s="205" t="s">
        <v>2276</v>
      </c>
      <c r="X2586" s="205" t="s">
        <v>2276</v>
      </c>
      <c r="Y2586" s="205" t="s">
        <v>2276</v>
      </c>
      <c r="Z2586" s="205" t="s">
        <v>2276</v>
      </c>
      <c r="AA2586" s="205" t="s">
        <v>2276</v>
      </c>
      <c r="AB2586" s="205" t="s">
        <v>2276</v>
      </c>
      <c r="AC2586" s="205"/>
      <c r="AD2586" s="205"/>
    </row>
    <row r="2587" spans="1:30" ht="29">
      <c r="A2587" s="19" t="s">
        <v>7244</v>
      </c>
      <c r="B2587" s="19" t="s">
        <v>7301</v>
      </c>
      <c r="C2587" s="205" t="s">
        <v>24</v>
      </c>
      <c r="D2587" s="205" t="s">
        <v>2804</v>
      </c>
      <c r="E2587" s="205" t="s">
        <v>5005</v>
      </c>
      <c r="F2587" s="4" t="s">
        <v>2662</v>
      </c>
      <c r="G2587" s="152" t="s">
        <v>2276</v>
      </c>
      <c r="H2587" s="205" t="s">
        <v>523</v>
      </c>
      <c r="I2587" s="205"/>
      <c r="J2587" s="205" t="s">
        <v>2276</v>
      </c>
      <c r="K2587" s="205" t="s">
        <v>2276</v>
      </c>
      <c r="L2587" s="205" t="s">
        <v>2276</v>
      </c>
      <c r="M2587" s="205" t="s">
        <v>2276</v>
      </c>
      <c r="N2587" s="205" t="s">
        <v>2276</v>
      </c>
      <c r="O2587" s="205" t="s">
        <v>2276</v>
      </c>
      <c r="P2587" s="205" t="s">
        <v>2276</v>
      </c>
      <c r="Q2587" s="205" t="s">
        <v>2276</v>
      </c>
      <c r="R2587" s="205" t="s">
        <v>2276</v>
      </c>
      <c r="S2587" s="205" t="s">
        <v>2276</v>
      </c>
      <c r="T2587" s="205" t="s">
        <v>2276</v>
      </c>
      <c r="U2587" s="205" t="s">
        <v>2276</v>
      </c>
      <c r="V2587" s="205" t="s">
        <v>2276</v>
      </c>
      <c r="W2587" s="205" t="s">
        <v>2276</v>
      </c>
      <c r="X2587" s="205" t="s">
        <v>2276</v>
      </c>
      <c r="Y2587" s="205" t="s">
        <v>2276</v>
      </c>
      <c r="Z2587" s="205" t="s">
        <v>2276</v>
      </c>
      <c r="AA2587" s="205" t="s">
        <v>2276</v>
      </c>
      <c r="AB2587" s="205" t="s">
        <v>2276</v>
      </c>
      <c r="AC2587" s="205"/>
      <c r="AD2587" s="205"/>
    </row>
    <row r="2588" spans="1:30" ht="29">
      <c r="A2588" s="19" t="s">
        <v>7302</v>
      </c>
      <c r="B2588" s="19" t="s">
        <v>7303</v>
      </c>
      <c r="C2588" s="205" t="s">
        <v>24</v>
      </c>
      <c r="D2588" s="205" t="s">
        <v>2804</v>
      </c>
      <c r="E2588" s="205" t="s">
        <v>45</v>
      </c>
      <c r="F2588" s="4" t="s">
        <v>2662</v>
      </c>
      <c r="G2588" s="152" t="s">
        <v>2276</v>
      </c>
      <c r="H2588" s="205" t="s">
        <v>523</v>
      </c>
      <c r="I2588" s="205"/>
      <c r="J2588" s="205" t="s">
        <v>2276</v>
      </c>
      <c r="K2588" s="205" t="s">
        <v>2276</v>
      </c>
      <c r="L2588" s="205" t="s">
        <v>2276</v>
      </c>
      <c r="M2588" s="205" t="s">
        <v>2276</v>
      </c>
      <c r="N2588" s="205" t="s">
        <v>2276</v>
      </c>
      <c r="O2588" s="205" t="s">
        <v>2276</v>
      </c>
      <c r="P2588" s="205" t="s">
        <v>2276</v>
      </c>
      <c r="Q2588" s="205" t="s">
        <v>2276</v>
      </c>
      <c r="R2588" s="205" t="s">
        <v>2276</v>
      </c>
      <c r="S2588" s="205" t="s">
        <v>2276</v>
      </c>
      <c r="T2588" s="205" t="s">
        <v>2276</v>
      </c>
      <c r="U2588" s="205" t="s">
        <v>2276</v>
      </c>
      <c r="V2588" s="205" t="s">
        <v>2276</v>
      </c>
      <c r="W2588" s="205" t="s">
        <v>2276</v>
      </c>
      <c r="X2588" s="205" t="s">
        <v>2276</v>
      </c>
      <c r="Y2588" s="205" t="s">
        <v>2276</v>
      </c>
      <c r="Z2588" s="205" t="s">
        <v>2276</v>
      </c>
      <c r="AA2588" s="205" t="s">
        <v>2276</v>
      </c>
      <c r="AB2588" s="205" t="s">
        <v>2276</v>
      </c>
      <c r="AC2588" s="205"/>
      <c r="AD2588" s="205"/>
    </row>
    <row r="2589" spans="1:30" ht="29">
      <c r="A2589" s="19" t="s">
        <v>7302</v>
      </c>
      <c r="B2589" s="19" t="s">
        <v>7304</v>
      </c>
      <c r="C2589" s="205" t="s">
        <v>24</v>
      </c>
      <c r="D2589" s="205" t="s">
        <v>2804</v>
      </c>
      <c r="E2589" s="205" t="s">
        <v>5005</v>
      </c>
      <c r="F2589" s="4" t="s">
        <v>2662</v>
      </c>
      <c r="G2589" s="152" t="s">
        <v>2276</v>
      </c>
      <c r="H2589" s="205" t="s">
        <v>523</v>
      </c>
      <c r="I2589" s="205"/>
      <c r="J2589" s="205" t="s">
        <v>2276</v>
      </c>
      <c r="K2589" s="205" t="s">
        <v>2276</v>
      </c>
      <c r="L2589" s="205" t="s">
        <v>2276</v>
      </c>
      <c r="M2589" s="205" t="s">
        <v>2276</v>
      </c>
      <c r="N2589" s="205" t="s">
        <v>2276</v>
      </c>
      <c r="O2589" s="205" t="s">
        <v>2276</v>
      </c>
      <c r="P2589" s="205" t="s">
        <v>2276</v>
      </c>
      <c r="Q2589" s="205" t="s">
        <v>2276</v>
      </c>
      <c r="R2589" s="205" t="s">
        <v>2276</v>
      </c>
      <c r="S2589" s="205" t="s">
        <v>2276</v>
      </c>
      <c r="T2589" s="205" t="s">
        <v>2276</v>
      </c>
      <c r="U2589" s="205" t="s">
        <v>2276</v>
      </c>
      <c r="V2589" s="205" t="s">
        <v>2276</v>
      </c>
      <c r="W2589" s="205" t="s">
        <v>2276</v>
      </c>
      <c r="X2589" s="205" t="s">
        <v>2276</v>
      </c>
      <c r="Y2589" s="205" t="s">
        <v>2276</v>
      </c>
      <c r="Z2589" s="205" t="s">
        <v>2276</v>
      </c>
      <c r="AA2589" s="205" t="s">
        <v>2276</v>
      </c>
      <c r="AB2589" s="205" t="s">
        <v>2276</v>
      </c>
      <c r="AC2589" s="205"/>
      <c r="AD2589" s="205"/>
    </row>
    <row r="2590" spans="1:30" ht="31.5" customHeight="1">
      <c r="A2590" s="19" t="s">
        <v>7306</v>
      </c>
      <c r="B2590" s="19" t="s">
        <v>7313</v>
      </c>
      <c r="C2590" s="205" t="s">
        <v>24</v>
      </c>
      <c r="D2590" s="205" t="s">
        <v>1242</v>
      </c>
      <c r="E2590" s="205" t="s">
        <v>3209</v>
      </c>
      <c r="F2590" s="4" t="s">
        <v>2662</v>
      </c>
      <c r="G2590" s="152" t="s">
        <v>2276</v>
      </c>
      <c r="H2590" s="205" t="s">
        <v>523</v>
      </c>
      <c r="I2590" s="205"/>
      <c r="J2590" s="205" t="s">
        <v>2276</v>
      </c>
      <c r="K2590" s="205" t="s">
        <v>2276</v>
      </c>
      <c r="L2590" s="205" t="s">
        <v>2276</v>
      </c>
      <c r="M2590" s="205" t="s">
        <v>2276</v>
      </c>
      <c r="N2590" s="205" t="s">
        <v>2276</v>
      </c>
      <c r="O2590" s="205" t="s">
        <v>2276</v>
      </c>
      <c r="P2590" s="205" t="s">
        <v>2276</v>
      </c>
      <c r="Q2590" s="205" t="s">
        <v>2276</v>
      </c>
      <c r="R2590" s="205" t="s">
        <v>2276</v>
      </c>
      <c r="S2590" s="205" t="s">
        <v>2276</v>
      </c>
      <c r="T2590" s="14">
        <v>10000</v>
      </c>
      <c r="U2590" s="205" t="s">
        <v>2276</v>
      </c>
      <c r="V2590" s="205" t="s">
        <v>2276</v>
      </c>
      <c r="W2590" s="205" t="s">
        <v>2276</v>
      </c>
      <c r="X2590" s="14">
        <f>10000/'Record info'!K1110</f>
        <v>6.4794494541387804E-3</v>
      </c>
      <c r="Y2590" s="205" t="s">
        <v>2276</v>
      </c>
      <c r="Z2590" s="205" t="s">
        <v>2276</v>
      </c>
      <c r="AA2590" s="205" t="s">
        <v>2276</v>
      </c>
      <c r="AB2590" s="205" t="s">
        <v>2276</v>
      </c>
      <c r="AC2590" s="4" t="s">
        <v>7322</v>
      </c>
      <c r="AD2590" s="205"/>
    </row>
    <row r="2591" spans="1:30" ht="39" customHeight="1">
      <c r="A2591" s="19" t="s">
        <v>7307</v>
      </c>
      <c r="B2591" s="19" t="s">
        <v>7314</v>
      </c>
      <c r="C2591" s="205" t="s">
        <v>24</v>
      </c>
      <c r="D2591" s="205" t="s">
        <v>1242</v>
      </c>
      <c r="E2591" s="205" t="s">
        <v>3209</v>
      </c>
      <c r="F2591" s="4" t="s">
        <v>2662</v>
      </c>
      <c r="G2591" s="152" t="s">
        <v>2276</v>
      </c>
      <c r="H2591" s="205" t="s">
        <v>524</v>
      </c>
      <c r="I2591" s="205"/>
      <c r="J2591" s="21">
        <v>0</v>
      </c>
      <c r="K2591" s="21">
        <v>0</v>
      </c>
      <c r="L2591" s="21">
        <v>0</v>
      </c>
      <c r="M2591" s="21">
        <v>0</v>
      </c>
      <c r="N2591" s="21">
        <v>0</v>
      </c>
      <c r="O2591" s="21">
        <v>0</v>
      </c>
      <c r="P2591" s="21">
        <v>0</v>
      </c>
      <c r="Q2591" s="21">
        <v>0</v>
      </c>
      <c r="R2591" s="21">
        <v>0</v>
      </c>
      <c r="S2591" s="21">
        <v>0</v>
      </c>
      <c r="T2591" s="21">
        <v>0</v>
      </c>
      <c r="U2591" s="21">
        <v>0</v>
      </c>
      <c r="V2591" s="21">
        <v>0</v>
      </c>
      <c r="W2591" s="21">
        <v>0</v>
      </c>
      <c r="X2591" s="21">
        <v>0</v>
      </c>
      <c r="Y2591" s="205" t="s">
        <v>2276</v>
      </c>
      <c r="Z2591" s="205" t="s">
        <v>2276</v>
      </c>
      <c r="AA2591" s="205" t="s">
        <v>2276</v>
      </c>
      <c r="AB2591" s="205" t="s">
        <v>2276</v>
      </c>
      <c r="AC2591" s="4" t="s">
        <v>7322</v>
      </c>
      <c r="AD2591" s="205"/>
    </row>
    <row r="2592" spans="1:30" ht="31.5" customHeight="1">
      <c r="A2592" s="19" t="s">
        <v>7307</v>
      </c>
      <c r="B2592" s="19" t="s">
        <v>7315</v>
      </c>
      <c r="C2592" s="205" t="s">
        <v>24</v>
      </c>
      <c r="D2592" s="205" t="s">
        <v>1242</v>
      </c>
      <c r="E2592" s="205" t="s">
        <v>3209</v>
      </c>
      <c r="F2592" s="4" t="s">
        <v>2662</v>
      </c>
      <c r="G2592" s="152" t="s">
        <v>2276</v>
      </c>
      <c r="H2592" s="205" t="s">
        <v>524</v>
      </c>
      <c r="I2592" s="205"/>
      <c r="J2592" s="21">
        <v>0</v>
      </c>
      <c r="K2592" s="21">
        <v>0</v>
      </c>
      <c r="L2592" s="21">
        <v>0</v>
      </c>
      <c r="M2592" s="21">
        <v>0</v>
      </c>
      <c r="N2592" s="21">
        <v>0</v>
      </c>
      <c r="O2592" s="21">
        <v>0</v>
      </c>
      <c r="P2592" s="21">
        <v>0</v>
      </c>
      <c r="Q2592" s="21">
        <v>0</v>
      </c>
      <c r="R2592" s="21">
        <v>0</v>
      </c>
      <c r="S2592" s="21">
        <v>0</v>
      </c>
      <c r="T2592" s="21">
        <v>0</v>
      </c>
      <c r="U2592" s="21">
        <v>0</v>
      </c>
      <c r="V2592" s="21">
        <v>0</v>
      </c>
      <c r="W2592" s="21">
        <v>0</v>
      </c>
      <c r="X2592" s="21">
        <v>0</v>
      </c>
      <c r="Y2592" s="205" t="s">
        <v>2276</v>
      </c>
      <c r="Z2592" s="205" t="s">
        <v>2276</v>
      </c>
      <c r="AA2592" s="205" t="s">
        <v>2276</v>
      </c>
      <c r="AB2592" s="205" t="s">
        <v>2276</v>
      </c>
      <c r="AC2592" s="205"/>
      <c r="AD2592" s="205"/>
    </row>
    <row r="2593" spans="1:30" ht="32.5" customHeight="1">
      <c r="A2593" s="19" t="s">
        <v>7308</v>
      </c>
      <c r="B2593" s="19" t="s">
        <v>7321</v>
      </c>
      <c r="C2593" s="205" t="s">
        <v>24</v>
      </c>
      <c r="D2593" s="205" t="s">
        <v>1242</v>
      </c>
      <c r="E2593" s="205" t="s">
        <v>3209</v>
      </c>
      <c r="F2593" s="4" t="s">
        <v>2662</v>
      </c>
      <c r="G2593" s="152" t="s">
        <v>2276</v>
      </c>
      <c r="H2593" s="205" t="s">
        <v>523</v>
      </c>
      <c r="I2593" s="205"/>
      <c r="J2593" s="205" t="s">
        <v>2276</v>
      </c>
      <c r="K2593" s="205" t="s">
        <v>2276</v>
      </c>
      <c r="L2593" s="205" t="s">
        <v>2276</v>
      </c>
      <c r="M2593" s="205" t="s">
        <v>2276</v>
      </c>
      <c r="N2593" s="205" t="s">
        <v>2276</v>
      </c>
      <c r="O2593" s="205" t="s">
        <v>2276</v>
      </c>
      <c r="P2593" s="205" t="s">
        <v>2276</v>
      </c>
      <c r="Q2593" s="205" t="s">
        <v>2276</v>
      </c>
      <c r="R2593" s="205" t="s">
        <v>2276</v>
      </c>
      <c r="S2593" s="205" t="s">
        <v>2276</v>
      </c>
      <c r="T2593" s="205" t="s">
        <v>2276</v>
      </c>
      <c r="U2593" s="205" t="s">
        <v>2276</v>
      </c>
      <c r="V2593" s="205" t="s">
        <v>2276</v>
      </c>
      <c r="W2593" s="205" t="s">
        <v>2276</v>
      </c>
      <c r="X2593" s="21">
        <v>0.6</v>
      </c>
      <c r="Y2593" s="205" t="s">
        <v>2276</v>
      </c>
      <c r="Z2593" s="205" t="s">
        <v>2276</v>
      </c>
      <c r="AA2593" s="205" t="s">
        <v>2276</v>
      </c>
      <c r="AB2593" s="205" t="s">
        <v>2276</v>
      </c>
      <c r="AC2593" s="205"/>
      <c r="AD2593" s="205"/>
    </row>
    <row r="2594" spans="1:30" ht="29" customHeight="1">
      <c r="A2594" s="19" t="s">
        <v>7309</v>
      </c>
      <c r="B2594" s="19" t="s">
        <v>7323</v>
      </c>
      <c r="C2594" s="205" t="s">
        <v>24</v>
      </c>
      <c r="D2594" s="205" t="s">
        <v>1242</v>
      </c>
      <c r="E2594" s="205" t="s">
        <v>3209</v>
      </c>
      <c r="F2594" s="4" t="s">
        <v>2662</v>
      </c>
      <c r="G2594" s="152" t="s">
        <v>2276</v>
      </c>
      <c r="H2594" s="205" t="s">
        <v>523</v>
      </c>
      <c r="I2594" s="205"/>
      <c r="J2594" s="205" t="s">
        <v>2276</v>
      </c>
      <c r="K2594" s="205" t="s">
        <v>2276</v>
      </c>
      <c r="L2594" s="205" t="s">
        <v>2276</v>
      </c>
      <c r="M2594" s="205" t="s">
        <v>2276</v>
      </c>
      <c r="N2594" s="205" t="s">
        <v>2276</v>
      </c>
      <c r="O2594" s="205" t="s">
        <v>2276</v>
      </c>
      <c r="P2594" s="205" t="s">
        <v>2276</v>
      </c>
      <c r="Q2594" s="205" t="s">
        <v>2276</v>
      </c>
      <c r="R2594" s="205" t="s">
        <v>2276</v>
      </c>
      <c r="S2594" s="205" t="s">
        <v>2276</v>
      </c>
      <c r="T2594" s="205" t="s">
        <v>2276</v>
      </c>
      <c r="U2594" s="205" t="s">
        <v>2276</v>
      </c>
      <c r="V2594" s="205" t="s">
        <v>2276</v>
      </c>
      <c r="W2594" s="205" t="s">
        <v>2276</v>
      </c>
      <c r="X2594" s="205" t="s">
        <v>2276</v>
      </c>
      <c r="Y2594" s="205" t="s">
        <v>2276</v>
      </c>
      <c r="Z2594" s="205" t="s">
        <v>2276</v>
      </c>
      <c r="AA2594" s="205" t="s">
        <v>2276</v>
      </c>
      <c r="AB2594" s="205" t="s">
        <v>2276</v>
      </c>
      <c r="AC2594" s="205"/>
      <c r="AD2594" s="205"/>
    </row>
    <row r="2595" spans="1:30" ht="30" customHeight="1">
      <c r="A2595" s="19" t="s">
        <v>7309</v>
      </c>
      <c r="B2595" s="205" t="s">
        <v>7325</v>
      </c>
      <c r="C2595" s="205" t="s">
        <v>24</v>
      </c>
      <c r="D2595" s="205" t="s">
        <v>2804</v>
      </c>
      <c r="E2595" s="205" t="s">
        <v>45</v>
      </c>
      <c r="F2595" s="4" t="s">
        <v>2662</v>
      </c>
      <c r="G2595" s="152" t="s">
        <v>2276</v>
      </c>
      <c r="H2595" s="205" t="s">
        <v>523</v>
      </c>
      <c r="I2595" s="205"/>
      <c r="J2595" s="205" t="s">
        <v>2276</v>
      </c>
      <c r="K2595" s="205" t="s">
        <v>2276</v>
      </c>
      <c r="L2595" s="205" t="s">
        <v>2276</v>
      </c>
      <c r="M2595" s="205" t="s">
        <v>2276</v>
      </c>
      <c r="N2595" s="205" t="s">
        <v>2276</v>
      </c>
      <c r="O2595" s="205" t="s">
        <v>2276</v>
      </c>
      <c r="P2595" s="205" t="s">
        <v>2276</v>
      </c>
      <c r="Q2595" s="205" t="s">
        <v>2276</v>
      </c>
      <c r="R2595" s="205" t="s">
        <v>2276</v>
      </c>
      <c r="S2595" s="21">
        <v>10000</v>
      </c>
      <c r="T2595" s="205" t="s">
        <v>2276</v>
      </c>
      <c r="U2595" s="205" t="s">
        <v>2276</v>
      </c>
      <c r="V2595" s="205" t="s">
        <v>2276</v>
      </c>
      <c r="W2595" s="21">
        <f>S2595/'Record info'!K1113</f>
        <v>1.3080444735120995</v>
      </c>
      <c r="X2595" s="205" t="s">
        <v>2276</v>
      </c>
      <c r="Y2595" s="205" t="s">
        <v>2276</v>
      </c>
      <c r="Z2595" s="205" t="s">
        <v>2276</v>
      </c>
      <c r="AA2595" s="205" t="s">
        <v>2276</v>
      </c>
      <c r="AB2595" s="205" t="s">
        <v>2276</v>
      </c>
      <c r="AC2595" s="205"/>
      <c r="AD2595" s="205"/>
    </row>
    <row r="2596" spans="1:30" ht="34.5" customHeight="1">
      <c r="A2596" s="19" t="s">
        <v>7309</v>
      </c>
      <c r="B2596" s="19" t="s">
        <v>7326</v>
      </c>
      <c r="C2596" s="205" t="s">
        <v>2458</v>
      </c>
      <c r="D2596" s="205" t="s">
        <v>2804</v>
      </c>
      <c r="E2596" s="205" t="s">
        <v>45</v>
      </c>
      <c r="F2596" s="4" t="s">
        <v>2662</v>
      </c>
      <c r="G2596" s="152" t="s">
        <v>2276</v>
      </c>
      <c r="H2596" s="205" t="s">
        <v>523</v>
      </c>
      <c r="I2596" s="205"/>
      <c r="J2596" s="205" t="s">
        <v>2276</v>
      </c>
      <c r="K2596" s="205" t="s">
        <v>2276</v>
      </c>
      <c r="L2596" s="205" t="s">
        <v>2276</v>
      </c>
      <c r="M2596" s="205" t="s">
        <v>2276</v>
      </c>
      <c r="N2596" s="205" t="s">
        <v>2276</v>
      </c>
      <c r="O2596" s="205" t="s">
        <v>2276</v>
      </c>
      <c r="P2596" s="205" t="s">
        <v>2276</v>
      </c>
      <c r="Q2596" s="205" t="s">
        <v>2276</v>
      </c>
      <c r="R2596" s="205" t="s">
        <v>2276</v>
      </c>
      <c r="S2596" s="205" t="s">
        <v>2276</v>
      </c>
      <c r="T2596" s="205" t="s">
        <v>2276</v>
      </c>
      <c r="U2596" s="205" t="s">
        <v>2276</v>
      </c>
      <c r="V2596" s="205" t="s">
        <v>2276</v>
      </c>
      <c r="W2596" s="205" t="s">
        <v>2276</v>
      </c>
      <c r="X2596" s="205" t="s">
        <v>2276</v>
      </c>
      <c r="Y2596" s="205" t="s">
        <v>2276</v>
      </c>
      <c r="Z2596" s="205" t="s">
        <v>2276</v>
      </c>
      <c r="AA2596" s="205" t="s">
        <v>2276</v>
      </c>
      <c r="AB2596" s="205" t="s">
        <v>2276</v>
      </c>
      <c r="AC2596" s="205"/>
      <c r="AD2596" s="205"/>
    </row>
    <row r="2597" spans="1:30" ht="28" customHeight="1">
      <c r="A2597" s="19" t="s">
        <v>7310</v>
      </c>
      <c r="B2597" s="19" t="s">
        <v>7324</v>
      </c>
      <c r="C2597" s="205" t="s">
        <v>24</v>
      </c>
      <c r="D2597" s="205" t="s">
        <v>2804</v>
      </c>
      <c r="E2597" s="205" t="s">
        <v>45</v>
      </c>
      <c r="F2597" s="4" t="s">
        <v>2662</v>
      </c>
      <c r="G2597" s="152" t="s">
        <v>2276</v>
      </c>
      <c r="H2597" s="205" t="s">
        <v>523</v>
      </c>
      <c r="I2597" s="205">
        <v>1980</v>
      </c>
      <c r="J2597" s="205" t="s">
        <v>2276</v>
      </c>
      <c r="K2597" s="205" t="s">
        <v>2276</v>
      </c>
      <c r="L2597" s="205" t="s">
        <v>2276</v>
      </c>
      <c r="M2597" s="205" t="s">
        <v>2276</v>
      </c>
      <c r="N2597" s="205" t="s">
        <v>2276</v>
      </c>
      <c r="O2597" s="205" t="s">
        <v>2276</v>
      </c>
      <c r="P2597" s="205" t="s">
        <v>2276</v>
      </c>
      <c r="Q2597" s="205" t="s">
        <v>2276</v>
      </c>
      <c r="R2597" s="205" t="s">
        <v>2276</v>
      </c>
      <c r="S2597" s="205" t="s">
        <v>2276</v>
      </c>
      <c r="T2597" s="205" t="s">
        <v>2276</v>
      </c>
      <c r="U2597" s="205" t="s">
        <v>2276</v>
      </c>
      <c r="V2597" s="205" t="s">
        <v>2276</v>
      </c>
      <c r="W2597" s="205" t="s">
        <v>2276</v>
      </c>
      <c r="X2597" s="205" t="s">
        <v>2276</v>
      </c>
      <c r="Y2597" s="205" t="s">
        <v>2276</v>
      </c>
      <c r="Z2597" s="205" t="s">
        <v>2276</v>
      </c>
      <c r="AA2597" s="205" t="s">
        <v>2276</v>
      </c>
      <c r="AB2597" s="205" t="s">
        <v>2276</v>
      </c>
      <c r="AC2597" s="205"/>
      <c r="AD2597" s="205"/>
    </row>
    <row r="2598" spans="1:30" ht="28" customHeight="1">
      <c r="A2598" s="19" t="s">
        <v>7310</v>
      </c>
      <c r="B2598" s="19" t="s">
        <v>7331</v>
      </c>
      <c r="C2598" s="205" t="s">
        <v>24</v>
      </c>
      <c r="D2598" s="205" t="s">
        <v>2804</v>
      </c>
      <c r="E2598" s="205" t="s">
        <v>45</v>
      </c>
      <c r="F2598" s="4" t="s">
        <v>2662</v>
      </c>
      <c r="G2598" s="152" t="s">
        <v>2276</v>
      </c>
      <c r="H2598" s="205" t="s">
        <v>523</v>
      </c>
      <c r="I2598" s="205">
        <v>1990</v>
      </c>
      <c r="J2598" s="205" t="s">
        <v>2276</v>
      </c>
      <c r="K2598" s="205" t="s">
        <v>2276</v>
      </c>
      <c r="L2598" s="205" t="s">
        <v>2276</v>
      </c>
      <c r="M2598" s="205" t="s">
        <v>2276</v>
      </c>
      <c r="N2598" s="205" t="s">
        <v>2276</v>
      </c>
      <c r="O2598" s="205" t="s">
        <v>2276</v>
      </c>
      <c r="P2598" s="205" t="s">
        <v>2276</v>
      </c>
      <c r="Q2598" s="205" t="s">
        <v>2276</v>
      </c>
      <c r="R2598" s="205" t="s">
        <v>2276</v>
      </c>
      <c r="S2598" s="205" t="s">
        <v>2276</v>
      </c>
      <c r="T2598" s="205" t="s">
        <v>2276</v>
      </c>
      <c r="U2598" s="205" t="s">
        <v>2276</v>
      </c>
      <c r="V2598" s="205" t="s">
        <v>2276</v>
      </c>
      <c r="W2598" s="205" t="s">
        <v>2276</v>
      </c>
      <c r="X2598" s="205" t="s">
        <v>2276</v>
      </c>
      <c r="Y2598" s="205" t="s">
        <v>2276</v>
      </c>
      <c r="Z2598" s="205" t="s">
        <v>2276</v>
      </c>
      <c r="AA2598" s="205" t="s">
        <v>2276</v>
      </c>
      <c r="AB2598" s="205" t="s">
        <v>2276</v>
      </c>
      <c r="AC2598" s="205"/>
      <c r="AD2598" s="205"/>
    </row>
    <row r="2599" spans="1:30" ht="28" customHeight="1">
      <c r="A2599" s="19" t="s">
        <v>7310</v>
      </c>
      <c r="B2599" s="19" t="s">
        <v>7332</v>
      </c>
      <c r="C2599" s="205" t="s">
        <v>24</v>
      </c>
      <c r="D2599" s="205" t="s">
        <v>1242</v>
      </c>
      <c r="E2599" s="205" t="s">
        <v>3209</v>
      </c>
      <c r="F2599" s="4" t="s">
        <v>2662</v>
      </c>
      <c r="G2599" s="152" t="s">
        <v>2276</v>
      </c>
      <c r="H2599" s="205" t="s">
        <v>523</v>
      </c>
      <c r="I2599" s="205"/>
      <c r="J2599" s="205" t="s">
        <v>2276</v>
      </c>
      <c r="K2599" s="205" t="s">
        <v>2276</v>
      </c>
      <c r="L2599" s="205" t="s">
        <v>2276</v>
      </c>
      <c r="M2599" s="205" t="s">
        <v>2276</v>
      </c>
      <c r="N2599" s="205" t="s">
        <v>2276</v>
      </c>
      <c r="O2599" s="205" t="s">
        <v>2276</v>
      </c>
      <c r="P2599" s="205" t="s">
        <v>2276</v>
      </c>
      <c r="Q2599" s="205" t="s">
        <v>2276</v>
      </c>
      <c r="R2599" s="205" t="s">
        <v>2276</v>
      </c>
      <c r="S2599" s="205" t="s">
        <v>2276</v>
      </c>
      <c r="T2599" s="205" t="s">
        <v>2276</v>
      </c>
      <c r="U2599" s="205" t="s">
        <v>2276</v>
      </c>
      <c r="V2599" s="205" t="s">
        <v>2276</v>
      </c>
      <c r="W2599" s="205" t="s">
        <v>2276</v>
      </c>
      <c r="X2599" s="205" t="s">
        <v>2276</v>
      </c>
      <c r="Y2599" s="205" t="s">
        <v>2276</v>
      </c>
      <c r="Z2599" s="205" t="s">
        <v>2276</v>
      </c>
      <c r="AA2599" s="205" t="s">
        <v>2276</v>
      </c>
      <c r="AB2599" s="205" t="s">
        <v>2276</v>
      </c>
      <c r="AC2599" s="205"/>
      <c r="AD2599" s="205"/>
    </row>
    <row r="2600" spans="1:30" ht="36" customHeight="1">
      <c r="A2600" s="19" t="s">
        <v>7340</v>
      </c>
      <c r="B2600" s="19" t="s">
        <v>7367</v>
      </c>
      <c r="C2600" s="205" t="s">
        <v>24</v>
      </c>
      <c r="D2600" s="205" t="s">
        <v>1242</v>
      </c>
      <c r="E2600" s="205" t="s">
        <v>3209</v>
      </c>
      <c r="F2600" s="152" t="s">
        <v>2276</v>
      </c>
      <c r="G2600" s="152" t="s">
        <v>2276</v>
      </c>
      <c r="H2600" s="205" t="s">
        <v>524</v>
      </c>
      <c r="I2600" s="205"/>
      <c r="J2600" s="177">
        <v>0</v>
      </c>
      <c r="K2600" s="21">
        <v>0</v>
      </c>
      <c r="L2600" s="21">
        <v>0</v>
      </c>
      <c r="M2600" s="21">
        <v>0</v>
      </c>
      <c r="N2600" s="21">
        <v>0</v>
      </c>
      <c r="O2600" s="21">
        <v>0</v>
      </c>
      <c r="P2600" s="21">
        <v>0</v>
      </c>
      <c r="Q2600" s="21">
        <v>0</v>
      </c>
      <c r="R2600" s="21">
        <v>0</v>
      </c>
      <c r="S2600" s="21">
        <v>0</v>
      </c>
      <c r="T2600" s="21">
        <v>0</v>
      </c>
      <c r="U2600" s="21">
        <v>0</v>
      </c>
      <c r="V2600" s="21">
        <v>0</v>
      </c>
      <c r="W2600" s="21">
        <v>0</v>
      </c>
      <c r="X2600" s="21">
        <v>0</v>
      </c>
      <c r="Y2600" s="205" t="s">
        <v>2276</v>
      </c>
      <c r="Z2600" s="205" t="s">
        <v>2276</v>
      </c>
      <c r="AA2600" s="205" t="s">
        <v>2276</v>
      </c>
      <c r="AB2600" s="205" t="s">
        <v>2276</v>
      </c>
      <c r="AC2600" s="205"/>
      <c r="AD2600" s="205"/>
    </row>
    <row r="2601" spans="1:30" ht="36" customHeight="1">
      <c r="A2601" s="19" t="s">
        <v>7353</v>
      </c>
      <c r="B2601" s="19" t="s">
        <v>7368</v>
      </c>
      <c r="C2601" s="205" t="s">
        <v>24</v>
      </c>
      <c r="D2601" s="205" t="s">
        <v>1242</v>
      </c>
      <c r="E2601" s="205" t="s">
        <v>3209</v>
      </c>
      <c r="F2601" s="152" t="s">
        <v>2276</v>
      </c>
      <c r="G2601" s="152" t="s">
        <v>2276</v>
      </c>
      <c r="H2601" s="205" t="s">
        <v>524</v>
      </c>
      <c r="I2601" s="205"/>
      <c r="J2601" s="177">
        <v>0</v>
      </c>
      <c r="K2601" s="21">
        <v>0</v>
      </c>
      <c r="L2601" s="21">
        <v>0</v>
      </c>
      <c r="M2601" s="21">
        <v>0</v>
      </c>
      <c r="N2601" s="21">
        <v>0</v>
      </c>
      <c r="O2601" s="21">
        <v>0</v>
      </c>
      <c r="P2601" s="21">
        <v>0</v>
      </c>
      <c r="Q2601" s="21">
        <v>0</v>
      </c>
      <c r="R2601" s="21">
        <v>0</v>
      </c>
      <c r="S2601" s="21">
        <v>0</v>
      </c>
      <c r="T2601" s="21">
        <v>0</v>
      </c>
      <c r="U2601" s="21">
        <v>0</v>
      </c>
      <c r="V2601" s="21">
        <v>0</v>
      </c>
      <c r="W2601" s="21">
        <v>0</v>
      </c>
      <c r="X2601" s="21">
        <v>0</v>
      </c>
      <c r="Y2601" s="205" t="s">
        <v>2276</v>
      </c>
      <c r="Z2601" s="205" t="s">
        <v>2276</v>
      </c>
      <c r="AA2601" s="205" t="s">
        <v>2276</v>
      </c>
      <c r="AB2601" s="205" t="s">
        <v>2276</v>
      </c>
      <c r="AC2601" s="205"/>
      <c r="AD2601" s="205"/>
    </row>
    <row r="2602" spans="1:30" ht="36" customHeight="1">
      <c r="A2602" s="19" t="s">
        <v>7354</v>
      </c>
      <c r="B2602" s="19" t="s">
        <v>7369</v>
      </c>
      <c r="C2602" s="205" t="s">
        <v>24</v>
      </c>
      <c r="D2602" s="205" t="s">
        <v>1242</v>
      </c>
      <c r="E2602" s="205" t="s">
        <v>3209</v>
      </c>
      <c r="F2602" s="152" t="s">
        <v>2276</v>
      </c>
      <c r="G2602" s="152" t="s">
        <v>2276</v>
      </c>
      <c r="H2602" s="205" t="s">
        <v>524</v>
      </c>
      <c r="I2602" s="205"/>
      <c r="J2602" s="177">
        <v>0</v>
      </c>
      <c r="K2602" s="21">
        <v>0</v>
      </c>
      <c r="L2602" s="21">
        <v>0</v>
      </c>
      <c r="M2602" s="21">
        <v>0</v>
      </c>
      <c r="N2602" s="21">
        <v>0</v>
      </c>
      <c r="O2602" s="21">
        <v>0</v>
      </c>
      <c r="P2602" s="21">
        <v>0</v>
      </c>
      <c r="Q2602" s="21">
        <v>0</v>
      </c>
      <c r="R2602" s="21">
        <v>0</v>
      </c>
      <c r="S2602" s="21">
        <v>0</v>
      </c>
      <c r="T2602" s="21">
        <v>0</v>
      </c>
      <c r="U2602" s="21">
        <v>0</v>
      </c>
      <c r="V2602" s="21">
        <v>0</v>
      </c>
      <c r="W2602" s="21">
        <v>0</v>
      </c>
      <c r="X2602" s="21">
        <v>0</v>
      </c>
      <c r="Y2602" s="205" t="s">
        <v>2276</v>
      </c>
      <c r="Z2602" s="205" t="s">
        <v>2276</v>
      </c>
      <c r="AA2602" s="205" t="s">
        <v>2276</v>
      </c>
      <c r="AB2602" s="205" t="s">
        <v>2276</v>
      </c>
      <c r="AC2602" s="205"/>
      <c r="AD2602" s="205"/>
    </row>
    <row r="2603" spans="1:30" ht="36" customHeight="1">
      <c r="A2603" s="19" t="s">
        <v>7355</v>
      </c>
      <c r="B2603" s="19" t="s">
        <v>7370</v>
      </c>
      <c r="C2603" s="205" t="s">
        <v>24</v>
      </c>
      <c r="D2603" s="205" t="s">
        <v>1242</v>
      </c>
      <c r="E2603" s="205" t="s">
        <v>3209</v>
      </c>
      <c r="F2603" s="152" t="s">
        <v>2276</v>
      </c>
      <c r="G2603" s="152" t="s">
        <v>2276</v>
      </c>
      <c r="H2603" s="205" t="s">
        <v>524</v>
      </c>
      <c r="I2603" s="205"/>
      <c r="J2603" s="177">
        <v>0</v>
      </c>
      <c r="K2603" s="21">
        <v>0</v>
      </c>
      <c r="L2603" s="21">
        <v>0</v>
      </c>
      <c r="M2603" s="21">
        <v>0</v>
      </c>
      <c r="N2603" s="21">
        <v>0</v>
      </c>
      <c r="O2603" s="21">
        <v>0</v>
      </c>
      <c r="P2603" s="21">
        <v>0</v>
      </c>
      <c r="Q2603" s="21">
        <v>0</v>
      </c>
      <c r="R2603" s="21">
        <v>0</v>
      </c>
      <c r="S2603" s="21">
        <v>0</v>
      </c>
      <c r="T2603" s="21">
        <v>0</v>
      </c>
      <c r="U2603" s="21">
        <v>0</v>
      </c>
      <c r="V2603" s="21">
        <v>0</v>
      </c>
      <c r="W2603" s="21">
        <v>0</v>
      </c>
      <c r="X2603" s="21">
        <v>0</v>
      </c>
      <c r="Y2603" s="205" t="s">
        <v>2276</v>
      </c>
      <c r="Z2603" s="205" t="s">
        <v>2276</v>
      </c>
      <c r="AA2603" s="205" t="s">
        <v>2276</v>
      </c>
      <c r="AB2603" s="205" t="s">
        <v>2276</v>
      </c>
      <c r="AC2603" s="205"/>
      <c r="AD2603" s="205"/>
    </row>
    <row r="2604" spans="1:30" ht="36" customHeight="1">
      <c r="A2604" s="19" t="s">
        <v>7356</v>
      </c>
      <c r="B2604" s="19" t="s">
        <v>7371</v>
      </c>
      <c r="C2604" s="205" t="s">
        <v>24</v>
      </c>
      <c r="D2604" s="205" t="s">
        <v>1242</v>
      </c>
      <c r="E2604" s="205" t="s">
        <v>3209</v>
      </c>
      <c r="F2604" s="152" t="s">
        <v>2276</v>
      </c>
      <c r="G2604" s="152" t="s">
        <v>2276</v>
      </c>
      <c r="H2604" s="205" t="s">
        <v>524</v>
      </c>
      <c r="I2604" s="205"/>
      <c r="J2604" s="177">
        <v>0</v>
      </c>
      <c r="K2604" s="21">
        <v>0</v>
      </c>
      <c r="L2604" s="21">
        <v>0</v>
      </c>
      <c r="M2604" s="21">
        <v>0</v>
      </c>
      <c r="N2604" s="21">
        <v>0</v>
      </c>
      <c r="O2604" s="21">
        <v>0</v>
      </c>
      <c r="P2604" s="21">
        <v>0</v>
      </c>
      <c r="Q2604" s="21">
        <v>0</v>
      </c>
      <c r="R2604" s="21">
        <v>0</v>
      </c>
      <c r="S2604" s="21">
        <v>0</v>
      </c>
      <c r="T2604" s="21">
        <v>0</v>
      </c>
      <c r="U2604" s="21">
        <v>0</v>
      </c>
      <c r="V2604" s="21">
        <v>0</v>
      </c>
      <c r="W2604" s="21">
        <v>0</v>
      </c>
      <c r="X2604" s="21">
        <v>0</v>
      </c>
      <c r="Y2604" s="205" t="s">
        <v>2276</v>
      </c>
      <c r="Z2604" s="205" t="s">
        <v>2276</v>
      </c>
      <c r="AA2604" s="205" t="s">
        <v>2276</v>
      </c>
      <c r="AB2604" s="205" t="s">
        <v>2276</v>
      </c>
      <c r="AC2604" s="205"/>
      <c r="AD2604" s="205"/>
    </row>
    <row r="2605" spans="1:30" ht="36" customHeight="1">
      <c r="A2605" s="19" t="s">
        <v>7357</v>
      </c>
      <c r="B2605" s="19" t="s">
        <v>7372</v>
      </c>
      <c r="C2605" s="205" t="s">
        <v>24</v>
      </c>
      <c r="D2605" s="205" t="s">
        <v>1242</v>
      </c>
      <c r="E2605" s="205" t="s">
        <v>3209</v>
      </c>
      <c r="F2605" s="152" t="s">
        <v>2276</v>
      </c>
      <c r="G2605" s="152" t="s">
        <v>2276</v>
      </c>
      <c r="H2605" s="205" t="s">
        <v>524</v>
      </c>
      <c r="I2605" s="205"/>
      <c r="J2605" s="177">
        <v>0</v>
      </c>
      <c r="K2605" s="21">
        <v>0</v>
      </c>
      <c r="L2605" s="21">
        <v>0</v>
      </c>
      <c r="M2605" s="21">
        <v>0</v>
      </c>
      <c r="N2605" s="21">
        <v>0</v>
      </c>
      <c r="O2605" s="21">
        <v>0</v>
      </c>
      <c r="P2605" s="21">
        <v>0</v>
      </c>
      <c r="Q2605" s="21">
        <v>0</v>
      </c>
      <c r="R2605" s="21">
        <v>0</v>
      </c>
      <c r="S2605" s="21">
        <v>0</v>
      </c>
      <c r="T2605" s="21">
        <v>0</v>
      </c>
      <c r="U2605" s="21">
        <v>0</v>
      </c>
      <c r="V2605" s="21">
        <v>0</v>
      </c>
      <c r="W2605" s="21">
        <v>0</v>
      </c>
      <c r="X2605" s="21">
        <v>0</v>
      </c>
      <c r="Y2605" s="205" t="s">
        <v>2276</v>
      </c>
      <c r="Z2605" s="205" t="s">
        <v>2276</v>
      </c>
      <c r="AA2605" s="205" t="s">
        <v>2276</v>
      </c>
      <c r="AB2605" s="205" t="s">
        <v>2276</v>
      </c>
      <c r="AC2605" s="205"/>
      <c r="AD2605" s="205"/>
    </row>
    <row r="2606" spans="1:30" ht="36" customHeight="1">
      <c r="A2606" s="19" t="s">
        <v>7358</v>
      </c>
      <c r="B2606" s="19" t="s">
        <v>7373</v>
      </c>
      <c r="C2606" s="205" t="s">
        <v>24</v>
      </c>
      <c r="D2606" s="205" t="s">
        <v>1242</v>
      </c>
      <c r="E2606" s="205" t="s">
        <v>3209</v>
      </c>
      <c r="F2606" s="152" t="s">
        <v>2276</v>
      </c>
      <c r="G2606" s="152" t="s">
        <v>2276</v>
      </c>
      <c r="H2606" s="205" t="s">
        <v>524</v>
      </c>
      <c r="I2606" s="205"/>
      <c r="J2606" s="177">
        <v>0</v>
      </c>
      <c r="K2606" s="21">
        <v>0</v>
      </c>
      <c r="L2606" s="21">
        <v>0</v>
      </c>
      <c r="M2606" s="21">
        <v>0</v>
      </c>
      <c r="N2606" s="21">
        <v>0</v>
      </c>
      <c r="O2606" s="21">
        <v>0</v>
      </c>
      <c r="P2606" s="21">
        <v>0</v>
      </c>
      <c r="Q2606" s="21">
        <v>0</v>
      </c>
      <c r="R2606" s="21">
        <v>0</v>
      </c>
      <c r="S2606" s="21">
        <v>0</v>
      </c>
      <c r="T2606" s="21">
        <v>0</v>
      </c>
      <c r="U2606" s="21">
        <v>0</v>
      </c>
      <c r="V2606" s="21">
        <v>0</v>
      </c>
      <c r="W2606" s="21">
        <v>0</v>
      </c>
      <c r="X2606" s="21">
        <v>0</v>
      </c>
      <c r="Y2606" s="205" t="s">
        <v>2276</v>
      </c>
      <c r="Z2606" s="205" t="s">
        <v>2276</v>
      </c>
      <c r="AA2606" s="205" t="s">
        <v>2276</v>
      </c>
      <c r="AB2606" s="205" t="s">
        <v>2276</v>
      </c>
      <c r="AC2606" s="11" t="s">
        <v>7380</v>
      </c>
      <c r="AD2606" s="205"/>
    </row>
    <row r="2607" spans="1:30" ht="36" customHeight="1">
      <c r="A2607" s="19" t="s">
        <v>7359</v>
      </c>
      <c r="B2607" s="19" t="s">
        <v>7374</v>
      </c>
      <c r="C2607" s="205" t="s">
        <v>24</v>
      </c>
      <c r="D2607" s="205" t="s">
        <v>1242</v>
      </c>
      <c r="E2607" s="205" t="s">
        <v>3209</v>
      </c>
      <c r="F2607" s="152" t="s">
        <v>2276</v>
      </c>
      <c r="G2607" s="152" t="s">
        <v>2276</v>
      </c>
      <c r="H2607" s="205" t="s">
        <v>524</v>
      </c>
      <c r="I2607" s="205"/>
      <c r="J2607" s="177">
        <v>0</v>
      </c>
      <c r="K2607" s="177">
        <v>0</v>
      </c>
      <c r="L2607" s="177">
        <v>0</v>
      </c>
      <c r="M2607" s="177">
        <v>0</v>
      </c>
      <c r="N2607" s="177">
        <v>0</v>
      </c>
      <c r="O2607" s="177">
        <v>0</v>
      </c>
      <c r="P2607" s="177">
        <v>0</v>
      </c>
      <c r="Q2607" s="177">
        <v>0</v>
      </c>
      <c r="R2607" s="177">
        <v>0</v>
      </c>
      <c r="S2607" s="177">
        <v>0</v>
      </c>
      <c r="T2607" s="177">
        <v>0</v>
      </c>
      <c r="U2607" s="177">
        <v>0</v>
      </c>
      <c r="V2607" s="177">
        <v>0</v>
      </c>
      <c r="W2607" s="177">
        <v>0</v>
      </c>
      <c r="X2607" s="177">
        <v>0</v>
      </c>
      <c r="Y2607" s="205" t="s">
        <v>2276</v>
      </c>
      <c r="Z2607" s="205" t="s">
        <v>2276</v>
      </c>
      <c r="AA2607" s="205" t="s">
        <v>2276</v>
      </c>
      <c r="AB2607" s="205" t="s">
        <v>2276</v>
      </c>
      <c r="AC2607" s="205"/>
      <c r="AD2607" s="205"/>
    </row>
    <row r="2608" spans="1:30" ht="35" customHeight="1">
      <c r="A2608" s="19" t="s">
        <v>7360</v>
      </c>
      <c r="B2608" s="19" t="s">
        <v>7375</v>
      </c>
      <c r="C2608" s="205" t="s">
        <v>24</v>
      </c>
      <c r="D2608" s="205" t="s">
        <v>1242</v>
      </c>
      <c r="E2608" s="205" t="s">
        <v>3209</v>
      </c>
      <c r="F2608" s="152" t="s">
        <v>2276</v>
      </c>
      <c r="G2608" s="152" t="s">
        <v>2276</v>
      </c>
      <c r="H2608" s="205" t="s">
        <v>523</v>
      </c>
      <c r="I2608" s="205">
        <v>2001</v>
      </c>
      <c r="J2608" s="205" t="s">
        <v>2276</v>
      </c>
      <c r="K2608" s="205" t="s">
        <v>2276</v>
      </c>
      <c r="L2608" s="205" t="s">
        <v>2276</v>
      </c>
      <c r="M2608" s="205" t="s">
        <v>2276</v>
      </c>
      <c r="N2608" s="205" t="s">
        <v>2276</v>
      </c>
      <c r="O2608" s="205" t="s">
        <v>2276</v>
      </c>
      <c r="P2608" s="205" t="s">
        <v>2276</v>
      </c>
      <c r="Q2608" s="205" t="s">
        <v>2276</v>
      </c>
      <c r="R2608" s="205" t="s">
        <v>2276</v>
      </c>
      <c r="S2608" s="205" t="s">
        <v>2276</v>
      </c>
      <c r="T2608" s="205">
        <f>3000*0.068</f>
        <v>204.00000000000003</v>
      </c>
      <c r="U2608" s="205" t="s">
        <v>2276</v>
      </c>
      <c r="V2608" s="205" t="s">
        <v>2276</v>
      </c>
      <c r="W2608" s="205" t="s">
        <v>2276</v>
      </c>
      <c r="X2608" s="21">
        <f>T2608/'Record info'!K$1115</f>
        <v>7.497794766245223E-3</v>
      </c>
      <c r="Y2608" s="205" t="s">
        <v>2276</v>
      </c>
      <c r="Z2608" s="205" t="s">
        <v>35</v>
      </c>
      <c r="AA2608" s="205" t="s">
        <v>38</v>
      </c>
      <c r="AB2608" s="205" t="s">
        <v>64</v>
      </c>
      <c r="AC2608" s="205" t="s">
        <v>7699</v>
      </c>
      <c r="AD2608" s="205"/>
    </row>
    <row r="2609" spans="1:30" ht="35" customHeight="1">
      <c r="A2609" s="19" t="s">
        <v>7361</v>
      </c>
      <c r="B2609" s="19" t="s">
        <v>7376</v>
      </c>
      <c r="C2609" s="205" t="s">
        <v>24</v>
      </c>
      <c r="D2609" s="205" t="s">
        <v>1242</v>
      </c>
      <c r="E2609" s="205" t="s">
        <v>3209</v>
      </c>
      <c r="F2609" s="152" t="s">
        <v>2276</v>
      </c>
      <c r="G2609" s="152" t="s">
        <v>2276</v>
      </c>
      <c r="H2609" s="205" t="s">
        <v>523</v>
      </c>
      <c r="I2609" s="205">
        <v>2001</v>
      </c>
      <c r="J2609" s="205" t="s">
        <v>2276</v>
      </c>
      <c r="K2609" s="205" t="s">
        <v>2276</v>
      </c>
      <c r="L2609" s="205" t="s">
        <v>2276</v>
      </c>
      <c r="M2609" s="205" t="s">
        <v>2276</v>
      </c>
      <c r="N2609" s="205" t="s">
        <v>2276</v>
      </c>
      <c r="O2609" s="205" t="s">
        <v>2276</v>
      </c>
      <c r="P2609" s="205" t="s">
        <v>2276</v>
      </c>
      <c r="Q2609" s="205" t="s">
        <v>2276</v>
      </c>
      <c r="R2609" s="205" t="s">
        <v>2276</v>
      </c>
      <c r="S2609" s="205" t="s">
        <v>2276</v>
      </c>
      <c r="T2609" s="21">
        <f>3000*0.05</f>
        <v>150</v>
      </c>
      <c r="U2609" s="205" t="s">
        <v>2276</v>
      </c>
      <c r="V2609" s="205" t="s">
        <v>2276</v>
      </c>
      <c r="W2609" s="205" t="s">
        <v>2276</v>
      </c>
      <c r="X2609" s="21">
        <f>T2609/'Record info'!K$1116</f>
        <v>5.0157159098508661E-3</v>
      </c>
      <c r="Y2609" s="205" t="s">
        <v>2276</v>
      </c>
      <c r="Z2609" s="205" t="s">
        <v>35</v>
      </c>
      <c r="AA2609" s="205" t="s">
        <v>38</v>
      </c>
      <c r="AB2609" s="205" t="s">
        <v>64</v>
      </c>
      <c r="AC2609" s="205" t="s">
        <v>7699</v>
      </c>
      <c r="AD2609" s="205"/>
    </row>
    <row r="2610" spans="1:30" ht="35" customHeight="1">
      <c r="A2610" s="19" t="s">
        <v>7362</v>
      </c>
      <c r="B2610" s="19" t="s">
        <v>7377</v>
      </c>
      <c r="C2610" s="205" t="s">
        <v>24</v>
      </c>
      <c r="D2610" s="205" t="s">
        <v>1242</v>
      </c>
      <c r="E2610" s="205" t="s">
        <v>3209</v>
      </c>
      <c r="F2610" s="152" t="s">
        <v>2276</v>
      </c>
      <c r="G2610" s="152" t="s">
        <v>2276</v>
      </c>
      <c r="H2610" s="205" t="s">
        <v>523</v>
      </c>
      <c r="I2610" s="205">
        <v>2001</v>
      </c>
      <c r="J2610" s="205" t="s">
        <v>2276</v>
      </c>
      <c r="K2610" s="205" t="s">
        <v>2276</v>
      </c>
      <c r="L2610" s="205" t="s">
        <v>2276</v>
      </c>
      <c r="M2610" s="205" t="s">
        <v>2276</v>
      </c>
      <c r="N2610" s="205" t="s">
        <v>2276</v>
      </c>
      <c r="O2610" s="205" t="s">
        <v>2276</v>
      </c>
      <c r="P2610" s="205" t="s">
        <v>2276</v>
      </c>
      <c r="Q2610" s="205" t="s">
        <v>2276</v>
      </c>
      <c r="R2610" s="205" t="s">
        <v>2276</v>
      </c>
      <c r="S2610" s="205" t="s">
        <v>2276</v>
      </c>
      <c r="T2610" s="21">
        <f>3000*0.493</f>
        <v>1479</v>
      </c>
      <c r="U2610" s="205" t="s">
        <v>2276</v>
      </c>
      <c r="V2610" s="205" t="s">
        <v>2276</v>
      </c>
      <c r="W2610" s="205" t="s">
        <v>2276</v>
      </c>
      <c r="X2610" s="21">
        <f>T2610/'Record info'!K$1117</f>
        <v>4.6490428441203283E-2</v>
      </c>
      <c r="Y2610" s="205" t="s">
        <v>2276</v>
      </c>
      <c r="Z2610" s="205" t="s">
        <v>35</v>
      </c>
      <c r="AA2610" s="205" t="s">
        <v>38</v>
      </c>
      <c r="AB2610" s="205" t="s">
        <v>64</v>
      </c>
      <c r="AC2610" s="205" t="s">
        <v>7699</v>
      </c>
      <c r="AD2610" s="205"/>
    </row>
    <row r="2611" spans="1:30" ht="35" customHeight="1">
      <c r="A2611" s="19" t="s">
        <v>7363</v>
      </c>
      <c r="B2611" s="19" t="s">
        <v>7378</v>
      </c>
      <c r="C2611" s="205" t="s">
        <v>24</v>
      </c>
      <c r="D2611" s="205" t="s">
        <v>1242</v>
      </c>
      <c r="E2611" s="205" t="s">
        <v>3209</v>
      </c>
      <c r="F2611" s="152" t="s">
        <v>2276</v>
      </c>
      <c r="G2611" s="152" t="s">
        <v>2276</v>
      </c>
      <c r="H2611" s="205" t="s">
        <v>523</v>
      </c>
      <c r="I2611" s="205">
        <v>2001</v>
      </c>
      <c r="J2611" s="205" t="s">
        <v>2276</v>
      </c>
      <c r="K2611" s="205" t="s">
        <v>2276</v>
      </c>
      <c r="L2611" s="205" t="s">
        <v>2276</v>
      </c>
      <c r="M2611" s="205" t="s">
        <v>2276</v>
      </c>
      <c r="N2611" s="205" t="s">
        <v>2276</v>
      </c>
      <c r="O2611" s="205" t="s">
        <v>2276</v>
      </c>
      <c r="P2611" s="205" t="s">
        <v>2276</v>
      </c>
      <c r="Q2611" s="205" t="s">
        <v>2276</v>
      </c>
      <c r="R2611" s="205" t="s">
        <v>2276</v>
      </c>
      <c r="S2611" s="205" t="s">
        <v>2276</v>
      </c>
      <c r="T2611" s="21">
        <f>3000*0.375</f>
        <v>1125</v>
      </c>
      <c r="U2611" s="205" t="s">
        <v>2276</v>
      </c>
      <c r="V2611" s="205" t="s">
        <v>2276</v>
      </c>
      <c r="W2611" s="205" t="s">
        <v>2276</v>
      </c>
      <c r="X2611" s="21">
        <f>T2611/'Record info'!K$1118</f>
        <v>9.3656343656343663E-2</v>
      </c>
      <c r="Y2611" s="205" t="s">
        <v>2276</v>
      </c>
      <c r="Z2611" s="205" t="s">
        <v>35</v>
      </c>
      <c r="AA2611" s="205" t="s">
        <v>38</v>
      </c>
      <c r="AB2611" s="205" t="s">
        <v>64</v>
      </c>
      <c r="AC2611" s="205" t="s">
        <v>7699</v>
      </c>
      <c r="AD2611" s="205"/>
    </row>
    <row r="2612" spans="1:30" ht="35" customHeight="1">
      <c r="A2612" s="19" t="s">
        <v>7364</v>
      </c>
      <c r="B2612" s="19" t="s">
        <v>7379</v>
      </c>
      <c r="C2612" s="205" t="s">
        <v>24</v>
      </c>
      <c r="D2612" s="205" t="s">
        <v>1242</v>
      </c>
      <c r="E2612" s="205" t="s">
        <v>3209</v>
      </c>
      <c r="F2612" s="152" t="s">
        <v>2276</v>
      </c>
      <c r="G2612" s="152" t="s">
        <v>2276</v>
      </c>
      <c r="H2612" s="205" t="s">
        <v>523</v>
      </c>
      <c r="I2612" s="205">
        <v>2001</v>
      </c>
      <c r="J2612" s="205" t="s">
        <v>2276</v>
      </c>
      <c r="K2612" s="205" t="s">
        <v>2276</v>
      </c>
      <c r="L2612" s="205" t="s">
        <v>2276</v>
      </c>
      <c r="M2612" s="205" t="s">
        <v>2276</v>
      </c>
      <c r="N2612" s="205" t="s">
        <v>2276</v>
      </c>
      <c r="O2612" s="205" t="s">
        <v>2276</v>
      </c>
      <c r="P2612" s="205" t="s">
        <v>2276</v>
      </c>
      <c r="Q2612" s="205" t="s">
        <v>2276</v>
      </c>
      <c r="R2612" s="205" t="s">
        <v>2276</v>
      </c>
      <c r="S2612" s="205" t="s">
        <v>2276</v>
      </c>
      <c r="T2612" s="21">
        <f>3000*0.058</f>
        <v>174</v>
      </c>
      <c r="U2612" s="205" t="s">
        <v>2276</v>
      </c>
      <c r="V2612" s="205" t="s">
        <v>2276</v>
      </c>
      <c r="W2612" s="205" t="s">
        <v>2276</v>
      </c>
      <c r="X2612" s="21">
        <f>T2612/'Record info'!K$1119</f>
        <v>3.0296171190778822E-3</v>
      </c>
      <c r="Y2612" s="205" t="s">
        <v>2276</v>
      </c>
      <c r="Z2612" s="205" t="s">
        <v>35</v>
      </c>
      <c r="AA2612" s="205" t="s">
        <v>38</v>
      </c>
      <c r="AB2612" s="205" t="s">
        <v>64</v>
      </c>
      <c r="AC2612" s="205" t="s">
        <v>7699</v>
      </c>
      <c r="AD2612" s="205"/>
    </row>
    <row r="2613" spans="1:30" ht="36.5" customHeight="1">
      <c r="A2613" s="19" t="s">
        <v>7360</v>
      </c>
      <c r="B2613" s="19" t="s">
        <v>7381</v>
      </c>
      <c r="C2613" s="205" t="s">
        <v>24</v>
      </c>
      <c r="D2613" s="205" t="s">
        <v>1242</v>
      </c>
      <c r="E2613" s="205" t="s">
        <v>3209</v>
      </c>
      <c r="F2613" s="152" t="s">
        <v>2276</v>
      </c>
      <c r="G2613" s="152" t="s">
        <v>2276</v>
      </c>
      <c r="H2613" s="205" t="s">
        <v>523</v>
      </c>
      <c r="I2613" s="205">
        <v>2002</v>
      </c>
      <c r="J2613" s="205" t="s">
        <v>2276</v>
      </c>
      <c r="K2613" s="205" t="s">
        <v>2276</v>
      </c>
      <c r="L2613" s="205" t="s">
        <v>2276</v>
      </c>
      <c r="M2613" s="205" t="s">
        <v>2276</v>
      </c>
      <c r="N2613" s="205" t="s">
        <v>2276</v>
      </c>
      <c r="O2613" s="205" t="s">
        <v>2276</v>
      </c>
      <c r="P2613" s="205" t="s">
        <v>2276</v>
      </c>
      <c r="Q2613" s="205" t="s">
        <v>2276</v>
      </c>
      <c r="R2613" s="205" t="s">
        <v>2276</v>
      </c>
      <c r="S2613" s="205" t="s">
        <v>2276</v>
      </c>
      <c r="T2613" s="21">
        <f>5000*0.068</f>
        <v>340</v>
      </c>
      <c r="U2613" s="205" t="s">
        <v>2276</v>
      </c>
      <c r="V2613" s="205" t="s">
        <v>2276</v>
      </c>
      <c r="W2613" s="205" t="s">
        <v>2276</v>
      </c>
      <c r="X2613" s="21">
        <f>T2613/'Record info'!K$1115</f>
        <v>1.2496324610408704E-2</v>
      </c>
      <c r="Y2613" s="205" t="s">
        <v>2276</v>
      </c>
      <c r="Z2613" s="205" t="s">
        <v>35</v>
      </c>
      <c r="AA2613" s="205" t="s">
        <v>38</v>
      </c>
      <c r="AB2613" s="205" t="s">
        <v>64</v>
      </c>
      <c r="AC2613" s="205" t="s">
        <v>7699</v>
      </c>
      <c r="AD2613" s="205"/>
    </row>
    <row r="2614" spans="1:30" ht="36.5" customHeight="1">
      <c r="A2614" s="19" t="s">
        <v>7361</v>
      </c>
      <c r="B2614" s="19" t="s">
        <v>7382</v>
      </c>
      <c r="C2614" s="205" t="s">
        <v>24</v>
      </c>
      <c r="D2614" s="205" t="s">
        <v>1242</v>
      </c>
      <c r="E2614" s="205" t="s">
        <v>3209</v>
      </c>
      <c r="F2614" s="152" t="s">
        <v>2276</v>
      </c>
      <c r="G2614" s="152" t="s">
        <v>2276</v>
      </c>
      <c r="H2614" s="205" t="s">
        <v>523</v>
      </c>
      <c r="I2614" s="205">
        <v>2002</v>
      </c>
      <c r="J2614" s="205" t="s">
        <v>2276</v>
      </c>
      <c r="K2614" s="205" t="s">
        <v>2276</v>
      </c>
      <c r="L2614" s="205" t="s">
        <v>2276</v>
      </c>
      <c r="M2614" s="205" t="s">
        <v>2276</v>
      </c>
      <c r="N2614" s="205" t="s">
        <v>2276</v>
      </c>
      <c r="O2614" s="205" t="s">
        <v>2276</v>
      </c>
      <c r="P2614" s="205" t="s">
        <v>2276</v>
      </c>
      <c r="Q2614" s="205" t="s">
        <v>2276</v>
      </c>
      <c r="R2614" s="205" t="s">
        <v>2276</v>
      </c>
      <c r="S2614" s="205" t="s">
        <v>2276</v>
      </c>
      <c r="T2614" s="21">
        <f>5000*0.05</f>
        <v>250</v>
      </c>
      <c r="U2614" s="205" t="s">
        <v>2276</v>
      </c>
      <c r="V2614" s="205" t="s">
        <v>2276</v>
      </c>
      <c r="W2614" s="205" t="s">
        <v>2276</v>
      </c>
      <c r="X2614" s="21">
        <f>T2614/'Record info'!K$1116</f>
        <v>8.3595265164181105E-3</v>
      </c>
      <c r="Y2614" s="205" t="s">
        <v>2276</v>
      </c>
      <c r="Z2614" s="205" t="s">
        <v>35</v>
      </c>
      <c r="AA2614" s="205" t="s">
        <v>38</v>
      </c>
      <c r="AB2614" s="205" t="s">
        <v>64</v>
      </c>
      <c r="AC2614" s="205" t="s">
        <v>7699</v>
      </c>
      <c r="AD2614" s="205"/>
    </row>
    <row r="2615" spans="1:30" ht="36.5" customHeight="1">
      <c r="A2615" s="19" t="s">
        <v>7362</v>
      </c>
      <c r="B2615" s="19" t="s">
        <v>7383</v>
      </c>
      <c r="C2615" s="205" t="s">
        <v>24</v>
      </c>
      <c r="D2615" s="205" t="s">
        <v>1242</v>
      </c>
      <c r="E2615" s="205" t="s">
        <v>3209</v>
      </c>
      <c r="F2615" s="152" t="s">
        <v>2276</v>
      </c>
      <c r="G2615" s="152" t="s">
        <v>2276</v>
      </c>
      <c r="H2615" s="205" t="s">
        <v>523</v>
      </c>
      <c r="I2615" s="205">
        <v>2002</v>
      </c>
      <c r="J2615" s="205" t="s">
        <v>2276</v>
      </c>
      <c r="K2615" s="205" t="s">
        <v>2276</v>
      </c>
      <c r="L2615" s="205" t="s">
        <v>2276</v>
      </c>
      <c r="M2615" s="205" t="s">
        <v>2276</v>
      </c>
      <c r="N2615" s="205" t="s">
        <v>2276</v>
      </c>
      <c r="O2615" s="205" t="s">
        <v>2276</v>
      </c>
      <c r="P2615" s="205" t="s">
        <v>2276</v>
      </c>
      <c r="Q2615" s="205" t="s">
        <v>2276</v>
      </c>
      <c r="R2615" s="205" t="s">
        <v>2276</v>
      </c>
      <c r="S2615" s="205" t="s">
        <v>2276</v>
      </c>
      <c r="T2615" s="21">
        <f>5000*0.493</f>
        <v>2465</v>
      </c>
      <c r="U2615" s="205" t="s">
        <v>2276</v>
      </c>
      <c r="V2615" s="205" t="s">
        <v>2276</v>
      </c>
      <c r="W2615" s="205" t="s">
        <v>2276</v>
      </c>
      <c r="X2615" s="21">
        <f>T2615/'Record info'!K$1117</f>
        <v>7.7484047402005471E-2</v>
      </c>
      <c r="Y2615" s="205" t="s">
        <v>2276</v>
      </c>
      <c r="Z2615" s="205" t="s">
        <v>35</v>
      </c>
      <c r="AA2615" s="205" t="s">
        <v>38</v>
      </c>
      <c r="AB2615" s="205" t="s">
        <v>64</v>
      </c>
      <c r="AC2615" s="205" t="s">
        <v>7699</v>
      </c>
      <c r="AD2615" s="205"/>
    </row>
    <row r="2616" spans="1:30" ht="36.5" customHeight="1">
      <c r="A2616" s="19" t="s">
        <v>7363</v>
      </c>
      <c r="B2616" s="19" t="s">
        <v>7384</v>
      </c>
      <c r="C2616" s="205" t="s">
        <v>24</v>
      </c>
      <c r="D2616" s="205" t="s">
        <v>1242</v>
      </c>
      <c r="E2616" s="205" t="s">
        <v>3209</v>
      </c>
      <c r="F2616" s="152" t="s">
        <v>2276</v>
      </c>
      <c r="G2616" s="152" t="s">
        <v>2276</v>
      </c>
      <c r="H2616" s="205" t="s">
        <v>523</v>
      </c>
      <c r="I2616" s="205">
        <v>2002</v>
      </c>
      <c r="J2616" s="205" t="s">
        <v>2276</v>
      </c>
      <c r="K2616" s="205" t="s">
        <v>2276</v>
      </c>
      <c r="L2616" s="205" t="s">
        <v>2276</v>
      </c>
      <c r="M2616" s="205" t="s">
        <v>2276</v>
      </c>
      <c r="N2616" s="205" t="s">
        <v>2276</v>
      </c>
      <c r="O2616" s="205" t="s">
        <v>2276</v>
      </c>
      <c r="P2616" s="205" t="s">
        <v>2276</v>
      </c>
      <c r="Q2616" s="205" t="s">
        <v>2276</v>
      </c>
      <c r="R2616" s="205" t="s">
        <v>2276</v>
      </c>
      <c r="S2616" s="205" t="s">
        <v>2276</v>
      </c>
      <c r="T2616" s="21">
        <f>5000*0.375</f>
        <v>1875</v>
      </c>
      <c r="U2616" s="205" t="s">
        <v>2276</v>
      </c>
      <c r="V2616" s="205" t="s">
        <v>2276</v>
      </c>
      <c r="W2616" s="205" t="s">
        <v>2276</v>
      </c>
      <c r="X2616" s="21">
        <f>T2616/'Record info'!K$1118</f>
        <v>0.15609390609390608</v>
      </c>
      <c r="Y2616" s="205" t="s">
        <v>2276</v>
      </c>
      <c r="Z2616" s="205" t="s">
        <v>35</v>
      </c>
      <c r="AA2616" s="205" t="s">
        <v>38</v>
      </c>
      <c r="AB2616" s="205" t="s">
        <v>64</v>
      </c>
      <c r="AC2616" s="205" t="s">
        <v>7699</v>
      </c>
      <c r="AD2616" s="205"/>
    </row>
    <row r="2617" spans="1:30" ht="36.5" customHeight="1">
      <c r="A2617" s="19" t="s">
        <v>7364</v>
      </c>
      <c r="B2617" s="19" t="s">
        <v>7385</v>
      </c>
      <c r="C2617" s="205" t="s">
        <v>24</v>
      </c>
      <c r="D2617" s="205" t="s">
        <v>1242</v>
      </c>
      <c r="E2617" s="205" t="s">
        <v>3209</v>
      </c>
      <c r="F2617" s="152" t="s">
        <v>2276</v>
      </c>
      <c r="G2617" s="152" t="s">
        <v>2276</v>
      </c>
      <c r="H2617" s="205" t="s">
        <v>523</v>
      </c>
      <c r="I2617" s="205">
        <v>2002</v>
      </c>
      <c r="J2617" s="205" t="s">
        <v>2276</v>
      </c>
      <c r="K2617" s="205" t="s">
        <v>2276</v>
      </c>
      <c r="L2617" s="205" t="s">
        <v>2276</v>
      </c>
      <c r="M2617" s="205" t="s">
        <v>2276</v>
      </c>
      <c r="N2617" s="205" t="s">
        <v>2276</v>
      </c>
      <c r="O2617" s="205" t="s">
        <v>2276</v>
      </c>
      <c r="P2617" s="205" t="s">
        <v>2276</v>
      </c>
      <c r="Q2617" s="205" t="s">
        <v>2276</v>
      </c>
      <c r="R2617" s="205" t="s">
        <v>2276</v>
      </c>
      <c r="S2617" s="205" t="s">
        <v>2276</v>
      </c>
      <c r="T2617" s="21">
        <f>5000*0.058</f>
        <v>290</v>
      </c>
      <c r="U2617" s="205" t="s">
        <v>2276</v>
      </c>
      <c r="V2617" s="205" t="s">
        <v>2276</v>
      </c>
      <c r="W2617" s="205" t="s">
        <v>2276</v>
      </c>
      <c r="X2617" s="21">
        <f>T2617/'Record info'!K$1119</f>
        <v>5.0493618651298033E-3</v>
      </c>
      <c r="Y2617" s="205" t="s">
        <v>2276</v>
      </c>
      <c r="Z2617" s="205" t="s">
        <v>35</v>
      </c>
      <c r="AA2617" s="205" t="s">
        <v>38</v>
      </c>
      <c r="AB2617" s="205" t="s">
        <v>64</v>
      </c>
      <c r="AC2617" s="205" t="s">
        <v>7699</v>
      </c>
      <c r="AD2617" s="205"/>
    </row>
    <row r="2618" spans="1:30" ht="36.5" customHeight="1">
      <c r="A2618" s="19" t="s">
        <v>7360</v>
      </c>
      <c r="B2618" s="19" t="s">
        <v>7386</v>
      </c>
      <c r="C2618" s="205" t="s">
        <v>24</v>
      </c>
      <c r="D2618" s="205" t="s">
        <v>1242</v>
      </c>
      <c r="E2618" s="205" t="s">
        <v>3209</v>
      </c>
      <c r="F2618" s="152" t="s">
        <v>2276</v>
      </c>
      <c r="G2618" s="152" t="s">
        <v>2276</v>
      </c>
      <c r="H2618" s="205" t="s">
        <v>523</v>
      </c>
      <c r="I2618" s="11">
        <v>2003</v>
      </c>
      <c r="J2618" s="205" t="s">
        <v>2276</v>
      </c>
      <c r="K2618" s="205" t="s">
        <v>2276</v>
      </c>
      <c r="L2618" s="205" t="s">
        <v>2276</v>
      </c>
      <c r="M2618" s="205" t="s">
        <v>2276</v>
      </c>
      <c r="N2618" s="205" t="s">
        <v>2276</v>
      </c>
      <c r="O2618" s="205" t="s">
        <v>2276</v>
      </c>
      <c r="P2618" s="205" t="s">
        <v>2276</v>
      </c>
      <c r="Q2618" s="205" t="s">
        <v>2276</v>
      </c>
      <c r="R2618" s="205" t="s">
        <v>2276</v>
      </c>
      <c r="S2618" s="205" t="s">
        <v>2276</v>
      </c>
      <c r="T2618" s="21">
        <f>4500*0.068</f>
        <v>306</v>
      </c>
      <c r="U2618" s="205" t="s">
        <v>2276</v>
      </c>
      <c r="V2618" s="205" t="s">
        <v>2276</v>
      </c>
      <c r="W2618" s="205" t="s">
        <v>2276</v>
      </c>
      <c r="X2618" s="21">
        <f>T2618/'Record info'!K$1115</f>
        <v>1.1246692149367833E-2</v>
      </c>
      <c r="Y2618" s="205" t="s">
        <v>2276</v>
      </c>
      <c r="Z2618" s="205" t="s">
        <v>35</v>
      </c>
      <c r="AA2618" s="205" t="s">
        <v>38</v>
      </c>
      <c r="AB2618" s="205" t="s">
        <v>64</v>
      </c>
      <c r="AC2618" s="205" t="s">
        <v>7699</v>
      </c>
      <c r="AD2618" s="205"/>
    </row>
    <row r="2619" spans="1:30" ht="36.5" customHeight="1">
      <c r="A2619" s="19" t="s">
        <v>7361</v>
      </c>
      <c r="B2619" s="19" t="s">
        <v>7387</v>
      </c>
      <c r="C2619" s="205" t="s">
        <v>24</v>
      </c>
      <c r="D2619" s="205" t="s">
        <v>1242</v>
      </c>
      <c r="E2619" s="205" t="s">
        <v>3209</v>
      </c>
      <c r="F2619" s="152" t="s">
        <v>2276</v>
      </c>
      <c r="G2619" s="152" t="s">
        <v>2276</v>
      </c>
      <c r="H2619" s="205" t="s">
        <v>523</v>
      </c>
      <c r="I2619" s="11">
        <v>2003</v>
      </c>
      <c r="J2619" s="205" t="s">
        <v>2276</v>
      </c>
      <c r="K2619" s="205" t="s">
        <v>2276</v>
      </c>
      <c r="L2619" s="205" t="s">
        <v>2276</v>
      </c>
      <c r="M2619" s="205" t="s">
        <v>2276</v>
      </c>
      <c r="N2619" s="205" t="s">
        <v>2276</v>
      </c>
      <c r="O2619" s="205" t="s">
        <v>2276</v>
      </c>
      <c r="P2619" s="205" t="s">
        <v>2276</v>
      </c>
      <c r="Q2619" s="205" t="s">
        <v>2276</v>
      </c>
      <c r="R2619" s="205" t="s">
        <v>2276</v>
      </c>
      <c r="S2619" s="205" t="s">
        <v>2276</v>
      </c>
      <c r="T2619" s="21">
        <f>4500*0.05</f>
        <v>225</v>
      </c>
      <c r="U2619" s="205" t="s">
        <v>2276</v>
      </c>
      <c r="V2619" s="205" t="s">
        <v>2276</v>
      </c>
      <c r="W2619" s="205" t="s">
        <v>2276</v>
      </c>
      <c r="X2619" s="21">
        <f>T2619/'Record info'!K$1116</f>
        <v>7.5235738647762987E-3</v>
      </c>
      <c r="Y2619" s="205" t="s">
        <v>2276</v>
      </c>
      <c r="Z2619" s="205" t="s">
        <v>35</v>
      </c>
      <c r="AA2619" s="205" t="s">
        <v>38</v>
      </c>
      <c r="AB2619" s="205" t="s">
        <v>64</v>
      </c>
      <c r="AC2619" s="205" t="s">
        <v>7699</v>
      </c>
      <c r="AD2619" s="205"/>
    </row>
    <row r="2620" spans="1:30" ht="36.5" customHeight="1">
      <c r="A2620" s="19" t="s">
        <v>7362</v>
      </c>
      <c r="B2620" s="19" t="s">
        <v>7388</v>
      </c>
      <c r="C2620" s="205" t="s">
        <v>24</v>
      </c>
      <c r="D2620" s="205" t="s">
        <v>1242</v>
      </c>
      <c r="E2620" s="205" t="s">
        <v>3209</v>
      </c>
      <c r="F2620" s="152" t="s">
        <v>2276</v>
      </c>
      <c r="G2620" s="152" t="s">
        <v>2276</v>
      </c>
      <c r="H2620" s="205" t="s">
        <v>523</v>
      </c>
      <c r="I2620" s="11">
        <v>2003</v>
      </c>
      <c r="J2620" s="205" t="s">
        <v>2276</v>
      </c>
      <c r="K2620" s="205" t="s">
        <v>2276</v>
      </c>
      <c r="L2620" s="205" t="s">
        <v>2276</v>
      </c>
      <c r="M2620" s="205" t="s">
        <v>2276</v>
      </c>
      <c r="N2620" s="205" t="s">
        <v>2276</v>
      </c>
      <c r="O2620" s="205" t="s">
        <v>2276</v>
      </c>
      <c r="P2620" s="205" t="s">
        <v>2276</v>
      </c>
      <c r="Q2620" s="205" t="s">
        <v>2276</v>
      </c>
      <c r="R2620" s="205" t="s">
        <v>2276</v>
      </c>
      <c r="S2620" s="205" t="s">
        <v>2276</v>
      </c>
      <c r="T2620" s="21">
        <f>4500*0.493</f>
        <v>2218.5</v>
      </c>
      <c r="U2620" s="205" t="s">
        <v>2276</v>
      </c>
      <c r="V2620" s="205" t="s">
        <v>2276</v>
      </c>
      <c r="W2620" s="205" t="s">
        <v>2276</v>
      </c>
      <c r="X2620" s="21">
        <f>T2620/'Record info'!K$1117</f>
        <v>6.9735642661804917E-2</v>
      </c>
      <c r="Y2620" s="205" t="s">
        <v>2276</v>
      </c>
      <c r="Z2620" s="205" t="s">
        <v>35</v>
      </c>
      <c r="AA2620" s="205" t="s">
        <v>38</v>
      </c>
      <c r="AB2620" s="205" t="s">
        <v>64</v>
      </c>
      <c r="AC2620" s="205" t="s">
        <v>7699</v>
      </c>
      <c r="AD2620" s="205"/>
    </row>
    <row r="2621" spans="1:30" ht="36.5" customHeight="1">
      <c r="A2621" s="19" t="s">
        <v>7363</v>
      </c>
      <c r="B2621" s="19" t="s">
        <v>7389</v>
      </c>
      <c r="C2621" s="205" t="s">
        <v>24</v>
      </c>
      <c r="D2621" s="205" t="s">
        <v>1242</v>
      </c>
      <c r="E2621" s="205" t="s">
        <v>3209</v>
      </c>
      <c r="F2621" s="152" t="s">
        <v>2276</v>
      </c>
      <c r="G2621" s="152" t="s">
        <v>2276</v>
      </c>
      <c r="H2621" s="205" t="s">
        <v>523</v>
      </c>
      <c r="I2621" s="11">
        <v>2003</v>
      </c>
      <c r="J2621" s="205" t="s">
        <v>2276</v>
      </c>
      <c r="K2621" s="205" t="s">
        <v>2276</v>
      </c>
      <c r="L2621" s="205" t="s">
        <v>2276</v>
      </c>
      <c r="M2621" s="205" t="s">
        <v>2276</v>
      </c>
      <c r="N2621" s="205" t="s">
        <v>2276</v>
      </c>
      <c r="O2621" s="205" t="s">
        <v>2276</v>
      </c>
      <c r="P2621" s="205" t="s">
        <v>2276</v>
      </c>
      <c r="Q2621" s="205" t="s">
        <v>2276</v>
      </c>
      <c r="R2621" s="205" t="s">
        <v>2276</v>
      </c>
      <c r="S2621" s="205" t="s">
        <v>2276</v>
      </c>
      <c r="T2621" s="21">
        <f>4500*0.375</f>
        <v>1687.5</v>
      </c>
      <c r="U2621" s="205" t="s">
        <v>2276</v>
      </c>
      <c r="V2621" s="205" t="s">
        <v>2276</v>
      </c>
      <c r="W2621" s="205" t="s">
        <v>2276</v>
      </c>
      <c r="X2621" s="21">
        <f>T2621/'Record info'!K$1118</f>
        <v>0.14048451548451549</v>
      </c>
      <c r="Y2621" s="205" t="s">
        <v>2276</v>
      </c>
      <c r="Z2621" s="205" t="s">
        <v>35</v>
      </c>
      <c r="AA2621" s="205" t="s">
        <v>38</v>
      </c>
      <c r="AB2621" s="205" t="s">
        <v>64</v>
      </c>
      <c r="AC2621" s="205" t="s">
        <v>7699</v>
      </c>
      <c r="AD2621" s="205"/>
    </row>
    <row r="2622" spans="1:30" ht="36.5" customHeight="1">
      <c r="A2622" s="19" t="s">
        <v>7364</v>
      </c>
      <c r="B2622" s="19" t="s">
        <v>7390</v>
      </c>
      <c r="C2622" s="205" t="s">
        <v>24</v>
      </c>
      <c r="D2622" s="205" t="s">
        <v>1242</v>
      </c>
      <c r="E2622" s="205" t="s">
        <v>3209</v>
      </c>
      <c r="F2622" s="152" t="s">
        <v>2276</v>
      </c>
      <c r="G2622" s="152" t="s">
        <v>2276</v>
      </c>
      <c r="H2622" s="205" t="s">
        <v>523</v>
      </c>
      <c r="I2622" s="11">
        <v>2003</v>
      </c>
      <c r="J2622" s="205" t="s">
        <v>2276</v>
      </c>
      <c r="K2622" s="205" t="s">
        <v>2276</v>
      </c>
      <c r="L2622" s="205" t="s">
        <v>2276</v>
      </c>
      <c r="M2622" s="205" t="s">
        <v>2276</v>
      </c>
      <c r="N2622" s="205" t="s">
        <v>2276</v>
      </c>
      <c r="O2622" s="205" t="s">
        <v>2276</v>
      </c>
      <c r="P2622" s="205" t="s">
        <v>2276</v>
      </c>
      <c r="Q2622" s="205" t="s">
        <v>2276</v>
      </c>
      <c r="R2622" s="205" t="s">
        <v>2276</v>
      </c>
      <c r="S2622" s="205" t="s">
        <v>2276</v>
      </c>
      <c r="T2622" s="21">
        <f>4500*0.058</f>
        <v>261</v>
      </c>
      <c r="U2622" s="205" t="s">
        <v>2276</v>
      </c>
      <c r="V2622" s="205" t="s">
        <v>2276</v>
      </c>
      <c r="W2622" s="205" t="s">
        <v>2276</v>
      </c>
      <c r="X2622" s="21">
        <f>T2622/'Record info'!K$1119</f>
        <v>4.5444256786168228E-3</v>
      </c>
      <c r="Y2622" s="205" t="s">
        <v>2276</v>
      </c>
      <c r="Z2622" s="205" t="s">
        <v>35</v>
      </c>
      <c r="AA2622" s="205" t="s">
        <v>38</v>
      </c>
      <c r="AB2622" s="205" t="s">
        <v>64</v>
      </c>
      <c r="AC2622" s="205" t="s">
        <v>7699</v>
      </c>
      <c r="AD2622" s="205"/>
    </row>
    <row r="2623" spans="1:30" ht="32.5" customHeight="1">
      <c r="A2623" s="19" t="s">
        <v>7360</v>
      </c>
      <c r="B2623" s="19" t="s">
        <v>7391</v>
      </c>
      <c r="C2623" s="205" t="s">
        <v>24</v>
      </c>
      <c r="D2623" s="205" t="s">
        <v>1242</v>
      </c>
      <c r="E2623" s="205" t="s">
        <v>3209</v>
      </c>
      <c r="F2623" s="152" t="s">
        <v>2276</v>
      </c>
      <c r="G2623" s="152" t="s">
        <v>2276</v>
      </c>
      <c r="H2623" s="205" t="s">
        <v>523</v>
      </c>
      <c r="I2623" s="11">
        <v>2004</v>
      </c>
      <c r="J2623" s="205" t="s">
        <v>2276</v>
      </c>
      <c r="K2623" s="205" t="s">
        <v>2276</v>
      </c>
      <c r="L2623" s="205" t="s">
        <v>2276</v>
      </c>
      <c r="M2623" s="205" t="s">
        <v>2276</v>
      </c>
      <c r="N2623" s="205" t="s">
        <v>2276</v>
      </c>
      <c r="O2623" s="205" t="s">
        <v>2276</v>
      </c>
      <c r="P2623" s="205" t="s">
        <v>2276</v>
      </c>
      <c r="Q2623" s="205" t="s">
        <v>2276</v>
      </c>
      <c r="R2623" s="205" t="s">
        <v>2276</v>
      </c>
      <c r="S2623" s="205" t="s">
        <v>2276</v>
      </c>
      <c r="T2623" s="21">
        <f>3800*0.068</f>
        <v>258.40000000000003</v>
      </c>
      <c r="U2623" s="205" t="s">
        <v>2276</v>
      </c>
      <c r="V2623" s="205" t="s">
        <v>2276</v>
      </c>
      <c r="W2623" s="205" t="s">
        <v>2276</v>
      </c>
      <c r="X2623" s="21">
        <f>T2623/'Record info'!K$1115</f>
        <v>9.4972067039106149E-3</v>
      </c>
      <c r="Y2623" s="205" t="s">
        <v>2276</v>
      </c>
      <c r="Z2623" s="205" t="s">
        <v>35</v>
      </c>
      <c r="AA2623" s="205" t="s">
        <v>38</v>
      </c>
      <c r="AB2623" s="205" t="s">
        <v>64</v>
      </c>
      <c r="AC2623" s="205" t="s">
        <v>7699</v>
      </c>
      <c r="AD2623" s="205"/>
    </row>
    <row r="2624" spans="1:30" ht="32.5" customHeight="1">
      <c r="A2624" s="19" t="s">
        <v>7361</v>
      </c>
      <c r="B2624" s="19" t="s">
        <v>7392</v>
      </c>
      <c r="C2624" s="205" t="s">
        <v>24</v>
      </c>
      <c r="D2624" s="205" t="s">
        <v>1242</v>
      </c>
      <c r="E2624" s="205" t="s">
        <v>3209</v>
      </c>
      <c r="F2624" s="152" t="s">
        <v>2276</v>
      </c>
      <c r="G2624" s="152" t="s">
        <v>2276</v>
      </c>
      <c r="H2624" s="205" t="s">
        <v>523</v>
      </c>
      <c r="I2624" s="11">
        <v>2004</v>
      </c>
      <c r="J2624" s="205" t="s">
        <v>2276</v>
      </c>
      <c r="K2624" s="205" t="s">
        <v>2276</v>
      </c>
      <c r="L2624" s="205" t="s">
        <v>2276</v>
      </c>
      <c r="M2624" s="205" t="s">
        <v>2276</v>
      </c>
      <c r="N2624" s="205" t="s">
        <v>2276</v>
      </c>
      <c r="O2624" s="205" t="s">
        <v>2276</v>
      </c>
      <c r="P2624" s="205" t="s">
        <v>2276</v>
      </c>
      <c r="Q2624" s="205" t="s">
        <v>2276</v>
      </c>
      <c r="R2624" s="205" t="s">
        <v>2276</v>
      </c>
      <c r="S2624" s="205" t="s">
        <v>2276</v>
      </c>
      <c r="T2624" s="21">
        <f>3800*0.05</f>
        <v>190</v>
      </c>
      <c r="U2624" s="205" t="s">
        <v>2276</v>
      </c>
      <c r="V2624" s="205" t="s">
        <v>2276</v>
      </c>
      <c r="W2624" s="205" t="s">
        <v>2276</v>
      </c>
      <c r="X2624" s="21">
        <f>T2624/'Record info'!K$1116</f>
        <v>6.3532401524777635E-3</v>
      </c>
      <c r="Y2624" s="205" t="s">
        <v>2276</v>
      </c>
      <c r="Z2624" s="205" t="s">
        <v>35</v>
      </c>
      <c r="AA2624" s="205" t="s">
        <v>38</v>
      </c>
      <c r="AB2624" s="205" t="s">
        <v>64</v>
      </c>
      <c r="AC2624" s="205" t="s">
        <v>7699</v>
      </c>
      <c r="AD2624" s="205"/>
    </row>
    <row r="2625" spans="1:30" ht="32.5" customHeight="1">
      <c r="A2625" s="19" t="s">
        <v>7362</v>
      </c>
      <c r="B2625" s="19" t="s">
        <v>7393</v>
      </c>
      <c r="C2625" s="205" t="s">
        <v>24</v>
      </c>
      <c r="D2625" s="205" t="s">
        <v>1242</v>
      </c>
      <c r="E2625" s="205" t="s">
        <v>3209</v>
      </c>
      <c r="F2625" s="152" t="s">
        <v>2276</v>
      </c>
      <c r="G2625" s="152" t="s">
        <v>2276</v>
      </c>
      <c r="H2625" s="205" t="s">
        <v>523</v>
      </c>
      <c r="I2625" s="11">
        <v>2004</v>
      </c>
      <c r="J2625" s="205" t="s">
        <v>2276</v>
      </c>
      <c r="K2625" s="205" t="s">
        <v>2276</v>
      </c>
      <c r="L2625" s="205" t="s">
        <v>2276</v>
      </c>
      <c r="M2625" s="205" t="s">
        <v>2276</v>
      </c>
      <c r="N2625" s="205" t="s">
        <v>2276</v>
      </c>
      <c r="O2625" s="205" t="s">
        <v>2276</v>
      </c>
      <c r="P2625" s="205" t="s">
        <v>2276</v>
      </c>
      <c r="Q2625" s="205" t="s">
        <v>2276</v>
      </c>
      <c r="R2625" s="205" t="s">
        <v>2276</v>
      </c>
      <c r="S2625" s="205" t="s">
        <v>2276</v>
      </c>
      <c r="T2625" s="21">
        <f>3800*0.493</f>
        <v>1873.3999999999999</v>
      </c>
      <c r="U2625" s="205" t="s">
        <v>2276</v>
      </c>
      <c r="V2625" s="205" t="s">
        <v>2276</v>
      </c>
      <c r="W2625" s="205" t="s">
        <v>2276</v>
      </c>
      <c r="X2625" s="21">
        <f>T2625/'Record info'!K$1117</f>
        <v>5.8887876025524151E-2</v>
      </c>
      <c r="Y2625" s="205" t="s">
        <v>2276</v>
      </c>
      <c r="Z2625" s="205" t="s">
        <v>35</v>
      </c>
      <c r="AA2625" s="205" t="s">
        <v>38</v>
      </c>
      <c r="AB2625" s="205" t="s">
        <v>64</v>
      </c>
      <c r="AC2625" s="205" t="s">
        <v>7699</v>
      </c>
      <c r="AD2625" s="205"/>
    </row>
    <row r="2626" spans="1:30" ht="32.5" customHeight="1">
      <c r="A2626" s="19" t="s">
        <v>7363</v>
      </c>
      <c r="B2626" s="19" t="s">
        <v>7394</v>
      </c>
      <c r="C2626" s="205" t="s">
        <v>24</v>
      </c>
      <c r="D2626" s="205" t="s">
        <v>1242</v>
      </c>
      <c r="E2626" s="205" t="s">
        <v>3209</v>
      </c>
      <c r="F2626" s="152" t="s">
        <v>2276</v>
      </c>
      <c r="G2626" s="152" t="s">
        <v>2276</v>
      </c>
      <c r="H2626" s="205" t="s">
        <v>523</v>
      </c>
      <c r="I2626" s="11">
        <v>2004</v>
      </c>
      <c r="J2626" s="205" t="s">
        <v>2276</v>
      </c>
      <c r="K2626" s="205" t="s">
        <v>2276</v>
      </c>
      <c r="L2626" s="205" t="s">
        <v>2276</v>
      </c>
      <c r="M2626" s="205" t="s">
        <v>2276</v>
      </c>
      <c r="N2626" s="205" t="s">
        <v>2276</v>
      </c>
      <c r="O2626" s="205" t="s">
        <v>2276</v>
      </c>
      <c r="P2626" s="205" t="s">
        <v>2276</v>
      </c>
      <c r="Q2626" s="205" t="s">
        <v>2276</v>
      </c>
      <c r="R2626" s="205" t="s">
        <v>2276</v>
      </c>
      <c r="S2626" s="205" t="s">
        <v>2276</v>
      </c>
      <c r="T2626" s="21">
        <f>3800*0.375</f>
        <v>1425</v>
      </c>
      <c r="U2626" s="205" t="s">
        <v>2276</v>
      </c>
      <c r="V2626" s="205" t="s">
        <v>2276</v>
      </c>
      <c r="W2626" s="205" t="s">
        <v>2276</v>
      </c>
      <c r="X2626" s="21">
        <f>T2626/'Record info'!K$1118</f>
        <v>0.11863136863136862</v>
      </c>
      <c r="Y2626" s="205" t="s">
        <v>2276</v>
      </c>
      <c r="Z2626" s="205" t="s">
        <v>35</v>
      </c>
      <c r="AA2626" s="205" t="s">
        <v>38</v>
      </c>
      <c r="AB2626" s="205" t="s">
        <v>64</v>
      </c>
      <c r="AC2626" s="205" t="s">
        <v>7699</v>
      </c>
      <c r="AD2626" s="205"/>
    </row>
    <row r="2627" spans="1:30" ht="32.5" customHeight="1">
      <c r="A2627" s="19" t="s">
        <v>7364</v>
      </c>
      <c r="B2627" s="19" t="s">
        <v>7395</v>
      </c>
      <c r="C2627" s="205" t="s">
        <v>24</v>
      </c>
      <c r="D2627" s="205" t="s">
        <v>1242</v>
      </c>
      <c r="E2627" s="205" t="s">
        <v>3209</v>
      </c>
      <c r="F2627" s="152" t="s">
        <v>2276</v>
      </c>
      <c r="G2627" s="152" t="s">
        <v>2276</v>
      </c>
      <c r="H2627" s="205" t="s">
        <v>523</v>
      </c>
      <c r="I2627" s="11">
        <v>2004</v>
      </c>
      <c r="J2627" s="205" t="s">
        <v>2276</v>
      </c>
      <c r="K2627" s="205" t="s">
        <v>2276</v>
      </c>
      <c r="L2627" s="205" t="s">
        <v>2276</v>
      </c>
      <c r="M2627" s="205" t="s">
        <v>2276</v>
      </c>
      <c r="N2627" s="205" t="s">
        <v>2276</v>
      </c>
      <c r="O2627" s="205" t="s">
        <v>2276</v>
      </c>
      <c r="P2627" s="205" t="s">
        <v>2276</v>
      </c>
      <c r="Q2627" s="205" t="s">
        <v>2276</v>
      </c>
      <c r="R2627" s="205" t="s">
        <v>2276</v>
      </c>
      <c r="S2627" s="205" t="s">
        <v>2276</v>
      </c>
      <c r="T2627" s="21">
        <f>3800*0.058</f>
        <v>220.4</v>
      </c>
      <c r="U2627" s="205" t="s">
        <v>2276</v>
      </c>
      <c r="V2627" s="205" t="s">
        <v>2276</v>
      </c>
      <c r="W2627" s="205" t="s">
        <v>2276</v>
      </c>
      <c r="X2627" s="21">
        <f>T2627/'Record info'!K$1119</f>
        <v>3.8375150174986506E-3</v>
      </c>
      <c r="Y2627" s="205" t="s">
        <v>2276</v>
      </c>
      <c r="Z2627" s="205" t="s">
        <v>35</v>
      </c>
      <c r="AA2627" s="205" t="s">
        <v>38</v>
      </c>
      <c r="AB2627" s="205" t="s">
        <v>64</v>
      </c>
      <c r="AC2627" s="205" t="s">
        <v>7699</v>
      </c>
      <c r="AD2627" s="205"/>
    </row>
    <row r="2628" spans="1:30" ht="28" customHeight="1">
      <c r="A2628" s="19" t="s">
        <v>7360</v>
      </c>
      <c r="B2628" s="19" t="s">
        <v>7396</v>
      </c>
      <c r="C2628" s="205" t="s">
        <v>24</v>
      </c>
      <c r="D2628" s="205" t="s">
        <v>1242</v>
      </c>
      <c r="E2628" s="205" t="s">
        <v>3209</v>
      </c>
      <c r="F2628" s="152" t="s">
        <v>2276</v>
      </c>
      <c r="G2628" s="152" t="s">
        <v>2276</v>
      </c>
      <c r="H2628" s="205" t="s">
        <v>523</v>
      </c>
      <c r="I2628" s="11">
        <v>2005</v>
      </c>
      <c r="J2628" s="205" t="s">
        <v>2276</v>
      </c>
      <c r="K2628" s="205" t="s">
        <v>2276</v>
      </c>
      <c r="L2628" s="205" t="s">
        <v>2276</v>
      </c>
      <c r="M2628" s="205" t="s">
        <v>2276</v>
      </c>
      <c r="N2628" s="205" t="s">
        <v>2276</v>
      </c>
      <c r="O2628" s="205" t="s">
        <v>2276</v>
      </c>
      <c r="P2628" s="205" t="s">
        <v>2276</v>
      </c>
      <c r="Q2628" s="205" t="s">
        <v>2276</v>
      </c>
      <c r="R2628" s="205" t="s">
        <v>2276</v>
      </c>
      <c r="S2628" s="205" t="s">
        <v>2276</v>
      </c>
      <c r="T2628" s="21">
        <f>2500*0.068</f>
        <v>170</v>
      </c>
      <c r="U2628" s="205" t="s">
        <v>2276</v>
      </c>
      <c r="V2628" s="205" t="s">
        <v>2276</v>
      </c>
      <c r="W2628" s="205" t="s">
        <v>2276</v>
      </c>
      <c r="X2628" s="21">
        <f>T2628/'Record info'!K$1115</f>
        <v>6.2481623052043521E-3</v>
      </c>
      <c r="Y2628" s="205" t="s">
        <v>2276</v>
      </c>
      <c r="Z2628" s="205" t="s">
        <v>35</v>
      </c>
      <c r="AA2628" s="205" t="s">
        <v>38</v>
      </c>
      <c r="AB2628" s="205" t="s">
        <v>64</v>
      </c>
      <c r="AC2628" s="205" t="s">
        <v>7699</v>
      </c>
      <c r="AD2628" s="205"/>
    </row>
    <row r="2629" spans="1:30" ht="28" customHeight="1">
      <c r="A2629" s="19" t="s">
        <v>7361</v>
      </c>
      <c r="B2629" s="19" t="s">
        <v>7397</v>
      </c>
      <c r="C2629" s="205" t="s">
        <v>24</v>
      </c>
      <c r="D2629" s="205" t="s">
        <v>1242</v>
      </c>
      <c r="E2629" s="205" t="s">
        <v>3209</v>
      </c>
      <c r="F2629" s="152" t="s">
        <v>2276</v>
      </c>
      <c r="G2629" s="152" t="s">
        <v>2276</v>
      </c>
      <c r="H2629" s="205" t="s">
        <v>523</v>
      </c>
      <c r="I2629" s="11">
        <v>2005</v>
      </c>
      <c r="J2629" s="205" t="s">
        <v>2276</v>
      </c>
      <c r="K2629" s="205" t="s">
        <v>2276</v>
      </c>
      <c r="L2629" s="205" t="s">
        <v>2276</v>
      </c>
      <c r="M2629" s="205" t="s">
        <v>2276</v>
      </c>
      <c r="N2629" s="205" t="s">
        <v>2276</v>
      </c>
      <c r="O2629" s="205" t="s">
        <v>2276</v>
      </c>
      <c r="P2629" s="205" t="s">
        <v>2276</v>
      </c>
      <c r="Q2629" s="205" t="s">
        <v>2276</v>
      </c>
      <c r="R2629" s="205" t="s">
        <v>2276</v>
      </c>
      <c r="S2629" s="205" t="s">
        <v>2276</v>
      </c>
      <c r="T2629" s="21">
        <f>2500*0.05</f>
        <v>125</v>
      </c>
      <c r="U2629" s="205" t="s">
        <v>2276</v>
      </c>
      <c r="V2629" s="205" t="s">
        <v>2276</v>
      </c>
      <c r="W2629" s="205" t="s">
        <v>2276</v>
      </c>
      <c r="X2629" s="21">
        <f>T2629/'Record info'!K$1116</f>
        <v>4.1797632582090552E-3</v>
      </c>
      <c r="Y2629" s="205" t="s">
        <v>2276</v>
      </c>
      <c r="Z2629" s="205" t="s">
        <v>35</v>
      </c>
      <c r="AA2629" s="205" t="s">
        <v>38</v>
      </c>
      <c r="AB2629" s="205" t="s">
        <v>64</v>
      </c>
      <c r="AC2629" s="205" t="s">
        <v>7699</v>
      </c>
      <c r="AD2629" s="205"/>
    </row>
    <row r="2630" spans="1:30" ht="28" customHeight="1">
      <c r="A2630" s="19" t="s">
        <v>7362</v>
      </c>
      <c r="B2630" s="19" t="s">
        <v>7398</v>
      </c>
      <c r="C2630" s="205" t="s">
        <v>24</v>
      </c>
      <c r="D2630" s="205" t="s">
        <v>1242</v>
      </c>
      <c r="E2630" s="205" t="s">
        <v>3209</v>
      </c>
      <c r="F2630" s="152" t="s">
        <v>2276</v>
      </c>
      <c r="G2630" s="152" t="s">
        <v>2276</v>
      </c>
      <c r="H2630" s="205" t="s">
        <v>523</v>
      </c>
      <c r="I2630" s="11">
        <v>2005</v>
      </c>
      <c r="J2630" s="205" t="s">
        <v>2276</v>
      </c>
      <c r="K2630" s="205" t="s">
        <v>2276</v>
      </c>
      <c r="L2630" s="205" t="s">
        <v>2276</v>
      </c>
      <c r="M2630" s="205" t="s">
        <v>2276</v>
      </c>
      <c r="N2630" s="205" t="s">
        <v>2276</v>
      </c>
      <c r="O2630" s="205" t="s">
        <v>2276</v>
      </c>
      <c r="P2630" s="205" t="s">
        <v>2276</v>
      </c>
      <c r="Q2630" s="205" t="s">
        <v>2276</v>
      </c>
      <c r="R2630" s="205" t="s">
        <v>2276</v>
      </c>
      <c r="S2630" s="205" t="s">
        <v>2276</v>
      </c>
      <c r="T2630" s="21">
        <f>2500*0.493</f>
        <v>1232.5</v>
      </c>
      <c r="U2630" s="205" t="s">
        <v>2276</v>
      </c>
      <c r="V2630" s="205" t="s">
        <v>2276</v>
      </c>
      <c r="W2630" s="205" t="s">
        <v>2276</v>
      </c>
      <c r="X2630" s="21">
        <f>T2630/'Record info'!K$1117</f>
        <v>3.8742023701002735E-2</v>
      </c>
      <c r="Y2630" s="205" t="s">
        <v>2276</v>
      </c>
      <c r="Z2630" s="205" t="s">
        <v>35</v>
      </c>
      <c r="AA2630" s="205" t="s">
        <v>38</v>
      </c>
      <c r="AB2630" s="205" t="s">
        <v>64</v>
      </c>
      <c r="AC2630" s="205" t="s">
        <v>7699</v>
      </c>
      <c r="AD2630" s="205"/>
    </row>
    <row r="2631" spans="1:30" ht="28" customHeight="1">
      <c r="A2631" s="19" t="s">
        <v>7363</v>
      </c>
      <c r="B2631" s="19" t="s">
        <v>7399</v>
      </c>
      <c r="C2631" s="205" t="s">
        <v>24</v>
      </c>
      <c r="D2631" s="205" t="s">
        <v>1242</v>
      </c>
      <c r="E2631" s="205" t="s">
        <v>3209</v>
      </c>
      <c r="F2631" s="152" t="s">
        <v>2276</v>
      </c>
      <c r="G2631" s="152" t="s">
        <v>2276</v>
      </c>
      <c r="H2631" s="205" t="s">
        <v>523</v>
      </c>
      <c r="I2631" s="11">
        <v>2005</v>
      </c>
      <c r="J2631" s="205" t="s">
        <v>2276</v>
      </c>
      <c r="K2631" s="205" t="s">
        <v>2276</v>
      </c>
      <c r="L2631" s="205" t="s">
        <v>2276</v>
      </c>
      <c r="M2631" s="205" t="s">
        <v>2276</v>
      </c>
      <c r="N2631" s="205" t="s">
        <v>2276</v>
      </c>
      <c r="O2631" s="205" t="s">
        <v>2276</v>
      </c>
      <c r="P2631" s="205" t="s">
        <v>2276</v>
      </c>
      <c r="Q2631" s="205" t="s">
        <v>2276</v>
      </c>
      <c r="R2631" s="205" t="s">
        <v>2276</v>
      </c>
      <c r="S2631" s="205" t="s">
        <v>2276</v>
      </c>
      <c r="T2631" s="21">
        <f>2500*0.375</f>
        <v>937.5</v>
      </c>
      <c r="U2631" s="205" t="s">
        <v>2276</v>
      </c>
      <c r="V2631" s="205" t="s">
        <v>2276</v>
      </c>
      <c r="W2631" s="205" t="s">
        <v>2276</v>
      </c>
      <c r="X2631" s="21">
        <f>T2631/'Record info'!K$1118</f>
        <v>7.8046953046953041E-2</v>
      </c>
      <c r="Y2631" s="205" t="s">
        <v>2276</v>
      </c>
      <c r="Z2631" s="205" t="s">
        <v>35</v>
      </c>
      <c r="AA2631" s="205" t="s">
        <v>38</v>
      </c>
      <c r="AB2631" s="205" t="s">
        <v>64</v>
      </c>
      <c r="AC2631" s="205" t="s">
        <v>7699</v>
      </c>
      <c r="AD2631" s="205"/>
    </row>
    <row r="2632" spans="1:30" ht="28" customHeight="1">
      <c r="A2632" s="19" t="s">
        <v>7364</v>
      </c>
      <c r="B2632" s="19" t="s">
        <v>7400</v>
      </c>
      <c r="C2632" s="205" t="s">
        <v>24</v>
      </c>
      <c r="D2632" s="205" t="s">
        <v>1242</v>
      </c>
      <c r="E2632" s="205" t="s">
        <v>3209</v>
      </c>
      <c r="F2632" s="152" t="s">
        <v>2276</v>
      </c>
      <c r="G2632" s="152" t="s">
        <v>2276</v>
      </c>
      <c r="H2632" s="205" t="s">
        <v>523</v>
      </c>
      <c r="I2632" s="11">
        <v>2005</v>
      </c>
      <c r="J2632" s="205" t="s">
        <v>2276</v>
      </c>
      <c r="K2632" s="205" t="s">
        <v>2276</v>
      </c>
      <c r="L2632" s="205" t="s">
        <v>2276</v>
      </c>
      <c r="M2632" s="205" t="s">
        <v>2276</v>
      </c>
      <c r="N2632" s="205" t="s">
        <v>2276</v>
      </c>
      <c r="O2632" s="205" t="s">
        <v>2276</v>
      </c>
      <c r="P2632" s="205" t="s">
        <v>2276</v>
      </c>
      <c r="Q2632" s="205" t="s">
        <v>2276</v>
      </c>
      <c r="R2632" s="205" t="s">
        <v>2276</v>
      </c>
      <c r="S2632" s="205" t="s">
        <v>2276</v>
      </c>
      <c r="T2632" s="21">
        <f>2500*0.058</f>
        <v>145</v>
      </c>
      <c r="U2632" s="205" t="s">
        <v>2276</v>
      </c>
      <c r="V2632" s="205" t="s">
        <v>2276</v>
      </c>
      <c r="W2632" s="205" t="s">
        <v>2276</v>
      </c>
      <c r="X2632" s="21">
        <f>T2632/'Record info'!K$1119</f>
        <v>2.5246809325649017E-3</v>
      </c>
      <c r="Y2632" s="205" t="s">
        <v>2276</v>
      </c>
      <c r="Z2632" s="205" t="s">
        <v>35</v>
      </c>
      <c r="AA2632" s="205" t="s">
        <v>38</v>
      </c>
      <c r="AB2632" s="205" t="s">
        <v>64</v>
      </c>
      <c r="AC2632" s="205" t="s">
        <v>7699</v>
      </c>
      <c r="AD2632" s="205"/>
    </row>
    <row r="2633" spans="1:30" ht="26.5" customHeight="1">
      <c r="A2633" s="19" t="s">
        <v>7360</v>
      </c>
      <c r="B2633" s="19" t="s">
        <v>7401</v>
      </c>
      <c r="C2633" s="205" t="s">
        <v>24</v>
      </c>
      <c r="D2633" s="205" t="s">
        <v>1242</v>
      </c>
      <c r="E2633" s="205" t="s">
        <v>3209</v>
      </c>
      <c r="F2633" s="152" t="s">
        <v>2276</v>
      </c>
      <c r="G2633" s="152" t="s">
        <v>2276</v>
      </c>
      <c r="H2633" s="205" t="s">
        <v>523</v>
      </c>
      <c r="I2633" s="11">
        <v>2006</v>
      </c>
      <c r="J2633" s="205" t="s">
        <v>2276</v>
      </c>
      <c r="K2633" s="205" t="s">
        <v>2276</v>
      </c>
      <c r="L2633" s="205" t="s">
        <v>2276</v>
      </c>
      <c r="M2633" s="205" t="s">
        <v>2276</v>
      </c>
      <c r="N2633" s="205" t="s">
        <v>2276</v>
      </c>
      <c r="O2633" s="205" t="s">
        <v>2276</v>
      </c>
      <c r="P2633" s="205" t="s">
        <v>2276</v>
      </c>
      <c r="Q2633" s="205" t="s">
        <v>2276</v>
      </c>
      <c r="R2633" s="205" t="s">
        <v>2276</v>
      </c>
      <c r="S2633" s="205" t="s">
        <v>2276</v>
      </c>
      <c r="T2633" s="21">
        <f>2250*0.068</f>
        <v>153</v>
      </c>
      <c r="U2633" s="205" t="s">
        <v>2276</v>
      </c>
      <c r="V2633" s="205" t="s">
        <v>2276</v>
      </c>
      <c r="W2633" s="205" t="s">
        <v>2276</v>
      </c>
      <c r="X2633" s="21">
        <f>T2633/'Record info'!K$1115</f>
        <v>5.6233460746839166E-3</v>
      </c>
      <c r="Y2633" s="205" t="s">
        <v>2276</v>
      </c>
      <c r="Z2633" s="205" t="s">
        <v>35</v>
      </c>
      <c r="AA2633" s="205" t="s">
        <v>38</v>
      </c>
      <c r="AB2633" s="205" t="s">
        <v>64</v>
      </c>
      <c r="AC2633" s="205" t="s">
        <v>7699</v>
      </c>
      <c r="AD2633" s="205"/>
    </row>
    <row r="2634" spans="1:30" ht="26.5" customHeight="1">
      <c r="A2634" s="19" t="s">
        <v>7361</v>
      </c>
      <c r="B2634" s="19" t="s">
        <v>7402</v>
      </c>
      <c r="C2634" s="205" t="s">
        <v>24</v>
      </c>
      <c r="D2634" s="205" t="s">
        <v>1242</v>
      </c>
      <c r="E2634" s="205" t="s">
        <v>3209</v>
      </c>
      <c r="F2634" s="152" t="s">
        <v>2276</v>
      </c>
      <c r="G2634" s="152" t="s">
        <v>2276</v>
      </c>
      <c r="H2634" s="205" t="s">
        <v>523</v>
      </c>
      <c r="I2634" s="11">
        <v>2006</v>
      </c>
      <c r="J2634" s="205" t="s">
        <v>2276</v>
      </c>
      <c r="K2634" s="205" t="s">
        <v>2276</v>
      </c>
      <c r="L2634" s="205" t="s">
        <v>2276</v>
      </c>
      <c r="M2634" s="205" t="s">
        <v>2276</v>
      </c>
      <c r="N2634" s="205" t="s">
        <v>2276</v>
      </c>
      <c r="O2634" s="205" t="s">
        <v>2276</v>
      </c>
      <c r="P2634" s="205" t="s">
        <v>2276</v>
      </c>
      <c r="Q2634" s="205" t="s">
        <v>2276</v>
      </c>
      <c r="R2634" s="205" t="s">
        <v>2276</v>
      </c>
      <c r="S2634" s="205" t="s">
        <v>2276</v>
      </c>
      <c r="T2634" s="21">
        <f>2250*0.05</f>
        <v>112.5</v>
      </c>
      <c r="U2634" s="205" t="s">
        <v>2276</v>
      </c>
      <c r="V2634" s="205" t="s">
        <v>2276</v>
      </c>
      <c r="W2634" s="205" t="s">
        <v>2276</v>
      </c>
      <c r="X2634" s="21">
        <f>T2634/'Record info'!K$1116</f>
        <v>3.7617869323881494E-3</v>
      </c>
      <c r="Y2634" s="205" t="s">
        <v>2276</v>
      </c>
      <c r="Z2634" s="205" t="s">
        <v>35</v>
      </c>
      <c r="AA2634" s="205" t="s">
        <v>38</v>
      </c>
      <c r="AB2634" s="205" t="s">
        <v>64</v>
      </c>
      <c r="AC2634" s="205" t="s">
        <v>7699</v>
      </c>
      <c r="AD2634" s="205"/>
    </row>
    <row r="2635" spans="1:30" ht="26.5" customHeight="1">
      <c r="A2635" s="19" t="s">
        <v>7362</v>
      </c>
      <c r="B2635" s="19" t="s">
        <v>7403</v>
      </c>
      <c r="C2635" s="205" t="s">
        <v>24</v>
      </c>
      <c r="D2635" s="205" t="s">
        <v>1242</v>
      </c>
      <c r="E2635" s="205" t="s">
        <v>3209</v>
      </c>
      <c r="F2635" s="152" t="s">
        <v>2276</v>
      </c>
      <c r="G2635" s="152" t="s">
        <v>2276</v>
      </c>
      <c r="H2635" s="205" t="s">
        <v>523</v>
      </c>
      <c r="I2635" s="11">
        <v>2006</v>
      </c>
      <c r="J2635" s="205" t="s">
        <v>2276</v>
      </c>
      <c r="K2635" s="205" t="s">
        <v>2276</v>
      </c>
      <c r="L2635" s="205" t="s">
        <v>2276</v>
      </c>
      <c r="M2635" s="205" t="s">
        <v>2276</v>
      </c>
      <c r="N2635" s="205" t="s">
        <v>2276</v>
      </c>
      <c r="O2635" s="205" t="s">
        <v>2276</v>
      </c>
      <c r="P2635" s="205" t="s">
        <v>2276</v>
      </c>
      <c r="Q2635" s="205" t="s">
        <v>2276</v>
      </c>
      <c r="R2635" s="205" t="s">
        <v>2276</v>
      </c>
      <c r="S2635" s="205" t="s">
        <v>2276</v>
      </c>
      <c r="T2635" s="21">
        <f>2250*0.493</f>
        <v>1109.25</v>
      </c>
      <c r="U2635" s="205" t="s">
        <v>2276</v>
      </c>
      <c r="V2635" s="205" t="s">
        <v>2276</v>
      </c>
      <c r="W2635" s="205" t="s">
        <v>2276</v>
      </c>
      <c r="X2635" s="21">
        <f>T2635/'Record info'!K$1117</f>
        <v>3.4867821330902458E-2</v>
      </c>
      <c r="Y2635" s="205" t="s">
        <v>2276</v>
      </c>
      <c r="Z2635" s="205" t="s">
        <v>35</v>
      </c>
      <c r="AA2635" s="205" t="s">
        <v>38</v>
      </c>
      <c r="AB2635" s="205" t="s">
        <v>64</v>
      </c>
      <c r="AC2635" s="205" t="s">
        <v>7699</v>
      </c>
      <c r="AD2635" s="205"/>
    </row>
    <row r="2636" spans="1:30" ht="26.5" customHeight="1">
      <c r="A2636" s="19" t="s">
        <v>7363</v>
      </c>
      <c r="B2636" s="19" t="s">
        <v>7404</v>
      </c>
      <c r="C2636" s="205" t="s">
        <v>24</v>
      </c>
      <c r="D2636" s="205" t="s">
        <v>1242</v>
      </c>
      <c r="E2636" s="205" t="s">
        <v>3209</v>
      </c>
      <c r="F2636" s="152" t="s">
        <v>2276</v>
      </c>
      <c r="G2636" s="152" t="s">
        <v>2276</v>
      </c>
      <c r="H2636" s="205" t="s">
        <v>523</v>
      </c>
      <c r="I2636" s="11">
        <v>2006</v>
      </c>
      <c r="J2636" s="205" t="s">
        <v>2276</v>
      </c>
      <c r="K2636" s="205" t="s">
        <v>2276</v>
      </c>
      <c r="L2636" s="205" t="s">
        <v>2276</v>
      </c>
      <c r="M2636" s="205" t="s">
        <v>2276</v>
      </c>
      <c r="N2636" s="205" t="s">
        <v>2276</v>
      </c>
      <c r="O2636" s="205" t="s">
        <v>2276</v>
      </c>
      <c r="P2636" s="205" t="s">
        <v>2276</v>
      </c>
      <c r="Q2636" s="205" t="s">
        <v>2276</v>
      </c>
      <c r="R2636" s="205" t="s">
        <v>2276</v>
      </c>
      <c r="S2636" s="205" t="s">
        <v>2276</v>
      </c>
      <c r="T2636" s="21">
        <f>2250*0.375</f>
        <v>843.75</v>
      </c>
      <c r="U2636" s="205" t="s">
        <v>2276</v>
      </c>
      <c r="V2636" s="205" t="s">
        <v>2276</v>
      </c>
      <c r="W2636" s="205" t="s">
        <v>2276</v>
      </c>
      <c r="X2636" s="21">
        <f>T2636/'Record info'!K$1118</f>
        <v>7.0242257742257744E-2</v>
      </c>
      <c r="Y2636" s="205" t="s">
        <v>2276</v>
      </c>
      <c r="Z2636" s="205" t="s">
        <v>35</v>
      </c>
      <c r="AA2636" s="205" t="s">
        <v>38</v>
      </c>
      <c r="AB2636" s="205" t="s">
        <v>64</v>
      </c>
      <c r="AC2636" s="205" t="s">
        <v>7699</v>
      </c>
      <c r="AD2636" s="205"/>
    </row>
    <row r="2637" spans="1:30" ht="26.5" customHeight="1">
      <c r="A2637" s="19" t="s">
        <v>7364</v>
      </c>
      <c r="B2637" s="19" t="s">
        <v>7405</v>
      </c>
      <c r="C2637" s="205" t="s">
        <v>24</v>
      </c>
      <c r="D2637" s="205" t="s">
        <v>1242</v>
      </c>
      <c r="E2637" s="205" t="s">
        <v>3209</v>
      </c>
      <c r="F2637" s="152" t="s">
        <v>2276</v>
      </c>
      <c r="G2637" s="152" t="s">
        <v>2276</v>
      </c>
      <c r="H2637" s="205" t="s">
        <v>523</v>
      </c>
      <c r="I2637" s="11">
        <v>2006</v>
      </c>
      <c r="J2637" s="205" t="s">
        <v>2276</v>
      </c>
      <c r="K2637" s="205" t="s">
        <v>2276</v>
      </c>
      <c r="L2637" s="205" t="s">
        <v>2276</v>
      </c>
      <c r="M2637" s="205" t="s">
        <v>2276</v>
      </c>
      <c r="N2637" s="205" t="s">
        <v>2276</v>
      </c>
      <c r="O2637" s="205" t="s">
        <v>2276</v>
      </c>
      <c r="P2637" s="205" t="s">
        <v>2276</v>
      </c>
      <c r="Q2637" s="205" t="s">
        <v>2276</v>
      </c>
      <c r="R2637" s="205" t="s">
        <v>2276</v>
      </c>
      <c r="S2637" s="205" t="s">
        <v>2276</v>
      </c>
      <c r="T2637" s="21">
        <f>2250*0.058</f>
        <v>130.5</v>
      </c>
      <c r="U2637" s="205" t="s">
        <v>2276</v>
      </c>
      <c r="V2637" s="205" t="s">
        <v>2276</v>
      </c>
      <c r="W2637" s="205" t="s">
        <v>2276</v>
      </c>
      <c r="X2637" s="21">
        <f>T2637/'Record info'!K$1119</f>
        <v>2.2722128393084114E-3</v>
      </c>
      <c r="Y2637" s="205" t="s">
        <v>2276</v>
      </c>
      <c r="Z2637" s="205" t="s">
        <v>35</v>
      </c>
      <c r="AA2637" s="205" t="s">
        <v>38</v>
      </c>
      <c r="AB2637" s="205" t="s">
        <v>64</v>
      </c>
      <c r="AC2637" s="205" t="s">
        <v>7699</v>
      </c>
      <c r="AD2637" s="205"/>
    </row>
    <row r="2638" spans="1:30" ht="24.5" customHeight="1">
      <c r="A2638" s="19" t="s">
        <v>7360</v>
      </c>
      <c r="B2638" s="19" t="s">
        <v>7406</v>
      </c>
      <c r="C2638" s="205" t="s">
        <v>24</v>
      </c>
      <c r="D2638" s="205" t="s">
        <v>1242</v>
      </c>
      <c r="E2638" s="205" t="s">
        <v>3209</v>
      </c>
      <c r="F2638" s="152" t="s">
        <v>2276</v>
      </c>
      <c r="G2638" s="152" t="s">
        <v>2276</v>
      </c>
      <c r="H2638" s="205" t="s">
        <v>523</v>
      </c>
      <c r="I2638" s="11">
        <v>2007</v>
      </c>
      <c r="J2638" s="205" t="s">
        <v>2276</v>
      </c>
      <c r="K2638" s="205" t="s">
        <v>2276</v>
      </c>
      <c r="L2638" s="205" t="s">
        <v>2276</v>
      </c>
      <c r="M2638" s="205" t="s">
        <v>2276</v>
      </c>
      <c r="N2638" s="205" t="s">
        <v>2276</v>
      </c>
      <c r="O2638" s="205" t="s">
        <v>2276</v>
      </c>
      <c r="P2638" s="205" t="s">
        <v>2276</v>
      </c>
      <c r="Q2638" s="205" t="s">
        <v>2276</v>
      </c>
      <c r="R2638" s="205" t="s">
        <v>2276</v>
      </c>
      <c r="S2638" s="205" t="s">
        <v>2276</v>
      </c>
      <c r="T2638" s="21">
        <f>4500*0.068</f>
        <v>306</v>
      </c>
      <c r="U2638" s="205" t="s">
        <v>2276</v>
      </c>
      <c r="V2638" s="205" t="s">
        <v>2276</v>
      </c>
      <c r="W2638" s="205" t="s">
        <v>2276</v>
      </c>
      <c r="X2638" s="21">
        <f>T2638/'Record info'!K$1115</f>
        <v>1.1246692149367833E-2</v>
      </c>
      <c r="Y2638" s="205" t="s">
        <v>2276</v>
      </c>
      <c r="Z2638" s="205" t="s">
        <v>35</v>
      </c>
      <c r="AA2638" s="205" t="s">
        <v>38</v>
      </c>
      <c r="AB2638" s="205" t="s">
        <v>64</v>
      </c>
      <c r="AC2638" s="205" t="s">
        <v>7699</v>
      </c>
      <c r="AD2638" s="205"/>
    </row>
    <row r="2639" spans="1:30" ht="24.5" customHeight="1">
      <c r="A2639" s="19" t="s">
        <v>7361</v>
      </c>
      <c r="B2639" s="19" t="s">
        <v>7407</v>
      </c>
      <c r="C2639" s="205" t="s">
        <v>24</v>
      </c>
      <c r="D2639" s="205" t="s">
        <v>1242</v>
      </c>
      <c r="E2639" s="205" t="s">
        <v>3209</v>
      </c>
      <c r="F2639" s="152" t="s">
        <v>2276</v>
      </c>
      <c r="G2639" s="152" t="s">
        <v>2276</v>
      </c>
      <c r="H2639" s="205" t="s">
        <v>523</v>
      </c>
      <c r="I2639" s="11">
        <v>2007</v>
      </c>
      <c r="J2639" s="205" t="s">
        <v>2276</v>
      </c>
      <c r="K2639" s="205" t="s">
        <v>2276</v>
      </c>
      <c r="L2639" s="205" t="s">
        <v>2276</v>
      </c>
      <c r="M2639" s="205" t="s">
        <v>2276</v>
      </c>
      <c r="N2639" s="205" t="s">
        <v>2276</v>
      </c>
      <c r="O2639" s="205" t="s">
        <v>2276</v>
      </c>
      <c r="P2639" s="205" t="s">
        <v>2276</v>
      </c>
      <c r="Q2639" s="205" t="s">
        <v>2276</v>
      </c>
      <c r="R2639" s="205" t="s">
        <v>2276</v>
      </c>
      <c r="S2639" s="205" t="s">
        <v>2276</v>
      </c>
      <c r="T2639" s="21">
        <f>4500*0.05</f>
        <v>225</v>
      </c>
      <c r="U2639" s="205" t="s">
        <v>2276</v>
      </c>
      <c r="V2639" s="205" t="s">
        <v>2276</v>
      </c>
      <c r="W2639" s="205" t="s">
        <v>2276</v>
      </c>
      <c r="X2639" s="21">
        <f>T2639/'Record info'!K$1116</f>
        <v>7.5235738647762987E-3</v>
      </c>
      <c r="Y2639" s="205" t="s">
        <v>2276</v>
      </c>
      <c r="Z2639" s="205" t="s">
        <v>35</v>
      </c>
      <c r="AA2639" s="205" t="s">
        <v>38</v>
      </c>
      <c r="AB2639" s="205" t="s">
        <v>64</v>
      </c>
      <c r="AC2639" s="205" t="s">
        <v>7699</v>
      </c>
      <c r="AD2639" s="205"/>
    </row>
    <row r="2640" spans="1:30" ht="24.5" customHeight="1">
      <c r="A2640" s="19" t="s">
        <v>7362</v>
      </c>
      <c r="B2640" s="19" t="s">
        <v>7408</v>
      </c>
      <c r="C2640" s="205" t="s">
        <v>24</v>
      </c>
      <c r="D2640" s="205" t="s">
        <v>1242</v>
      </c>
      <c r="E2640" s="205" t="s">
        <v>3209</v>
      </c>
      <c r="F2640" s="152" t="s">
        <v>2276</v>
      </c>
      <c r="G2640" s="152" t="s">
        <v>2276</v>
      </c>
      <c r="H2640" s="205" t="s">
        <v>523</v>
      </c>
      <c r="I2640" s="11">
        <v>2007</v>
      </c>
      <c r="J2640" s="205" t="s">
        <v>2276</v>
      </c>
      <c r="K2640" s="205" t="s">
        <v>2276</v>
      </c>
      <c r="L2640" s="205" t="s">
        <v>2276</v>
      </c>
      <c r="M2640" s="205" t="s">
        <v>2276</v>
      </c>
      <c r="N2640" s="205" t="s">
        <v>2276</v>
      </c>
      <c r="O2640" s="205" t="s">
        <v>2276</v>
      </c>
      <c r="P2640" s="205" t="s">
        <v>2276</v>
      </c>
      <c r="Q2640" s="205" t="s">
        <v>2276</v>
      </c>
      <c r="R2640" s="205" t="s">
        <v>2276</v>
      </c>
      <c r="S2640" s="205" t="s">
        <v>2276</v>
      </c>
      <c r="T2640" s="21">
        <f>4500*0.493</f>
        <v>2218.5</v>
      </c>
      <c r="U2640" s="205" t="s">
        <v>2276</v>
      </c>
      <c r="V2640" s="205" t="s">
        <v>2276</v>
      </c>
      <c r="W2640" s="205" t="s">
        <v>2276</v>
      </c>
      <c r="X2640" s="21">
        <f>T2640/'Record info'!K$1117</f>
        <v>6.9735642661804917E-2</v>
      </c>
      <c r="Y2640" s="205" t="s">
        <v>2276</v>
      </c>
      <c r="Z2640" s="205" t="s">
        <v>35</v>
      </c>
      <c r="AA2640" s="205" t="s">
        <v>38</v>
      </c>
      <c r="AB2640" s="205" t="s">
        <v>64</v>
      </c>
      <c r="AC2640" s="205" t="s">
        <v>7699</v>
      </c>
      <c r="AD2640" s="205"/>
    </row>
    <row r="2641" spans="1:30" ht="24.5" customHeight="1">
      <c r="A2641" s="19" t="s">
        <v>7363</v>
      </c>
      <c r="B2641" s="19" t="s">
        <v>7409</v>
      </c>
      <c r="C2641" s="205" t="s">
        <v>24</v>
      </c>
      <c r="D2641" s="205" t="s">
        <v>1242</v>
      </c>
      <c r="E2641" s="205" t="s">
        <v>3209</v>
      </c>
      <c r="F2641" s="152" t="s">
        <v>2276</v>
      </c>
      <c r="G2641" s="152" t="s">
        <v>2276</v>
      </c>
      <c r="H2641" s="205" t="s">
        <v>523</v>
      </c>
      <c r="I2641" s="11">
        <v>2007</v>
      </c>
      <c r="J2641" s="205" t="s">
        <v>2276</v>
      </c>
      <c r="K2641" s="205" t="s">
        <v>2276</v>
      </c>
      <c r="L2641" s="205" t="s">
        <v>2276</v>
      </c>
      <c r="M2641" s="205" t="s">
        <v>2276</v>
      </c>
      <c r="N2641" s="205" t="s">
        <v>2276</v>
      </c>
      <c r="O2641" s="205" t="s">
        <v>2276</v>
      </c>
      <c r="P2641" s="205" t="s">
        <v>2276</v>
      </c>
      <c r="Q2641" s="205" t="s">
        <v>2276</v>
      </c>
      <c r="R2641" s="205" t="s">
        <v>2276</v>
      </c>
      <c r="S2641" s="205" t="s">
        <v>2276</v>
      </c>
      <c r="T2641" s="21">
        <f>4500*0.375</f>
        <v>1687.5</v>
      </c>
      <c r="U2641" s="205" t="s">
        <v>2276</v>
      </c>
      <c r="V2641" s="205" t="s">
        <v>2276</v>
      </c>
      <c r="W2641" s="205" t="s">
        <v>2276</v>
      </c>
      <c r="X2641" s="21">
        <f>T2641/'Record info'!K$1118</f>
        <v>0.14048451548451549</v>
      </c>
      <c r="Y2641" s="205" t="s">
        <v>2276</v>
      </c>
      <c r="Z2641" s="205" t="s">
        <v>35</v>
      </c>
      <c r="AA2641" s="205" t="s">
        <v>38</v>
      </c>
      <c r="AB2641" s="205" t="s">
        <v>64</v>
      </c>
      <c r="AC2641" s="205" t="s">
        <v>7699</v>
      </c>
      <c r="AD2641" s="205"/>
    </row>
    <row r="2642" spans="1:30" ht="30" customHeight="1">
      <c r="A2642" s="19" t="s">
        <v>7364</v>
      </c>
      <c r="B2642" s="19" t="s">
        <v>7410</v>
      </c>
      <c r="C2642" s="205" t="s">
        <v>24</v>
      </c>
      <c r="D2642" s="205" t="s">
        <v>1242</v>
      </c>
      <c r="E2642" s="205" t="s">
        <v>3209</v>
      </c>
      <c r="F2642" s="152" t="s">
        <v>2276</v>
      </c>
      <c r="G2642" s="152" t="s">
        <v>2276</v>
      </c>
      <c r="H2642" s="205" t="s">
        <v>523</v>
      </c>
      <c r="I2642" s="11">
        <v>2007</v>
      </c>
      <c r="J2642" s="205" t="s">
        <v>2276</v>
      </c>
      <c r="K2642" s="205" t="s">
        <v>2276</v>
      </c>
      <c r="L2642" s="205" t="s">
        <v>2276</v>
      </c>
      <c r="M2642" s="205" t="s">
        <v>2276</v>
      </c>
      <c r="N2642" s="205" t="s">
        <v>2276</v>
      </c>
      <c r="O2642" s="205" t="s">
        <v>2276</v>
      </c>
      <c r="P2642" s="205" t="s">
        <v>2276</v>
      </c>
      <c r="Q2642" s="205" t="s">
        <v>2276</v>
      </c>
      <c r="R2642" s="205" t="s">
        <v>2276</v>
      </c>
      <c r="S2642" s="205" t="s">
        <v>2276</v>
      </c>
      <c r="T2642" s="21">
        <f>4500*0.058</f>
        <v>261</v>
      </c>
      <c r="U2642" s="205" t="s">
        <v>2276</v>
      </c>
      <c r="V2642" s="205" t="s">
        <v>2276</v>
      </c>
      <c r="W2642" s="205" t="s">
        <v>2276</v>
      </c>
      <c r="X2642" s="21">
        <f>T2642/'Record info'!K$1119</f>
        <v>4.5444256786168228E-3</v>
      </c>
      <c r="Y2642" s="205" t="s">
        <v>2276</v>
      </c>
      <c r="Z2642" s="205" t="s">
        <v>35</v>
      </c>
      <c r="AA2642" s="205" t="s">
        <v>38</v>
      </c>
      <c r="AB2642" s="205" t="s">
        <v>64</v>
      </c>
      <c r="AC2642" s="205" t="s">
        <v>7699</v>
      </c>
      <c r="AD2642" s="205"/>
    </row>
    <row r="2643" spans="1:30" ht="30" customHeight="1">
      <c r="A2643" s="19" t="s">
        <v>7360</v>
      </c>
      <c r="B2643" s="19" t="s">
        <v>7411</v>
      </c>
      <c r="C2643" s="205" t="s">
        <v>24</v>
      </c>
      <c r="D2643" s="205" t="s">
        <v>1242</v>
      </c>
      <c r="E2643" s="205" t="s">
        <v>3209</v>
      </c>
      <c r="F2643" s="152" t="s">
        <v>2276</v>
      </c>
      <c r="G2643" s="152" t="s">
        <v>2276</v>
      </c>
      <c r="H2643" s="205" t="s">
        <v>523</v>
      </c>
      <c r="I2643" s="11">
        <v>2008</v>
      </c>
      <c r="J2643" s="205" t="s">
        <v>2276</v>
      </c>
      <c r="K2643" s="205" t="s">
        <v>2276</v>
      </c>
      <c r="L2643" s="205" t="s">
        <v>2276</v>
      </c>
      <c r="M2643" s="205" t="s">
        <v>2276</v>
      </c>
      <c r="N2643" s="205" t="s">
        <v>2276</v>
      </c>
      <c r="O2643" s="205" t="s">
        <v>2276</v>
      </c>
      <c r="P2643" s="205" t="s">
        <v>2276</v>
      </c>
      <c r="Q2643" s="205" t="s">
        <v>2276</v>
      </c>
      <c r="R2643" s="205" t="s">
        <v>2276</v>
      </c>
      <c r="S2643" s="205" t="s">
        <v>2276</v>
      </c>
      <c r="T2643" s="21">
        <f>4000*0.068</f>
        <v>272</v>
      </c>
      <c r="U2643" s="205" t="s">
        <v>2276</v>
      </c>
      <c r="V2643" s="205" t="s">
        <v>2276</v>
      </c>
      <c r="W2643" s="205" t="s">
        <v>2276</v>
      </c>
      <c r="X2643" s="21">
        <f>T2643/'Record info'!K$1115</f>
        <v>9.9970596883269622E-3</v>
      </c>
      <c r="Y2643" s="205" t="s">
        <v>2276</v>
      </c>
      <c r="Z2643" s="205" t="s">
        <v>35</v>
      </c>
      <c r="AA2643" s="205" t="s">
        <v>38</v>
      </c>
      <c r="AB2643" s="205" t="s">
        <v>64</v>
      </c>
      <c r="AC2643" s="205" t="s">
        <v>7699</v>
      </c>
      <c r="AD2643" s="205"/>
    </row>
    <row r="2644" spans="1:30" ht="30" customHeight="1">
      <c r="A2644" s="19" t="s">
        <v>7361</v>
      </c>
      <c r="B2644" s="19" t="s">
        <v>7412</v>
      </c>
      <c r="C2644" s="205" t="s">
        <v>24</v>
      </c>
      <c r="D2644" s="205" t="s">
        <v>1242</v>
      </c>
      <c r="E2644" s="205" t="s">
        <v>3209</v>
      </c>
      <c r="F2644" s="152" t="s">
        <v>2276</v>
      </c>
      <c r="G2644" s="152" t="s">
        <v>2276</v>
      </c>
      <c r="H2644" s="205" t="s">
        <v>523</v>
      </c>
      <c r="I2644" s="11">
        <v>2008</v>
      </c>
      <c r="J2644" s="205" t="s">
        <v>2276</v>
      </c>
      <c r="K2644" s="205" t="s">
        <v>2276</v>
      </c>
      <c r="L2644" s="205" t="s">
        <v>2276</v>
      </c>
      <c r="M2644" s="205" t="s">
        <v>2276</v>
      </c>
      <c r="N2644" s="205" t="s">
        <v>2276</v>
      </c>
      <c r="O2644" s="205" t="s">
        <v>2276</v>
      </c>
      <c r="P2644" s="205" t="s">
        <v>2276</v>
      </c>
      <c r="Q2644" s="205" t="s">
        <v>2276</v>
      </c>
      <c r="R2644" s="205" t="s">
        <v>2276</v>
      </c>
      <c r="S2644" s="205" t="s">
        <v>2276</v>
      </c>
      <c r="T2644" s="21">
        <f>4000*0.05</f>
        <v>200</v>
      </c>
      <c r="U2644" s="205" t="s">
        <v>2276</v>
      </c>
      <c r="V2644" s="205" t="s">
        <v>2276</v>
      </c>
      <c r="W2644" s="205" t="s">
        <v>2276</v>
      </c>
      <c r="X2644" s="21">
        <f>T2644/'Record info'!K$1116</f>
        <v>6.6876212131344879E-3</v>
      </c>
      <c r="Y2644" s="205" t="s">
        <v>2276</v>
      </c>
      <c r="Z2644" s="205" t="s">
        <v>35</v>
      </c>
      <c r="AA2644" s="205" t="s">
        <v>38</v>
      </c>
      <c r="AB2644" s="205" t="s">
        <v>64</v>
      </c>
      <c r="AC2644" s="205" t="s">
        <v>7699</v>
      </c>
      <c r="AD2644" s="205"/>
    </row>
    <row r="2645" spans="1:30" ht="30" customHeight="1">
      <c r="A2645" s="19" t="s">
        <v>7362</v>
      </c>
      <c r="B2645" s="19" t="s">
        <v>7413</v>
      </c>
      <c r="C2645" s="205" t="s">
        <v>24</v>
      </c>
      <c r="D2645" s="205" t="s">
        <v>1242</v>
      </c>
      <c r="E2645" s="205" t="s">
        <v>3209</v>
      </c>
      <c r="F2645" s="152" t="s">
        <v>2276</v>
      </c>
      <c r="G2645" s="152" t="s">
        <v>2276</v>
      </c>
      <c r="H2645" s="205" t="s">
        <v>523</v>
      </c>
      <c r="I2645" s="11">
        <v>2008</v>
      </c>
      <c r="J2645" s="205" t="s">
        <v>2276</v>
      </c>
      <c r="K2645" s="205" t="s">
        <v>2276</v>
      </c>
      <c r="L2645" s="205" t="s">
        <v>2276</v>
      </c>
      <c r="M2645" s="205" t="s">
        <v>2276</v>
      </c>
      <c r="N2645" s="205" t="s">
        <v>2276</v>
      </c>
      <c r="O2645" s="205" t="s">
        <v>2276</v>
      </c>
      <c r="P2645" s="205" t="s">
        <v>2276</v>
      </c>
      <c r="Q2645" s="205" t="s">
        <v>2276</v>
      </c>
      <c r="R2645" s="205" t="s">
        <v>2276</v>
      </c>
      <c r="S2645" s="205" t="s">
        <v>2276</v>
      </c>
      <c r="T2645" s="21">
        <f>4000*0.493</f>
        <v>1972</v>
      </c>
      <c r="U2645" s="205" t="s">
        <v>2276</v>
      </c>
      <c r="V2645" s="205" t="s">
        <v>2276</v>
      </c>
      <c r="W2645" s="205" t="s">
        <v>2276</v>
      </c>
      <c r="X2645" s="21">
        <f>T2645/'Record info'!K$1117</f>
        <v>6.1987237921604377E-2</v>
      </c>
      <c r="Y2645" s="205" t="s">
        <v>2276</v>
      </c>
      <c r="Z2645" s="205" t="s">
        <v>35</v>
      </c>
      <c r="AA2645" s="205" t="s">
        <v>38</v>
      </c>
      <c r="AB2645" s="205" t="s">
        <v>64</v>
      </c>
      <c r="AC2645" s="205" t="s">
        <v>7699</v>
      </c>
      <c r="AD2645" s="205"/>
    </row>
    <row r="2646" spans="1:30" ht="30" customHeight="1">
      <c r="A2646" s="19" t="s">
        <v>7363</v>
      </c>
      <c r="B2646" s="19" t="s">
        <v>7414</v>
      </c>
      <c r="C2646" s="205" t="s">
        <v>24</v>
      </c>
      <c r="D2646" s="205" t="s">
        <v>1242</v>
      </c>
      <c r="E2646" s="205" t="s">
        <v>3209</v>
      </c>
      <c r="F2646" s="152" t="s">
        <v>2276</v>
      </c>
      <c r="G2646" s="152" t="s">
        <v>2276</v>
      </c>
      <c r="H2646" s="205" t="s">
        <v>523</v>
      </c>
      <c r="I2646" s="11">
        <v>2008</v>
      </c>
      <c r="J2646" s="205" t="s">
        <v>2276</v>
      </c>
      <c r="K2646" s="205" t="s">
        <v>2276</v>
      </c>
      <c r="L2646" s="205" t="s">
        <v>2276</v>
      </c>
      <c r="M2646" s="205" t="s">
        <v>2276</v>
      </c>
      <c r="N2646" s="205" t="s">
        <v>2276</v>
      </c>
      <c r="O2646" s="205" t="s">
        <v>2276</v>
      </c>
      <c r="P2646" s="205" t="s">
        <v>2276</v>
      </c>
      <c r="Q2646" s="205" t="s">
        <v>2276</v>
      </c>
      <c r="R2646" s="205" t="s">
        <v>2276</v>
      </c>
      <c r="S2646" s="205" t="s">
        <v>2276</v>
      </c>
      <c r="T2646" s="21">
        <f>4000*0.375</f>
        <v>1500</v>
      </c>
      <c r="U2646" s="205" t="s">
        <v>2276</v>
      </c>
      <c r="V2646" s="205" t="s">
        <v>2276</v>
      </c>
      <c r="W2646" s="205" t="s">
        <v>2276</v>
      </c>
      <c r="X2646" s="21">
        <f>T2646/'Record info'!K$1118</f>
        <v>0.12487512487512488</v>
      </c>
      <c r="Y2646" s="205" t="s">
        <v>2276</v>
      </c>
      <c r="Z2646" s="205" t="s">
        <v>35</v>
      </c>
      <c r="AA2646" s="205" t="s">
        <v>38</v>
      </c>
      <c r="AB2646" s="205" t="s">
        <v>64</v>
      </c>
      <c r="AC2646" s="205" t="s">
        <v>7699</v>
      </c>
      <c r="AD2646" s="205"/>
    </row>
    <row r="2647" spans="1:30" ht="30" customHeight="1">
      <c r="A2647" s="19" t="s">
        <v>7364</v>
      </c>
      <c r="B2647" s="19" t="s">
        <v>7415</v>
      </c>
      <c r="C2647" s="205" t="s">
        <v>24</v>
      </c>
      <c r="D2647" s="205" t="s">
        <v>1242</v>
      </c>
      <c r="E2647" s="205" t="s">
        <v>3209</v>
      </c>
      <c r="F2647" s="152" t="s">
        <v>2276</v>
      </c>
      <c r="G2647" s="152" t="s">
        <v>2276</v>
      </c>
      <c r="H2647" s="205" t="s">
        <v>523</v>
      </c>
      <c r="I2647" s="11">
        <v>2008</v>
      </c>
      <c r="J2647" s="205" t="s">
        <v>2276</v>
      </c>
      <c r="K2647" s="205" t="s">
        <v>2276</v>
      </c>
      <c r="L2647" s="205" t="s">
        <v>2276</v>
      </c>
      <c r="M2647" s="205" t="s">
        <v>2276</v>
      </c>
      <c r="N2647" s="205" t="s">
        <v>2276</v>
      </c>
      <c r="O2647" s="205" t="s">
        <v>2276</v>
      </c>
      <c r="P2647" s="205" t="s">
        <v>2276</v>
      </c>
      <c r="Q2647" s="205" t="s">
        <v>2276</v>
      </c>
      <c r="R2647" s="205" t="s">
        <v>2276</v>
      </c>
      <c r="S2647" s="205" t="s">
        <v>2276</v>
      </c>
      <c r="T2647" s="21">
        <f>4000*0.058</f>
        <v>232</v>
      </c>
      <c r="U2647" s="205" t="s">
        <v>2276</v>
      </c>
      <c r="V2647" s="205" t="s">
        <v>2276</v>
      </c>
      <c r="W2647" s="205" t="s">
        <v>2276</v>
      </c>
      <c r="X2647" s="21">
        <f>T2647/'Record info'!K$1119</f>
        <v>4.0394894921038423E-3</v>
      </c>
      <c r="Y2647" s="205" t="s">
        <v>2276</v>
      </c>
      <c r="Z2647" s="205" t="s">
        <v>35</v>
      </c>
      <c r="AA2647" s="205" t="s">
        <v>38</v>
      </c>
      <c r="AB2647" s="205" t="s">
        <v>64</v>
      </c>
      <c r="AC2647" s="205" t="s">
        <v>7699</v>
      </c>
      <c r="AD2647" s="205"/>
    </row>
    <row r="2648" spans="1:30" ht="28" customHeight="1">
      <c r="A2648" s="19" t="s">
        <v>7360</v>
      </c>
      <c r="B2648" s="19" t="s">
        <v>7416</v>
      </c>
      <c r="C2648" s="205" t="s">
        <v>24</v>
      </c>
      <c r="D2648" s="205" t="s">
        <v>1242</v>
      </c>
      <c r="E2648" s="205" t="s">
        <v>3209</v>
      </c>
      <c r="F2648" s="152" t="s">
        <v>2276</v>
      </c>
      <c r="G2648" s="152" t="s">
        <v>2276</v>
      </c>
      <c r="H2648" s="205" t="s">
        <v>523</v>
      </c>
      <c r="I2648" s="11">
        <v>2009</v>
      </c>
      <c r="J2648" s="205" t="s">
        <v>2276</v>
      </c>
      <c r="K2648" s="205" t="s">
        <v>2276</v>
      </c>
      <c r="L2648" s="205" t="s">
        <v>2276</v>
      </c>
      <c r="M2648" s="205" t="s">
        <v>2276</v>
      </c>
      <c r="N2648" s="205" t="s">
        <v>2276</v>
      </c>
      <c r="O2648" s="205" t="s">
        <v>2276</v>
      </c>
      <c r="P2648" s="205" t="s">
        <v>2276</v>
      </c>
      <c r="Q2648" s="205" t="s">
        <v>2276</v>
      </c>
      <c r="R2648" s="205" t="s">
        <v>2276</v>
      </c>
      <c r="S2648" s="205" t="s">
        <v>2276</v>
      </c>
      <c r="T2648" s="21">
        <f>3250*0.068</f>
        <v>221.00000000000003</v>
      </c>
      <c r="U2648" s="205" t="s">
        <v>2276</v>
      </c>
      <c r="V2648" s="205" t="s">
        <v>2276</v>
      </c>
      <c r="W2648" s="205" t="s">
        <v>2276</v>
      </c>
      <c r="X2648" s="21">
        <f>T2648/'Record info'!K$1115</f>
        <v>8.1226109967656585E-3</v>
      </c>
      <c r="Y2648" s="205" t="s">
        <v>2276</v>
      </c>
      <c r="Z2648" s="205" t="s">
        <v>35</v>
      </c>
      <c r="AA2648" s="205" t="s">
        <v>38</v>
      </c>
      <c r="AB2648" s="205" t="s">
        <v>64</v>
      </c>
      <c r="AC2648" s="205" t="s">
        <v>7699</v>
      </c>
      <c r="AD2648" s="205"/>
    </row>
    <row r="2649" spans="1:30" ht="28" customHeight="1">
      <c r="A2649" s="19" t="s">
        <v>7361</v>
      </c>
      <c r="B2649" s="19" t="s">
        <v>7417</v>
      </c>
      <c r="C2649" s="205" t="s">
        <v>24</v>
      </c>
      <c r="D2649" s="205" t="s">
        <v>1242</v>
      </c>
      <c r="E2649" s="205" t="s">
        <v>3209</v>
      </c>
      <c r="F2649" s="152" t="s">
        <v>2276</v>
      </c>
      <c r="G2649" s="152" t="s">
        <v>2276</v>
      </c>
      <c r="H2649" s="205" t="s">
        <v>523</v>
      </c>
      <c r="I2649" s="11">
        <v>2009</v>
      </c>
      <c r="J2649" s="205" t="s">
        <v>2276</v>
      </c>
      <c r="K2649" s="205" t="s">
        <v>2276</v>
      </c>
      <c r="L2649" s="205" t="s">
        <v>2276</v>
      </c>
      <c r="M2649" s="205" t="s">
        <v>2276</v>
      </c>
      <c r="N2649" s="205" t="s">
        <v>2276</v>
      </c>
      <c r="O2649" s="205" t="s">
        <v>2276</v>
      </c>
      <c r="P2649" s="205" t="s">
        <v>2276</v>
      </c>
      <c r="Q2649" s="205" t="s">
        <v>2276</v>
      </c>
      <c r="R2649" s="205" t="s">
        <v>2276</v>
      </c>
      <c r="S2649" s="205" t="s">
        <v>2276</v>
      </c>
      <c r="T2649" s="21">
        <f>3250*0.05</f>
        <v>162.5</v>
      </c>
      <c r="U2649" s="205" t="s">
        <v>2276</v>
      </c>
      <c r="V2649" s="205" t="s">
        <v>2276</v>
      </c>
      <c r="W2649" s="205" t="s">
        <v>2276</v>
      </c>
      <c r="X2649" s="21">
        <f>T2649/'Record info'!K$1116</f>
        <v>5.4336922356717715E-3</v>
      </c>
      <c r="Y2649" s="205" t="s">
        <v>2276</v>
      </c>
      <c r="Z2649" s="205" t="s">
        <v>35</v>
      </c>
      <c r="AA2649" s="205" t="s">
        <v>38</v>
      </c>
      <c r="AB2649" s="205" t="s">
        <v>64</v>
      </c>
      <c r="AC2649" s="205" t="s">
        <v>7699</v>
      </c>
      <c r="AD2649" s="205"/>
    </row>
    <row r="2650" spans="1:30" ht="28" customHeight="1">
      <c r="A2650" s="19" t="s">
        <v>7362</v>
      </c>
      <c r="B2650" s="19" t="s">
        <v>7418</v>
      </c>
      <c r="C2650" s="205" t="s">
        <v>24</v>
      </c>
      <c r="D2650" s="205" t="s">
        <v>1242</v>
      </c>
      <c r="E2650" s="205" t="s">
        <v>3209</v>
      </c>
      <c r="F2650" s="152" t="s">
        <v>2276</v>
      </c>
      <c r="G2650" s="152" t="s">
        <v>2276</v>
      </c>
      <c r="H2650" s="205" t="s">
        <v>523</v>
      </c>
      <c r="I2650" s="11">
        <v>2009</v>
      </c>
      <c r="J2650" s="205" t="s">
        <v>2276</v>
      </c>
      <c r="K2650" s="205" t="s">
        <v>2276</v>
      </c>
      <c r="L2650" s="205" t="s">
        <v>2276</v>
      </c>
      <c r="M2650" s="205" t="s">
        <v>2276</v>
      </c>
      <c r="N2650" s="205" t="s">
        <v>2276</v>
      </c>
      <c r="O2650" s="205" t="s">
        <v>2276</v>
      </c>
      <c r="P2650" s="205" t="s">
        <v>2276</v>
      </c>
      <c r="Q2650" s="205" t="s">
        <v>2276</v>
      </c>
      <c r="R2650" s="205" t="s">
        <v>2276</v>
      </c>
      <c r="S2650" s="205" t="s">
        <v>2276</v>
      </c>
      <c r="T2650" s="21">
        <f>3250*0.493</f>
        <v>1602.25</v>
      </c>
      <c r="U2650" s="205" t="s">
        <v>2276</v>
      </c>
      <c r="V2650" s="205" t="s">
        <v>2276</v>
      </c>
      <c r="W2650" s="205" t="s">
        <v>2276</v>
      </c>
      <c r="X2650" s="21">
        <f>T2650/'Record info'!K$1117</f>
        <v>5.0364630811303553E-2</v>
      </c>
      <c r="Y2650" s="205" t="s">
        <v>2276</v>
      </c>
      <c r="Z2650" s="205" t="s">
        <v>35</v>
      </c>
      <c r="AA2650" s="205" t="s">
        <v>38</v>
      </c>
      <c r="AB2650" s="205" t="s">
        <v>64</v>
      </c>
      <c r="AC2650" s="205" t="s">
        <v>7699</v>
      </c>
      <c r="AD2650" s="205"/>
    </row>
    <row r="2651" spans="1:30" ht="28" customHeight="1">
      <c r="A2651" s="19" t="s">
        <v>7363</v>
      </c>
      <c r="B2651" s="19" t="s">
        <v>7419</v>
      </c>
      <c r="C2651" s="205" t="s">
        <v>24</v>
      </c>
      <c r="D2651" s="205" t="s">
        <v>1242</v>
      </c>
      <c r="E2651" s="205" t="s">
        <v>3209</v>
      </c>
      <c r="F2651" s="152" t="s">
        <v>2276</v>
      </c>
      <c r="G2651" s="152" t="s">
        <v>2276</v>
      </c>
      <c r="H2651" s="205" t="s">
        <v>523</v>
      </c>
      <c r="I2651" s="11">
        <v>2009</v>
      </c>
      <c r="J2651" s="205" t="s">
        <v>2276</v>
      </c>
      <c r="K2651" s="205" t="s">
        <v>2276</v>
      </c>
      <c r="L2651" s="205" t="s">
        <v>2276</v>
      </c>
      <c r="M2651" s="205" t="s">
        <v>2276</v>
      </c>
      <c r="N2651" s="205" t="s">
        <v>2276</v>
      </c>
      <c r="O2651" s="205" t="s">
        <v>2276</v>
      </c>
      <c r="P2651" s="205" t="s">
        <v>2276</v>
      </c>
      <c r="Q2651" s="205" t="s">
        <v>2276</v>
      </c>
      <c r="R2651" s="205" t="s">
        <v>2276</v>
      </c>
      <c r="S2651" s="205" t="s">
        <v>2276</v>
      </c>
      <c r="T2651" s="21">
        <f>3250*0.375</f>
        <v>1218.75</v>
      </c>
      <c r="U2651" s="205" t="s">
        <v>2276</v>
      </c>
      <c r="V2651" s="205" t="s">
        <v>2276</v>
      </c>
      <c r="W2651" s="205" t="s">
        <v>2276</v>
      </c>
      <c r="X2651" s="21">
        <f>T2651/'Record info'!K$1118</f>
        <v>0.10146103896103896</v>
      </c>
      <c r="Y2651" s="205" t="s">
        <v>2276</v>
      </c>
      <c r="Z2651" s="205" t="s">
        <v>35</v>
      </c>
      <c r="AA2651" s="205" t="s">
        <v>38</v>
      </c>
      <c r="AB2651" s="205" t="s">
        <v>64</v>
      </c>
      <c r="AC2651" s="205" t="s">
        <v>7699</v>
      </c>
      <c r="AD2651" s="205"/>
    </row>
    <row r="2652" spans="1:30" ht="28" customHeight="1">
      <c r="A2652" s="19" t="s">
        <v>7364</v>
      </c>
      <c r="B2652" s="19" t="s">
        <v>7420</v>
      </c>
      <c r="C2652" s="205" t="s">
        <v>24</v>
      </c>
      <c r="D2652" s="205" t="s">
        <v>1242</v>
      </c>
      <c r="E2652" s="205" t="s">
        <v>3209</v>
      </c>
      <c r="F2652" s="152" t="s">
        <v>2276</v>
      </c>
      <c r="G2652" s="152" t="s">
        <v>2276</v>
      </c>
      <c r="H2652" s="205" t="s">
        <v>523</v>
      </c>
      <c r="I2652" s="11">
        <v>2009</v>
      </c>
      <c r="J2652" s="205" t="s">
        <v>2276</v>
      </c>
      <c r="K2652" s="205" t="s">
        <v>2276</v>
      </c>
      <c r="L2652" s="205" t="s">
        <v>2276</v>
      </c>
      <c r="M2652" s="205" t="s">
        <v>2276</v>
      </c>
      <c r="N2652" s="205" t="s">
        <v>2276</v>
      </c>
      <c r="O2652" s="205" t="s">
        <v>2276</v>
      </c>
      <c r="P2652" s="205" t="s">
        <v>2276</v>
      </c>
      <c r="Q2652" s="205" t="s">
        <v>2276</v>
      </c>
      <c r="R2652" s="205" t="s">
        <v>2276</v>
      </c>
      <c r="S2652" s="205" t="s">
        <v>2276</v>
      </c>
      <c r="T2652" s="21">
        <f>3250*0.058</f>
        <v>188.5</v>
      </c>
      <c r="U2652" s="205" t="s">
        <v>2276</v>
      </c>
      <c r="V2652" s="205" t="s">
        <v>2276</v>
      </c>
      <c r="W2652" s="205" t="s">
        <v>2276</v>
      </c>
      <c r="X2652" s="21">
        <f>T2652/'Record info'!K$1119</f>
        <v>3.2820852123343724E-3</v>
      </c>
      <c r="Y2652" s="205" t="s">
        <v>2276</v>
      </c>
      <c r="Z2652" s="205" t="s">
        <v>35</v>
      </c>
      <c r="AA2652" s="205" t="s">
        <v>38</v>
      </c>
      <c r="AB2652" s="205" t="s">
        <v>64</v>
      </c>
      <c r="AC2652" s="205" t="s">
        <v>7699</v>
      </c>
      <c r="AD2652" s="205"/>
    </row>
    <row r="2653" spans="1:30" ht="28" customHeight="1">
      <c r="A2653" s="19" t="s">
        <v>7360</v>
      </c>
      <c r="B2653" s="19" t="s">
        <v>7421</v>
      </c>
      <c r="C2653" s="205" t="s">
        <v>24</v>
      </c>
      <c r="D2653" s="205" t="s">
        <v>1242</v>
      </c>
      <c r="E2653" s="205" t="s">
        <v>3209</v>
      </c>
      <c r="F2653" s="152" t="s">
        <v>2276</v>
      </c>
      <c r="G2653" s="152" t="s">
        <v>2276</v>
      </c>
      <c r="H2653" s="205" t="s">
        <v>523</v>
      </c>
      <c r="I2653" s="11">
        <v>2010</v>
      </c>
      <c r="J2653" s="205" t="s">
        <v>2276</v>
      </c>
      <c r="K2653" s="205" t="s">
        <v>2276</v>
      </c>
      <c r="L2653" s="205" t="s">
        <v>2276</v>
      </c>
      <c r="M2653" s="205" t="s">
        <v>2276</v>
      </c>
      <c r="N2653" s="205" t="s">
        <v>2276</v>
      </c>
      <c r="O2653" s="205" t="s">
        <v>2276</v>
      </c>
      <c r="P2653" s="205" t="s">
        <v>2276</v>
      </c>
      <c r="Q2653" s="205" t="s">
        <v>2276</v>
      </c>
      <c r="R2653" s="205" t="s">
        <v>2276</v>
      </c>
      <c r="S2653" s="205" t="s">
        <v>2276</v>
      </c>
      <c r="T2653" s="21">
        <f>2500*0.068</f>
        <v>170</v>
      </c>
      <c r="U2653" s="205" t="s">
        <v>2276</v>
      </c>
      <c r="V2653" s="205" t="s">
        <v>2276</v>
      </c>
      <c r="W2653" s="205" t="s">
        <v>2276</v>
      </c>
      <c r="X2653" s="21">
        <f>T2653/'Record info'!K$1115</f>
        <v>6.2481623052043521E-3</v>
      </c>
      <c r="Y2653" s="205" t="s">
        <v>2276</v>
      </c>
      <c r="Z2653" s="205" t="s">
        <v>35</v>
      </c>
      <c r="AA2653" s="205" t="s">
        <v>38</v>
      </c>
      <c r="AB2653" s="205" t="s">
        <v>64</v>
      </c>
      <c r="AC2653" s="205" t="s">
        <v>7699</v>
      </c>
      <c r="AD2653" s="205"/>
    </row>
    <row r="2654" spans="1:30" ht="28" customHeight="1">
      <c r="A2654" s="19" t="s">
        <v>7361</v>
      </c>
      <c r="B2654" s="19" t="s">
        <v>7422</v>
      </c>
      <c r="C2654" s="205" t="s">
        <v>24</v>
      </c>
      <c r="D2654" s="205" t="s">
        <v>1242</v>
      </c>
      <c r="E2654" s="205" t="s">
        <v>3209</v>
      </c>
      <c r="F2654" s="152" t="s">
        <v>2276</v>
      </c>
      <c r="G2654" s="152" t="s">
        <v>2276</v>
      </c>
      <c r="H2654" s="205" t="s">
        <v>523</v>
      </c>
      <c r="I2654" s="11">
        <v>2010</v>
      </c>
      <c r="J2654" s="205" t="s">
        <v>2276</v>
      </c>
      <c r="K2654" s="205" t="s">
        <v>2276</v>
      </c>
      <c r="L2654" s="205" t="s">
        <v>2276</v>
      </c>
      <c r="M2654" s="205" t="s">
        <v>2276</v>
      </c>
      <c r="N2654" s="205" t="s">
        <v>2276</v>
      </c>
      <c r="O2654" s="205" t="s">
        <v>2276</v>
      </c>
      <c r="P2654" s="205" t="s">
        <v>2276</v>
      </c>
      <c r="Q2654" s="205" t="s">
        <v>2276</v>
      </c>
      <c r="R2654" s="205" t="s">
        <v>2276</v>
      </c>
      <c r="S2654" s="205" t="s">
        <v>2276</v>
      </c>
      <c r="T2654" s="21">
        <f>2500*0.05</f>
        <v>125</v>
      </c>
      <c r="U2654" s="205" t="s">
        <v>2276</v>
      </c>
      <c r="V2654" s="205" t="s">
        <v>2276</v>
      </c>
      <c r="W2654" s="205" t="s">
        <v>2276</v>
      </c>
      <c r="X2654" s="21">
        <f>T2654/'Record info'!K$1116</f>
        <v>4.1797632582090552E-3</v>
      </c>
      <c r="Y2654" s="205" t="s">
        <v>2276</v>
      </c>
      <c r="Z2654" s="205" t="s">
        <v>35</v>
      </c>
      <c r="AA2654" s="205" t="s">
        <v>38</v>
      </c>
      <c r="AB2654" s="205" t="s">
        <v>64</v>
      </c>
      <c r="AC2654" s="205" t="s">
        <v>7699</v>
      </c>
      <c r="AD2654" s="205"/>
    </row>
    <row r="2655" spans="1:30" ht="28" customHeight="1">
      <c r="A2655" s="19" t="s">
        <v>7362</v>
      </c>
      <c r="B2655" s="19" t="s">
        <v>7423</v>
      </c>
      <c r="C2655" s="205" t="s">
        <v>24</v>
      </c>
      <c r="D2655" s="205" t="s">
        <v>1242</v>
      </c>
      <c r="E2655" s="205" t="s">
        <v>3209</v>
      </c>
      <c r="F2655" s="152" t="s">
        <v>2276</v>
      </c>
      <c r="G2655" s="152" t="s">
        <v>2276</v>
      </c>
      <c r="H2655" s="205" t="s">
        <v>523</v>
      </c>
      <c r="I2655" s="11">
        <v>2010</v>
      </c>
      <c r="J2655" s="205" t="s">
        <v>2276</v>
      </c>
      <c r="K2655" s="205" t="s">
        <v>2276</v>
      </c>
      <c r="L2655" s="205" t="s">
        <v>2276</v>
      </c>
      <c r="M2655" s="205" t="s">
        <v>2276</v>
      </c>
      <c r="N2655" s="205" t="s">
        <v>2276</v>
      </c>
      <c r="O2655" s="205" t="s">
        <v>2276</v>
      </c>
      <c r="P2655" s="205" t="s">
        <v>2276</v>
      </c>
      <c r="Q2655" s="205" t="s">
        <v>2276</v>
      </c>
      <c r="R2655" s="205" t="s">
        <v>2276</v>
      </c>
      <c r="S2655" s="205" t="s">
        <v>2276</v>
      </c>
      <c r="T2655" s="21">
        <f>2500*0.493</f>
        <v>1232.5</v>
      </c>
      <c r="U2655" s="205" t="s">
        <v>2276</v>
      </c>
      <c r="V2655" s="205" t="s">
        <v>2276</v>
      </c>
      <c r="W2655" s="205" t="s">
        <v>2276</v>
      </c>
      <c r="X2655" s="21">
        <f>T2655/'Record info'!K$1117</f>
        <v>3.8742023701002735E-2</v>
      </c>
      <c r="Y2655" s="205" t="s">
        <v>2276</v>
      </c>
      <c r="Z2655" s="205" t="s">
        <v>35</v>
      </c>
      <c r="AA2655" s="205" t="s">
        <v>38</v>
      </c>
      <c r="AB2655" s="205" t="s">
        <v>64</v>
      </c>
      <c r="AC2655" s="205" t="s">
        <v>7699</v>
      </c>
      <c r="AD2655" s="205"/>
    </row>
    <row r="2656" spans="1:30" ht="28" customHeight="1">
      <c r="A2656" s="19" t="s">
        <v>7363</v>
      </c>
      <c r="B2656" s="19" t="s">
        <v>7424</v>
      </c>
      <c r="C2656" s="205" t="s">
        <v>24</v>
      </c>
      <c r="D2656" s="205" t="s">
        <v>1242</v>
      </c>
      <c r="E2656" s="205" t="s">
        <v>3209</v>
      </c>
      <c r="F2656" s="152" t="s">
        <v>2276</v>
      </c>
      <c r="G2656" s="152" t="s">
        <v>2276</v>
      </c>
      <c r="H2656" s="205" t="s">
        <v>523</v>
      </c>
      <c r="I2656" s="11">
        <v>2010</v>
      </c>
      <c r="J2656" s="205" t="s">
        <v>2276</v>
      </c>
      <c r="K2656" s="205" t="s">
        <v>2276</v>
      </c>
      <c r="L2656" s="205" t="s">
        <v>2276</v>
      </c>
      <c r="M2656" s="205" t="s">
        <v>2276</v>
      </c>
      <c r="N2656" s="205" t="s">
        <v>2276</v>
      </c>
      <c r="O2656" s="205" t="s">
        <v>2276</v>
      </c>
      <c r="P2656" s="205" t="s">
        <v>2276</v>
      </c>
      <c r="Q2656" s="205" t="s">
        <v>2276</v>
      </c>
      <c r="R2656" s="205" t="s">
        <v>2276</v>
      </c>
      <c r="S2656" s="205" t="s">
        <v>2276</v>
      </c>
      <c r="T2656" s="21">
        <f>2500*0.375</f>
        <v>937.5</v>
      </c>
      <c r="U2656" s="205" t="s">
        <v>2276</v>
      </c>
      <c r="V2656" s="205" t="s">
        <v>2276</v>
      </c>
      <c r="W2656" s="205" t="s">
        <v>2276</v>
      </c>
      <c r="X2656" s="21">
        <f>T2656/'Record info'!K$1118</f>
        <v>7.8046953046953041E-2</v>
      </c>
      <c r="Y2656" s="205" t="s">
        <v>2276</v>
      </c>
      <c r="Z2656" s="205" t="s">
        <v>35</v>
      </c>
      <c r="AA2656" s="205" t="s">
        <v>38</v>
      </c>
      <c r="AB2656" s="205" t="s">
        <v>64</v>
      </c>
      <c r="AC2656" s="205" t="s">
        <v>7699</v>
      </c>
      <c r="AD2656" s="205"/>
    </row>
    <row r="2657" spans="1:30" ht="30" customHeight="1">
      <c r="A2657" s="19" t="s">
        <v>7364</v>
      </c>
      <c r="B2657" s="19" t="s">
        <v>7425</v>
      </c>
      <c r="C2657" s="205" t="s">
        <v>24</v>
      </c>
      <c r="D2657" s="205" t="s">
        <v>1242</v>
      </c>
      <c r="E2657" s="205" t="s">
        <v>3209</v>
      </c>
      <c r="F2657" s="152" t="s">
        <v>2276</v>
      </c>
      <c r="G2657" s="152" t="s">
        <v>2276</v>
      </c>
      <c r="H2657" s="205" t="s">
        <v>523</v>
      </c>
      <c r="I2657" s="11">
        <v>2010</v>
      </c>
      <c r="J2657" s="205" t="s">
        <v>2276</v>
      </c>
      <c r="K2657" s="205" t="s">
        <v>2276</v>
      </c>
      <c r="L2657" s="205" t="s">
        <v>2276</v>
      </c>
      <c r="M2657" s="205" t="s">
        <v>2276</v>
      </c>
      <c r="N2657" s="205" t="s">
        <v>2276</v>
      </c>
      <c r="O2657" s="205" t="s">
        <v>2276</v>
      </c>
      <c r="P2657" s="205" t="s">
        <v>2276</v>
      </c>
      <c r="Q2657" s="205" t="s">
        <v>2276</v>
      </c>
      <c r="R2657" s="205" t="s">
        <v>2276</v>
      </c>
      <c r="S2657" s="205" t="s">
        <v>2276</v>
      </c>
      <c r="T2657" s="21">
        <f>2500*0.058</f>
        <v>145</v>
      </c>
      <c r="U2657" s="205" t="s">
        <v>2276</v>
      </c>
      <c r="V2657" s="205" t="s">
        <v>2276</v>
      </c>
      <c r="W2657" s="205" t="s">
        <v>2276</v>
      </c>
      <c r="X2657" s="21">
        <f>T2657/'Record info'!K$1119</f>
        <v>2.5246809325649017E-3</v>
      </c>
      <c r="Y2657" s="205" t="s">
        <v>2276</v>
      </c>
      <c r="Z2657" s="205" t="s">
        <v>35</v>
      </c>
      <c r="AA2657" s="205" t="s">
        <v>38</v>
      </c>
      <c r="AB2657" s="205" t="s">
        <v>64</v>
      </c>
      <c r="AC2657" s="205" t="s">
        <v>7699</v>
      </c>
      <c r="AD2657" s="205"/>
    </row>
    <row r="2658" spans="1:30" ht="30" customHeight="1">
      <c r="A2658" s="19" t="s">
        <v>7360</v>
      </c>
      <c r="B2658" s="19" t="s">
        <v>7426</v>
      </c>
      <c r="C2658" s="205" t="s">
        <v>24</v>
      </c>
      <c r="D2658" s="205" t="s">
        <v>1242</v>
      </c>
      <c r="E2658" s="205" t="s">
        <v>3209</v>
      </c>
      <c r="F2658" s="152" t="s">
        <v>2276</v>
      </c>
      <c r="G2658" s="152" t="s">
        <v>2276</v>
      </c>
      <c r="H2658" s="205" t="s">
        <v>523</v>
      </c>
      <c r="I2658" s="11">
        <v>2011</v>
      </c>
      <c r="J2658" s="205" t="s">
        <v>2276</v>
      </c>
      <c r="K2658" s="205" t="s">
        <v>2276</v>
      </c>
      <c r="L2658" s="205" t="s">
        <v>2276</v>
      </c>
      <c r="M2658" s="205" t="s">
        <v>2276</v>
      </c>
      <c r="N2658" s="205" t="s">
        <v>2276</v>
      </c>
      <c r="O2658" s="205" t="s">
        <v>2276</v>
      </c>
      <c r="P2658" s="205" t="s">
        <v>2276</v>
      </c>
      <c r="Q2658" s="205" t="s">
        <v>2276</v>
      </c>
      <c r="R2658" s="205" t="s">
        <v>2276</v>
      </c>
      <c r="S2658" s="205" t="s">
        <v>2276</v>
      </c>
      <c r="T2658" s="21">
        <f>4250*0.068</f>
        <v>289</v>
      </c>
      <c r="U2658" s="205" t="s">
        <v>2276</v>
      </c>
      <c r="V2658" s="205" t="s">
        <v>2276</v>
      </c>
      <c r="W2658" s="205" t="s">
        <v>2276</v>
      </c>
      <c r="X2658" s="21">
        <f>T2658/'Record info'!K$1115</f>
        <v>1.0621875918847399E-2</v>
      </c>
      <c r="Y2658" s="205" t="s">
        <v>2276</v>
      </c>
      <c r="Z2658" s="205" t="s">
        <v>35</v>
      </c>
      <c r="AA2658" s="205" t="s">
        <v>38</v>
      </c>
      <c r="AB2658" s="205" t="s">
        <v>64</v>
      </c>
      <c r="AC2658" s="205" t="s">
        <v>7699</v>
      </c>
      <c r="AD2658" s="205"/>
    </row>
    <row r="2659" spans="1:30" ht="30" customHeight="1">
      <c r="A2659" s="19" t="s">
        <v>7361</v>
      </c>
      <c r="B2659" s="19" t="s">
        <v>7427</v>
      </c>
      <c r="C2659" s="205" t="s">
        <v>24</v>
      </c>
      <c r="D2659" s="205" t="s">
        <v>1242</v>
      </c>
      <c r="E2659" s="205" t="s">
        <v>3209</v>
      </c>
      <c r="F2659" s="152" t="s">
        <v>2276</v>
      </c>
      <c r="G2659" s="152" t="s">
        <v>2276</v>
      </c>
      <c r="H2659" s="205" t="s">
        <v>523</v>
      </c>
      <c r="I2659" s="11">
        <v>2011</v>
      </c>
      <c r="J2659" s="205" t="s">
        <v>2276</v>
      </c>
      <c r="K2659" s="205" t="s">
        <v>2276</v>
      </c>
      <c r="L2659" s="205" t="s">
        <v>2276</v>
      </c>
      <c r="M2659" s="205" t="s">
        <v>2276</v>
      </c>
      <c r="N2659" s="205" t="s">
        <v>2276</v>
      </c>
      <c r="O2659" s="205" t="s">
        <v>2276</v>
      </c>
      <c r="P2659" s="205" t="s">
        <v>2276</v>
      </c>
      <c r="Q2659" s="205" t="s">
        <v>2276</v>
      </c>
      <c r="R2659" s="205" t="s">
        <v>2276</v>
      </c>
      <c r="S2659" s="205" t="s">
        <v>2276</v>
      </c>
      <c r="T2659" s="21">
        <f>4250*0.05</f>
        <v>212.5</v>
      </c>
      <c r="U2659" s="205" t="s">
        <v>2276</v>
      </c>
      <c r="V2659" s="205" t="s">
        <v>2276</v>
      </c>
      <c r="W2659" s="205" t="s">
        <v>2276</v>
      </c>
      <c r="X2659" s="21">
        <f>T2659/'Record info'!K$1116</f>
        <v>7.1055975389553933E-3</v>
      </c>
      <c r="Y2659" s="205" t="s">
        <v>2276</v>
      </c>
      <c r="Z2659" s="205" t="s">
        <v>35</v>
      </c>
      <c r="AA2659" s="205" t="s">
        <v>38</v>
      </c>
      <c r="AB2659" s="205" t="s">
        <v>64</v>
      </c>
      <c r="AC2659" s="205" t="s">
        <v>7699</v>
      </c>
      <c r="AD2659" s="205"/>
    </row>
    <row r="2660" spans="1:30" ht="30" customHeight="1">
      <c r="A2660" s="19" t="s">
        <v>7362</v>
      </c>
      <c r="B2660" s="19" t="s">
        <v>7428</v>
      </c>
      <c r="C2660" s="205" t="s">
        <v>24</v>
      </c>
      <c r="D2660" s="205" t="s">
        <v>1242</v>
      </c>
      <c r="E2660" s="205" t="s">
        <v>3209</v>
      </c>
      <c r="F2660" s="152" t="s">
        <v>2276</v>
      </c>
      <c r="G2660" s="152" t="s">
        <v>2276</v>
      </c>
      <c r="H2660" s="205" t="s">
        <v>523</v>
      </c>
      <c r="I2660" s="11">
        <v>2011</v>
      </c>
      <c r="J2660" s="205" t="s">
        <v>2276</v>
      </c>
      <c r="K2660" s="205" t="s">
        <v>2276</v>
      </c>
      <c r="L2660" s="205" t="s">
        <v>2276</v>
      </c>
      <c r="M2660" s="205" t="s">
        <v>2276</v>
      </c>
      <c r="N2660" s="205" t="s">
        <v>2276</v>
      </c>
      <c r="O2660" s="205" t="s">
        <v>2276</v>
      </c>
      <c r="P2660" s="205" t="s">
        <v>2276</v>
      </c>
      <c r="Q2660" s="205" t="s">
        <v>2276</v>
      </c>
      <c r="R2660" s="205" t="s">
        <v>2276</v>
      </c>
      <c r="S2660" s="205" t="s">
        <v>2276</v>
      </c>
      <c r="T2660" s="21">
        <f>4250*0.493</f>
        <v>2095.25</v>
      </c>
      <c r="U2660" s="205" t="s">
        <v>2276</v>
      </c>
      <c r="V2660" s="205" t="s">
        <v>2276</v>
      </c>
      <c r="W2660" s="205" t="s">
        <v>2276</v>
      </c>
      <c r="X2660" s="21">
        <f>T2660/'Record info'!K$1117</f>
        <v>6.5861440291704654E-2</v>
      </c>
      <c r="Y2660" s="205" t="s">
        <v>2276</v>
      </c>
      <c r="Z2660" s="205" t="s">
        <v>35</v>
      </c>
      <c r="AA2660" s="205" t="s">
        <v>38</v>
      </c>
      <c r="AB2660" s="205" t="s">
        <v>64</v>
      </c>
      <c r="AC2660" s="205" t="s">
        <v>7699</v>
      </c>
      <c r="AD2660" s="205"/>
    </row>
    <row r="2661" spans="1:30" ht="30" customHeight="1">
      <c r="A2661" s="19" t="s">
        <v>7363</v>
      </c>
      <c r="B2661" s="19" t="s">
        <v>7429</v>
      </c>
      <c r="C2661" s="205" t="s">
        <v>24</v>
      </c>
      <c r="D2661" s="205" t="s">
        <v>1242</v>
      </c>
      <c r="E2661" s="205" t="s">
        <v>3209</v>
      </c>
      <c r="F2661" s="152" t="s">
        <v>2276</v>
      </c>
      <c r="G2661" s="152" t="s">
        <v>2276</v>
      </c>
      <c r="H2661" s="205" t="s">
        <v>523</v>
      </c>
      <c r="I2661" s="11">
        <v>2011</v>
      </c>
      <c r="J2661" s="205" t="s">
        <v>2276</v>
      </c>
      <c r="K2661" s="205" t="s">
        <v>2276</v>
      </c>
      <c r="L2661" s="205" t="s">
        <v>2276</v>
      </c>
      <c r="M2661" s="205" t="s">
        <v>2276</v>
      </c>
      <c r="N2661" s="205" t="s">
        <v>2276</v>
      </c>
      <c r="O2661" s="205" t="s">
        <v>2276</v>
      </c>
      <c r="P2661" s="205" t="s">
        <v>2276</v>
      </c>
      <c r="Q2661" s="205" t="s">
        <v>2276</v>
      </c>
      <c r="R2661" s="205" t="s">
        <v>2276</v>
      </c>
      <c r="S2661" s="205" t="s">
        <v>2276</v>
      </c>
      <c r="T2661" s="21">
        <f>4250*0.375</f>
        <v>1593.75</v>
      </c>
      <c r="U2661" s="205" t="s">
        <v>2276</v>
      </c>
      <c r="V2661" s="205" t="s">
        <v>2276</v>
      </c>
      <c r="W2661" s="205" t="s">
        <v>2276</v>
      </c>
      <c r="X2661" s="21">
        <f>T2661/'Record info'!K$1118</f>
        <v>0.13267982017982019</v>
      </c>
      <c r="Y2661" s="205" t="s">
        <v>2276</v>
      </c>
      <c r="Z2661" s="205" t="s">
        <v>35</v>
      </c>
      <c r="AA2661" s="205" t="s">
        <v>38</v>
      </c>
      <c r="AB2661" s="205" t="s">
        <v>64</v>
      </c>
      <c r="AC2661" s="205" t="s">
        <v>7699</v>
      </c>
      <c r="AD2661" s="205"/>
    </row>
    <row r="2662" spans="1:30" ht="30" customHeight="1">
      <c r="A2662" s="19" t="s">
        <v>7364</v>
      </c>
      <c r="B2662" s="19" t="s">
        <v>7430</v>
      </c>
      <c r="C2662" s="205" t="s">
        <v>24</v>
      </c>
      <c r="D2662" s="205" t="s">
        <v>1242</v>
      </c>
      <c r="E2662" s="205" t="s">
        <v>3209</v>
      </c>
      <c r="F2662" s="152" t="s">
        <v>2276</v>
      </c>
      <c r="G2662" s="152" t="s">
        <v>2276</v>
      </c>
      <c r="H2662" s="205" t="s">
        <v>523</v>
      </c>
      <c r="I2662" s="11">
        <v>2011</v>
      </c>
      <c r="J2662" s="205" t="s">
        <v>2276</v>
      </c>
      <c r="K2662" s="205" t="s">
        <v>2276</v>
      </c>
      <c r="L2662" s="205" t="s">
        <v>2276</v>
      </c>
      <c r="M2662" s="205" t="s">
        <v>2276</v>
      </c>
      <c r="N2662" s="205" t="s">
        <v>2276</v>
      </c>
      <c r="O2662" s="205" t="s">
        <v>2276</v>
      </c>
      <c r="P2662" s="205" t="s">
        <v>2276</v>
      </c>
      <c r="Q2662" s="205" t="s">
        <v>2276</v>
      </c>
      <c r="R2662" s="205" t="s">
        <v>2276</v>
      </c>
      <c r="S2662" s="205" t="s">
        <v>2276</v>
      </c>
      <c r="T2662" s="21">
        <f>4250*0.058</f>
        <v>246.5</v>
      </c>
      <c r="U2662" s="205" t="s">
        <v>2276</v>
      </c>
      <c r="V2662" s="205" t="s">
        <v>2276</v>
      </c>
      <c r="W2662" s="205" t="s">
        <v>2276</v>
      </c>
      <c r="X2662" s="21">
        <f>T2662/'Record info'!K$1119</f>
        <v>4.291957585360333E-3</v>
      </c>
      <c r="Y2662" s="205" t="s">
        <v>2276</v>
      </c>
      <c r="Z2662" s="205" t="s">
        <v>35</v>
      </c>
      <c r="AA2662" s="205" t="s">
        <v>38</v>
      </c>
      <c r="AB2662" s="205" t="s">
        <v>64</v>
      </c>
      <c r="AC2662" s="205" t="s">
        <v>7699</v>
      </c>
      <c r="AD2662" s="205"/>
    </row>
    <row r="2663" spans="1:30" ht="30" customHeight="1">
      <c r="A2663" s="19" t="s">
        <v>7360</v>
      </c>
      <c r="B2663" s="19" t="s">
        <v>7431</v>
      </c>
      <c r="C2663" s="205" t="s">
        <v>24</v>
      </c>
      <c r="D2663" s="205" t="s">
        <v>1242</v>
      </c>
      <c r="E2663" s="205" t="s">
        <v>3209</v>
      </c>
      <c r="F2663" s="152" t="s">
        <v>2276</v>
      </c>
      <c r="G2663" s="152" t="s">
        <v>2276</v>
      </c>
      <c r="H2663" s="205" t="s">
        <v>523</v>
      </c>
      <c r="I2663" s="205">
        <v>2012</v>
      </c>
      <c r="J2663" s="205" t="s">
        <v>2276</v>
      </c>
      <c r="K2663" s="205" t="s">
        <v>2276</v>
      </c>
      <c r="L2663" s="205" t="s">
        <v>2276</v>
      </c>
      <c r="M2663" s="205" t="s">
        <v>2276</v>
      </c>
      <c r="N2663" s="205" t="s">
        <v>2276</v>
      </c>
      <c r="O2663" s="205" t="s">
        <v>2276</v>
      </c>
      <c r="P2663" s="205" t="s">
        <v>2276</v>
      </c>
      <c r="Q2663" s="205" t="s">
        <v>2276</v>
      </c>
      <c r="R2663" s="205" t="s">
        <v>2276</v>
      </c>
      <c r="S2663" s="205" t="s">
        <v>2276</v>
      </c>
      <c r="T2663" s="21">
        <f>3750*0.068</f>
        <v>255.00000000000003</v>
      </c>
      <c r="U2663" s="205" t="s">
        <v>2276</v>
      </c>
      <c r="V2663" s="205" t="s">
        <v>2276</v>
      </c>
      <c r="W2663" s="205" t="s">
        <v>2276</v>
      </c>
      <c r="X2663" s="21">
        <f>T2663/'Record info'!K$1115</f>
        <v>9.3722434578065294E-3</v>
      </c>
      <c r="Y2663" s="205" t="s">
        <v>2276</v>
      </c>
      <c r="Z2663" s="205" t="s">
        <v>35</v>
      </c>
      <c r="AA2663" s="205" t="s">
        <v>38</v>
      </c>
      <c r="AB2663" s="205" t="s">
        <v>64</v>
      </c>
      <c r="AC2663" s="205" t="s">
        <v>7699</v>
      </c>
      <c r="AD2663" s="205"/>
    </row>
    <row r="2664" spans="1:30" ht="30" customHeight="1">
      <c r="A2664" s="19" t="s">
        <v>7361</v>
      </c>
      <c r="B2664" s="19" t="s">
        <v>7432</v>
      </c>
      <c r="C2664" s="205" t="s">
        <v>24</v>
      </c>
      <c r="D2664" s="205" t="s">
        <v>1242</v>
      </c>
      <c r="E2664" s="205" t="s">
        <v>3209</v>
      </c>
      <c r="F2664" s="152" t="s">
        <v>2276</v>
      </c>
      <c r="G2664" s="152" t="s">
        <v>2276</v>
      </c>
      <c r="H2664" s="205" t="s">
        <v>523</v>
      </c>
      <c r="I2664" s="205">
        <v>2012</v>
      </c>
      <c r="J2664" s="205" t="s">
        <v>2276</v>
      </c>
      <c r="K2664" s="205" t="s">
        <v>2276</v>
      </c>
      <c r="L2664" s="205" t="s">
        <v>2276</v>
      </c>
      <c r="M2664" s="205" t="s">
        <v>2276</v>
      </c>
      <c r="N2664" s="205" t="s">
        <v>2276</v>
      </c>
      <c r="O2664" s="205" t="s">
        <v>2276</v>
      </c>
      <c r="P2664" s="205" t="s">
        <v>2276</v>
      </c>
      <c r="Q2664" s="205" t="s">
        <v>2276</v>
      </c>
      <c r="R2664" s="205" t="s">
        <v>2276</v>
      </c>
      <c r="S2664" s="205" t="s">
        <v>2276</v>
      </c>
      <c r="T2664" s="21">
        <f>3750*0.05</f>
        <v>187.5</v>
      </c>
      <c r="U2664" s="205" t="s">
        <v>2276</v>
      </c>
      <c r="V2664" s="205" t="s">
        <v>2276</v>
      </c>
      <c r="W2664" s="205" t="s">
        <v>2276</v>
      </c>
      <c r="X2664" s="21">
        <f>T2664/'Record info'!K$1116</f>
        <v>6.2696448873135824E-3</v>
      </c>
      <c r="Y2664" s="205" t="s">
        <v>2276</v>
      </c>
      <c r="Z2664" s="205" t="s">
        <v>35</v>
      </c>
      <c r="AA2664" s="205" t="s">
        <v>38</v>
      </c>
      <c r="AB2664" s="205" t="s">
        <v>64</v>
      </c>
      <c r="AC2664" s="205" t="s">
        <v>7699</v>
      </c>
      <c r="AD2664" s="205"/>
    </row>
    <row r="2665" spans="1:30" ht="30" customHeight="1">
      <c r="A2665" s="19" t="s">
        <v>7362</v>
      </c>
      <c r="B2665" s="19" t="s">
        <v>7433</v>
      </c>
      <c r="C2665" s="205" t="s">
        <v>24</v>
      </c>
      <c r="D2665" s="205" t="s">
        <v>1242</v>
      </c>
      <c r="E2665" s="205" t="s">
        <v>3209</v>
      </c>
      <c r="F2665" s="152" t="s">
        <v>2276</v>
      </c>
      <c r="G2665" s="152" t="s">
        <v>2276</v>
      </c>
      <c r="H2665" s="205" t="s">
        <v>523</v>
      </c>
      <c r="I2665" s="205">
        <v>2012</v>
      </c>
      <c r="J2665" s="205" t="s">
        <v>2276</v>
      </c>
      <c r="K2665" s="205" t="s">
        <v>2276</v>
      </c>
      <c r="L2665" s="205" t="s">
        <v>2276</v>
      </c>
      <c r="M2665" s="205" t="s">
        <v>2276</v>
      </c>
      <c r="N2665" s="205" t="s">
        <v>2276</v>
      </c>
      <c r="O2665" s="205" t="s">
        <v>2276</v>
      </c>
      <c r="P2665" s="205" t="s">
        <v>2276</v>
      </c>
      <c r="Q2665" s="205" t="s">
        <v>2276</v>
      </c>
      <c r="R2665" s="205" t="s">
        <v>2276</v>
      </c>
      <c r="S2665" s="205" t="s">
        <v>2276</v>
      </c>
      <c r="T2665" s="21">
        <f>3750*0.493</f>
        <v>1848.75</v>
      </c>
      <c r="U2665" s="205" t="s">
        <v>2276</v>
      </c>
      <c r="V2665" s="205" t="s">
        <v>2276</v>
      </c>
      <c r="W2665" s="205" t="s">
        <v>2276</v>
      </c>
      <c r="X2665" s="21">
        <f>T2665/'Record info'!K$1117</f>
        <v>5.81130355515041E-2</v>
      </c>
      <c r="Y2665" s="205" t="s">
        <v>2276</v>
      </c>
      <c r="Z2665" s="205" t="s">
        <v>35</v>
      </c>
      <c r="AA2665" s="205" t="s">
        <v>38</v>
      </c>
      <c r="AB2665" s="205" t="s">
        <v>64</v>
      </c>
      <c r="AC2665" s="205" t="s">
        <v>7699</v>
      </c>
      <c r="AD2665" s="205"/>
    </row>
    <row r="2666" spans="1:30" ht="30" customHeight="1">
      <c r="A2666" s="19" t="s">
        <v>7363</v>
      </c>
      <c r="B2666" s="19" t="s">
        <v>7434</v>
      </c>
      <c r="C2666" s="205" t="s">
        <v>24</v>
      </c>
      <c r="D2666" s="205" t="s">
        <v>1242</v>
      </c>
      <c r="E2666" s="205" t="s">
        <v>3209</v>
      </c>
      <c r="F2666" s="152" t="s">
        <v>2276</v>
      </c>
      <c r="G2666" s="152" t="s">
        <v>2276</v>
      </c>
      <c r="H2666" s="205" t="s">
        <v>523</v>
      </c>
      <c r="I2666" s="205">
        <v>2012</v>
      </c>
      <c r="J2666" s="205" t="s">
        <v>2276</v>
      </c>
      <c r="K2666" s="205" t="s">
        <v>2276</v>
      </c>
      <c r="L2666" s="205" t="s">
        <v>2276</v>
      </c>
      <c r="M2666" s="205" t="s">
        <v>2276</v>
      </c>
      <c r="N2666" s="205" t="s">
        <v>2276</v>
      </c>
      <c r="O2666" s="205" t="s">
        <v>2276</v>
      </c>
      <c r="P2666" s="205" t="s">
        <v>2276</v>
      </c>
      <c r="Q2666" s="205" t="s">
        <v>2276</v>
      </c>
      <c r="R2666" s="205" t="s">
        <v>2276</v>
      </c>
      <c r="S2666" s="205" t="s">
        <v>2276</v>
      </c>
      <c r="T2666" s="21">
        <f>3750*0.375</f>
        <v>1406.25</v>
      </c>
      <c r="U2666" s="205" t="s">
        <v>2276</v>
      </c>
      <c r="V2666" s="205" t="s">
        <v>2276</v>
      </c>
      <c r="W2666" s="205" t="s">
        <v>2276</v>
      </c>
      <c r="X2666" s="21">
        <f>T2666/'Record info'!K$1118</f>
        <v>0.11707042957042957</v>
      </c>
      <c r="Y2666" s="205" t="s">
        <v>2276</v>
      </c>
      <c r="Z2666" s="205" t="s">
        <v>35</v>
      </c>
      <c r="AA2666" s="205" t="s">
        <v>38</v>
      </c>
      <c r="AB2666" s="205" t="s">
        <v>64</v>
      </c>
      <c r="AC2666" s="205" t="s">
        <v>7699</v>
      </c>
      <c r="AD2666" s="205"/>
    </row>
    <row r="2667" spans="1:30" ht="30" customHeight="1">
      <c r="A2667" s="19" t="s">
        <v>7364</v>
      </c>
      <c r="B2667" s="19" t="s">
        <v>7435</v>
      </c>
      <c r="C2667" s="205" t="s">
        <v>24</v>
      </c>
      <c r="D2667" s="205" t="s">
        <v>1242</v>
      </c>
      <c r="E2667" s="205" t="s">
        <v>3209</v>
      </c>
      <c r="F2667" s="152" t="s">
        <v>2276</v>
      </c>
      <c r="G2667" s="152" t="s">
        <v>2276</v>
      </c>
      <c r="H2667" s="205" t="s">
        <v>523</v>
      </c>
      <c r="I2667" s="205">
        <v>2012</v>
      </c>
      <c r="J2667" s="205" t="s">
        <v>2276</v>
      </c>
      <c r="K2667" s="205" t="s">
        <v>2276</v>
      </c>
      <c r="L2667" s="205" t="s">
        <v>2276</v>
      </c>
      <c r="M2667" s="205" t="s">
        <v>2276</v>
      </c>
      <c r="N2667" s="205" t="s">
        <v>2276</v>
      </c>
      <c r="O2667" s="205" t="s">
        <v>2276</v>
      </c>
      <c r="P2667" s="205" t="s">
        <v>2276</v>
      </c>
      <c r="Q2667" s="205" t="s">
        <v>2276</v>
      </c>
      <c r="R2667" s="205" t="s">
        <v>2276</v>
      </c>
      <c r="S2667" s="205" t="s">
        <v>2276</v>
      </c>
      <c r="T2667" s="21">
        <f>3750*0.058</f>
        <v>217.5</v>
      </c>
      <c r="U2667" s="205" t="s">
        <v>2276</v>
      </c>
      <c r="V2667" s="205" t="s">
        <v>2276</v>
      </c>
      <c r="W2667" s="205" t="s">
        <v>2276</v>
      </c>
      <c r="X2667" s="21">
        <f>T2667/'Record info'!K$1119</f>
        <v>3.7870213988473525E-3</v>
      </c>
      <c r="Y2667" s="205" t="s">
        <v>2276</v>
      </c>
      <c r="Z2667" s="205" t="s">
        <v>35</v>
      </c>
      <c r="AA2667" s="205" t="s">
        <v>38</v>
      </c>
      <c r="AB2667" s="205" t="s">
        <v>64</v>
      </c>
      <c r="AC2667" s="205" t="s">
        <v>7699</v>
      </c>
      <c r="AD2667" s="205"/>
    </row>
    <row r="2668" spans="1:30" ht="30" customHeight="1">
      <c r="A2668" s="19" t="s">
        <v>7360</v>
      </c>
      <c r="B2668" s="19" t="s">
        <v>7436</v>
      </c>
      <c r="C2668" s="205" t="s">
        <v>24</v>
      </c>
      <c r="D2668" s="205" t="s">
        <v>1242</v>
      </c>
      <c r="E2668" s="205" t="s">
        <v>3209</v>
      </c>
      <c r="F2668" s="152" t="s">
        <v>2276</v>
      </c>
      <c r="G2668" s="152" t="s">
        <v>2276</v>
      </c>
      <c r="H2668" s="205" t="s">
        <v>523</v>
      </c>
      <c r="I2668" s="205">
        <v>2013</v>
      </c>
      <c r="J2668" s="205" t="s">
        <v>2276</v>
      </c>
      <c r="K2668" s="205" t="s">
        <v>2276</v>
      </c>
      <c r="L2668" s="205" t="s">
        <v>2276</v>
      </c>
      <c r="M2668" s="205" t="s">
        <v>2276</v>
      </c>
      <c r="N2668" s="205" t="s">
        <v>2276</v>
      </c>
      <c r="O2668" s="205" t="s">
        <v>2276</v>
      </c>
      <c r="P2668" s="205" t="s">
        <v>2276</v>
      </c>
      <c r="Q2668" s="205" t="s">
        <v>2276</v>
      </c>
      <c r="R2668" s="205" t="s">
        <v>2276</v>
      </c>
      <c r="S2668" s="205" t="s">
        <v>2276</v>
      </c>
      <c r="T2668" s="21">
        <f>2000*0.068</f>
        <v>136</v>
      </c>
      <c r="U2668" s="205" t="s">
        <v>2276</v>
      </c>
      <c r="V2668" s="205" t="s">
        <v>2276</v>
      </c>
      <c r="W2668" s="205" t="s">
        <v>2276</v>
      </c>
      <c r="X2668" s="21">
        <f>T2668/'Record info'!K$1115</f>
        <v>4.9985298441634811E-3</v>
      </c>
      <c r="Y2668" s="205" t="s">
        <v>2276</v>
      </c>
      <c r="Z2668" s="205" t="s">
        <v>35</v>
      </c>
      <c r="AA2668" s="205" t="s">
        <v>38</v>
      </c>
      <c r="AB2668" s="205" t="s">
        <v>64</v>
      </c>
      <c r="AC2668" s="205" t="s">
        <v>7699</v>
      </c>
      <c r="AD2668" s="205"/>
    </row>
    <row r="2669" spans="1:30" ht="30" customHeight="1">
      <c r="A2669" s="19" t="s">
        <v>7361</v>
      </c>
      <c r="B2669" s="19" t="s">
        <v>7437</v>
      </c>
      <c r="C2669" s="205" t="s">
        <v>24</v>
      </c>
      <c r="D2669" s="205" t="s">
        <v>1242</v>
      </c>
      <c r="E2669" s="205" t="s">
        <v>3209</v>
      </c>
      <c r="F2669" s="152" t="s">
        <v>2276</v>
      </c>
      <c r="G2669" s="152" t="s">
        <v>2276</v>
      </c>
      <c r="H2669" s="205" t="s">
        <v>523</v>
      </c>
      <c r="I2669" s="205">
        <v>2013</v>
      </c>
      <c r="J2669" s="205" t="s">
        <v>2276</v>
      </c>
      <c r="K2669" s="205" t="s">
        <v>2276</v>
      </c>
      <c r="L2669" s="205" t="s">
        <v>2276</v>
      </c>
      <c r="M2669" s="205" t="s">
        <v>2276</v>
      </c>
      <c r="N2669" s="205" t="s">
        <v>2276</v>
      </c>
      <c r="O2669" s="205" t="s">
        <v>2276</v>
      </c>
      <c r="P2669" s="205" t="s">
        <v>2276</v>
      </c>
      <c r="Q2669" s="205" t="s">
        <v>2276</v>
      </c>
      <c r="R2669" s="205" t="s">
        <v>2276</v>
      </c>
      <c r="S2669" s="205" t="s">
        <v>2276</v>
      </c>
      <c r="T2669" s="21">
        <f>2000*0.05</f>
        <v>100</v>
      </c>
      <c r="U2669" s="205" t="s">
        <v>2276</v>
      </c>
      <c r="V2669" s="205" t="s">
        <v>2276</v>
      </c>
      <c r="W2669" s="205" t="s">
        <v>2276</v>
      </c>
      <c r="X2669" s="21">
        <f>T2669/'Record info'!K$1116</f>
        <v>3.3438106065672439E-3</v>
      </c>
      <c r="Y2669" s="205" t="s">
        <v>2276</v>
      </c>
      <c r="Z2669" s="205" t="s">
        <v>35</v>
      </c>
      <c r="AA2669" s="205" t="s">
        <v>38</v>
      </c>
      <c r="AB2669" s="205" t="s">
        <v>64</v>
      </c>
      <c r="AC2669" s="205" t="s">
        <v>7699</v>
      </c>
      <c r="AD2669" s="205"/>
    </row>
    <row r="2670" spans="1:30" ht="30" customHeight="1">
      <c r="A2670" s="19" t="s">
        <v>7362</v>
      </c>
      <c r="B2670" s="19" t="s">
        <v>7438</v>
      </c>
      <c r="C2670" s="205" t="s">
        <v>24</v>
      </c>
      <c r="D2670" s="205" t="s">
        <v>1242</v>
      </c>
      <c r="E2670" s="205" t="s">
        <v>3209</v>
      </c>
      <c r="F2670" s="152" t="s">
        <v>2276</v>
      </c>
      <c r="G2670" s="152" t="s">
        <v>2276</v>
      </c>
      <c r="H2670" s="205" t="s">
        <v>523</v>
      </c>
      <c r="I2670" s="205">
        <v>2013</v>
      </c>
      <c r="J2670" s="205" t="s">
        <v>2276</v>
      </c>
      <c r="K2670" s="205" t="s">
        <v>2276</v>
      </c>
      <c r="L2670" s="205" t="s">
        <v>2276</v>
      </c>
      <c r="M2670" s="205" t="s">
        <v>2276</v>
      </c>
      <c r="N2670" s="205" t="s">
        <v>2276</v>
      </c>
      <c r="O2670" s="205" t="s">
        <v>2276</v>
      </c>
      <c r="P2670" s="205" t="s">
        <v>2276</v>
      </c>
      <c r="Q2670" s="205" t="s">
        <v>2276</v>
      </c>
      <c r="R2670" s="205" t="s">
        <v>2276</v>
      </c>
      <c r="S2670" s="205" t="s">
        <v>2276</v>
      </c>
      <c r="T2670" s="21">
        <f>2000*0.493</f>
        <v>986</v>
      </c>
      <c r="U2670" s="205" t="s">
        <v>2276</v>
      </c>
      <c r="V2670" s="205" t="s">
        <v>2276</v>
      </c>
      <c r="W2670" s="205" t="s">
        <v>2276</v>
      </c>
      <c r="X2670" s="21">
        <f>T2670/'Record info'!K$1117</f>
        <v>3.0993618960802188E-2</v>
      </c>
      <c r="Y2670" s="205" t="s">
        <v>2276</v>
      </c>
      <c r="Z2670" s="205" t="s">
        <v>35</v>
      </c>
      <c r="AA2670" s="205" t="s">
        <v>38</v>
      </c>
      <c r="AB2670" s="205" t="s">
        <v>64</v>
      </c>
      <c r="AC2670" s="205" t="s">
        <v>7699</v>
      </c>
      <c r="AD2670" s="205"/>
    </row>
    <row r="2671" spans="1:30" ht="30" customHeight="1">
      <c r="A2671" s="19" t="s">
        <v>7363</v>
      </c>
      <c r="B2671" s="19" t="s">
        <v>7439</v>
      </c>
      <c r="C2671" s="205" t="s">
        <v>24</v>
      </c>
      <c r="D2671" s="205" t="s">
        <v>1242</v>
      </c>
      <c r="E2671" s="205" t="s">
        <v>3209</v>
      </c>
      <c r="F2671" s="152" t="s">
        <v>2276</v>
      </c>
      <c r="G2671" s="152" t="s">
        <v>2276</v>
      </c>
      <c r="H2671" s="205" t="s">
        <v>523</v>
      </c>
      <c r="I2671" s="205">
        <v>2013</v>
      </c>
      <c r="J2671" s="205" t="s">
        <v>2276</v>
      </c>
      <c r="K2671" s="205" t="s">
        <v>2276</v>
      </c>
      <c r="L2671" s="205" t="s">
        <v>2276</v>
      </c>
      <c r="M2671" s="205" t="s">
        <v>2276</v>
      </c>
      <c r="N2671" s="205" t="s">
        <v>2276</v>
      </c>
      <c r="O2671" s="205" t="s">
        <v>2276</v>
      </c>
      <c r="P2671" s="205" t="s">
        <v>2276</v>
      </c>
      <c r="Q2671" s="205" t="s">
        <v>2276</v>
      </c>
      <c r="R2671" s="205" t="s">
        <v>2276</v>
      </c>
      <c r="S2671" s="205" t="s">
        <v>2276</v>
      </c>
      <c r="T2671" s="21">
        <f>2000*0.375</f>
        <v>750</v>
      </c>
      <c r="U2671" s="205" t="s">
        <v>2276</v>
      </c>
      <c r="V2671" s="205" t="s">
        <v>2276</v>
      </c>
      <c r="W2671" s="205" t="s">
        <v>2276</v>
      </c>
      <c r="X2671" s="21">
        <f>T2671/'Record info'!K$1118</f>
        <v>6.243756243756244E-2</v>
      </c>
      <c r="Y2671" s="205" t="s">
        <v>2276</v>
      </c>
      <c r="Z2671" s="205" t="s">
        <v>35</v>
      </c>
      <c r="AA2671" s="205" t="s">
        <v>38</v>
      </c>
      <c r="AB2671" s="205" t="s">
        <v>64</v>
      </c>
      <c r="AC2671" s="205" t="s">
        <v>7699</v>
      </c>
      <c r="AD2671" s="205"/>
    </row>
    <row r="2672" spans="1:30" ht="30" customHeight="1">
      <c r="A2672" s="19" t="s">
        <v>7364</v>
      </c>
      <c r="B2672" s="19" t="s">
        <v>7440</v>
      </c>
      <c r="C2672" s="205" t="s">
        <v>24</v>
      </c>
      <c r="D2672" s="205" t="s">
        <v>1242</v>
      </c>
      <c r="E2672" s="205" t="s">
        <v>3209</v>
      </c>
      <c r="F2672" s="152" t="s">
        <v>2276</v>
      </c>
      <c r="G2672" s="152" t="s">
        <v>2276</v>
      </c>
      <c r="H2672" s="205" t="s">
        <v>523</v>
      </c>
      <c r="I2672" s="205">
        <v>2013</v>
      </c>
      <c r="J2672" s="205" t="s">
        <v>2276</v>
      </c>
      <c r="K2672" s="205" t="s">
        <v>2276</v>
      </c>
      <c r="L2672" s="205" t="s">
        <v>2276</v>
      </c>
      <c r="M2672" s="205" t="s">
        <v>2276</v>
      </c>
      <c r="N2672" s="205" t="s">
        <v>2276</v>
      </c>
      <c r="O2672" s="205" t="s">
        <v>2276</v>
      </c>
      <c r="P2672" s="205" t="s">
        <v>2276</v>
      </c>
      <c r="Q2672" s="205" t="s">
        <v>2276</v>
      </c>
      <c r="R2672" s="205" t="s">
        <v>2276</v>
      </c>
      <c r="S2672" s="205" t="s">
        <v>2276</v>
      </c>
      <c r="T2672" s="21">
        <f>2000*0.058</f>
        <v>116</v>
      </c>
      <c r="U2672" s="205" t="s">
        <v>2276</v>
      </c>
      <c r="V2672" s="205" t="s">
        <v>2276</v>
      </c>
      <c r="W2672" s="205" t="s">
        <v>2276</v>
      </c>
      <c r="X2672" s="21">
        <f>T2672/'Record info'!K$1119</f>
        <v>2.0197447460519212E-3</v>
      </c>
      <c r="Y2672" s="205" t="s">
        <v>2276</v>
      </c>
      <c r="Z2672" s="205" t="s">
        <v>35</v>
      </c>
      <c r="AA2672" s="205" t="s">
        <v>38</v>
      </c>
      <c r="AB2672" s="205" t="s">
        <v>64</v>
      </c>
      <c r="AC2672" s="205" t="s">
        <v>7699</v>
      </c>
      <c r="AD2672" s="205"/>
    </row>
    <row r="2673" spans="1:30" ht="30" customHeight="1">
      <c r="A2673" s="19" t="s">
        <v>7360</v>
      </c>
      <c r="B2673" s="19" t="s">
        <v>7441</v>
      </c>
      <c r="C2673" s="205" t="s">
        <v>24</v>
      </c>
      <c r="D2673" s="205" t="s">
        <v>1242</v>
      </c>
      <c r="E2673" s="205" t="s">
        <v>3209</v>
      </c>
      <c r="F2673" s="152" t="s">
        <v>2276</v>
      </c>
      <c r="G2673" s="152" t="s">
        <v>2276</v>
      </c>
      <c r="H2673" s="205" t="s">
        <v>523</v>
      </c>
      <c r="I2673" s="205">
        <v>2014</v>
      </c>
      <c r="J2673" s="205" t="s">
        <v>2276</v>
      </c>
      <c r="K2673" s="205" t="s">
        <v>2276</v>
      </c>
      <c r="L2673" s="205" t="s">
        <v>2276</v>
      </c>
      <c r="M2673" s="205" t="s">
        <v>2276</v>
      </c>
      <c r="N2673" s="205" t="s">
        <v>2276</v>
      </c>
      <c r="O2673" s="205" t="s">
        <v>2276</v>
      </c>
      <c r="P2673" s="205" t="s">
        <v>2276</v>
      </c>
      <c r="Q2673" s="205" t="s">
        <v>2276</v>
      </c>
      <c r="R2673" s="205" t="s">
        <v>2276</v>
      </c>
      <c r="S2673" s="205" t="s">
        <v>2276</v>
      </c>
      <c r="T2673" s="21">
        <f>4000*0.068</f>
        <v>272</v>
      </c>
      <c r="U2673" s="205" t="s">
        <v>2276</v>
      </c>
      <c r="V2673" s="205" t="s">
        <v>2276</v>
      </c>
      <c r="W2673" s="205" t="s">
        <v>2276</v>
      </c>
      <c r="X2673" s="21">
        <f>T2673/'Record info'!K$1115</f>
        <v>9.9970596883269622E-3</v>
      </c>
      <c r="Y2673" s="205" t="s">
        <v>2276</v>
      </c>
      <c r="Z2673" s="205" t="s">
        <v>35</v>
      </c>
      <c r="AA2673" s="205" t="s">
        <v>38</v>
      </c>
      <c r="AB2673" s="205" t="s">
        <v>64</v>
      </c>
      <c r="AC2673" s="205" t="s">
        <v>7699</v>
      </c>
      <c r="AD2673" s="205"/>
    </row>
    <row r="2674" spans="1:30" ht="30" customHeight="1">
      <c r="A2674" s="19" t="s">
        <v>7361</v>
      </c>
      <c r="B2674" s="19" t="s">
        <v>7442</v>
      </c>
      <c r="C2674" s="205" t="s">
        <v>24</v>
      </c>
      <c r="D2674" s="205" t="s">
        <v>1242</v>
      </c>
      <c r="E2674" s="205" t="s">
        <v>3209</v>
      </c>
      <c r="F2674" s="152" t="s">
        <v>2276</v>
      </c>
      <c r="G2674" s="152" t="s">
        <v>2276</v>
      </c>
      <c r="H2674" s="205" t="s">
        <v>523</v>
      </c>
      <c r="I2674" s="205">
        <v>2014</v>
      </c>
      <c r="J2674" s="205" t="s">
        <v>2276</v>
      </c>
      <c r="K2674" s="205" t="s">
        <v>2276</v>
      </c>
      <c r="L2674" s="205" t="s">
        <v>2276</v>
      </c>
      <c r="M2674" s="205" t="s">
        <v>2276</v>
      </c>
      <c r="N2674" s="205" t="s">
        <v>2276</v>
      </c>
      <c r="O2674" s="205" t="s">
        <v>2276</v>
      </c>
      <c r="P2674" s="205" t="s">
        <v>2276</v>
      </c>
      <c r="Q2674" s="205" t="s">
        <v>2276</v>
      </c>
      <c r="R2674" s="205" t="s">
        <v>2276</v>
      </c>
      <c r="S2674" s="205" t="s">
        <v>2276</v>
      </c>
      <c r="T2674" s="21">
        <f>4000*0.05</f>
        <v>200</v>
      </c>
      <c r="U2674" s="205" t="s">
        <v>2276</v>
      </c>
      <c r="V2674" s="205" t="s">
        <v>2276</v>
      </c>
      <c r="W2674" s="205" t="s">
        <v>2276</v>
      </c>
      <c r="X2674" s="21">
        <f>T2674/'Record info'!K$1116</f>
        <v>6.6876212131344879E-3</v>
      </c>
      <c r="Y2674" s="205" t="s">
        <v>2276</v>
      </c>
      <c r="Z2674" s="205" t="s">
        <v>35</v>
      </c>
      <c r="AA2674" s="205" t="s">
        <v>38</v>
      </c>
      <c r="AB2674" s="205" t="s">
        <v>64</v>
      </c>
      <c r="AC2674" s="205" t="s">
        <v>7699</v>
      </c>
      <c r="AD2674" s="205"/>
    </row>
    <row r="2675" spans="1:30" ht="30" customHeight="1">
      <c r="A2675" s="19" t="s">
        <v>7362</v>
      </c>
      <c r="B2675" s="19" t="s">
        <v>7443</v>
      </c>
      <c r="C2675" s="205" t="s">
        <v>24</v>
      </c>
      <c r="D2675" s="205" t="s">
        <v>1242</v>
      </c>
      <c r="E2675" s="205" t="s">
        <v>3209</v>
      </c>
      <c r="F2675" s="152" t="s">
        <v>2276</v>
      </c>
      <c r="G2675" s="152" t="s">
        <v>2276</v>
      </c>
      <c r="H2675" s="205" t="s">
        <v>523</v>
      </c>
      <c r="I2675" s="205">
        <v>2014</v>
      </c>
      <c r="J2675" s="205" t="s">
        <v>2276</v>
      </c>
      <c r="K2675" s="205" t="s">
        <v>2276</v>
      </c>
      <c r="L2675" s="205" t="s">
        <v>2276</v>
      </c>
      <c r="M2675" s="205" t="s">
        <v>2276</v>
      </c>
      <c r="N2675" s="205" t="s">
        <v>2276</v>
      </c>
      <c r="O2675" s="205" t="s">
        <v>2276</v>
      </c>
      <c r="P2675" s="205" t="s">
        <v>2276</v>
      </c>
      <c r="Q2675" s="205" t="s">
        <v>2276</v>
      </c>
      <c r="R2675" s="205" t="s">
        <v>2276</v>
      </c>
      <c r="S2675" s="205" t="s">
        <v>2276</v>
      </c>
      <c r="T2675" s="21">
        <f>4000*0.493</f>
        <v>1972</v>
      </c>
      <c r="U2675" s="205" t="s">
        <v>2276</v>
      </c>
      <c r="V2675" s="205" t="s">
        <v>2276</v>
      </c>
      <c r="W2675" s="205" t="s">
        <v>2276</v>
      </c>
      <c r="X2675" s="21">
        <f>T2675/'Record info'!K$1117</f>
        <v>6.1987237921604377E-2</v>
      </c>
      <c r="Y2675" s="205" t="s">
        <v>2276</v>
      </c>
      <c r="Z2675" s="205" t="s">
        <v>35</v>
      </c>
      <c r="AA2675" s="205" t="s">
        <v>38</v>
      </c>
      <c r="AB2675" s="205" t="s">
        <v>64</v>
      </c>
      <c r="AC2675" s="205" t="s">
        <v>7699</v>
      </c>
      <c r="AD2675" s="205"/>
    </row>
    <row r="2676" spans="1:30" ht="30" customHeight="1">
      <c r="A2676" s="19" t="s">
        <v>7363</v>
      </c>
      <c r="B2676" s="19" t="s">
        <v>7444</v>
      </c>
      <c r="C2676" s="205" t="s">
        <v>24</v>
      </c>
      <c r="D2676" s="205" t="s">
        <v>1242</v>
      </c>
      <c r="E2676" s="205" t="s">
        <v>3209</v>
      </c>
      <c r="F2676" s="152" t="s">
        <v>2276</v>
      </c>
      <c r="G2676" s="152" t="s">
        <v>2276</v>
      </c>
      <c r="H2676" s="205" t="s">
        <v>523</v>
      </c>
      <c r="I2676" s="205">
        <v>2014</v>
      </c>
      <c r="J2676" s="205" t="s">
        <v>2276</v>
      </c>
      <c r="K2676" s="205" t="s">
        <v>2276</v>
      </c>
      <c r="L2676" s="205" t="s">
        <v>2276</v>
      </c>
      <c r="M2676" s="205" t="s">
        <v>2276</v>
      </c>
      <c r="N2676" s="205" t="s">
        <v>2276</v>
      </c>
      <c r="O2676" s="205" t="s">
        <v>2276</v>
      </c>
      <c r="P2676" s="205" t="s">
        <v>2276</v>
      </c>
      <c r="Q2676" s="205" t="s">
        <v>2276</v>
      </c>
      <c r="R2676" s="205" t="s">
        <v>2276</v>
      </c>
      <c r="S2676" s="205" t="s">
        <v>2276</v>
      </c>
      <c r="T2676" s="21">
        <f>4000*0.375</f>
        <v>1500</v>
      </c>
      <c r="U2676" s="205" t="s">
        <v>2276</v>
      </c>
      <c r="V2676" s="205" t="s">
        <v>2276</v>
      </c>
      <c r="W2676" s="205" t="s">
        <v>2276</v>
      </c>
      <c r="X2676" s="21">
        <f>T2676/'Record info'!K$1118</f>
        <v>0.12487512487512488</v>
      </c>
      <c r="Y2676" s="205" t="s">
        <v>2276</v>
      </c>
      <c r="Z2676" s="205" t="s">
        <v>35</v>
      </c>
      <c r="AA2676" s="205" t="s">
        <v>38</v>
      </c>
      <c r="AB2676" s="205" t="s">
        <v>64</v>
      </c>
      <c r="AC2676" s="205" t="s">
        <v>7699</v>
      </c>
      <c r="AD2676" s="205"/>
    </row>
    <row r="2677" spans="1:30" ht="30" customHeight="1">
      <c r="A2677" s="19" t="s">
        <v>7364</v>
      </c>
      <c r="B2677" s="19" t="s">
        <v>7445</v>
      </c>
      <c r="C2677" s="205" t="s">
        <v>24</v>
      </c>
      <c r="D2677" s="205" t="s">
        <v>1242</v>
      </c>
      <c r="E2677" s="205" t="s">
        <v>3209</v>
      </c>
      <c r="F2677" s="152" t="s">
        <v>2276</v>
      </c>
      <c r="G2677" s="152" t="s">
        <v>2276</v>
      </c>
      <c r="H2677" s="205" t="s">
        <v>523</v>
      </c>
      <c r="I2677" s="205">
        <v>2014</v>
      </c>
      <c r="J2677" s="205" t="s">
        <v>2276</v>
      </c>
      <c r="K2677" s="205" t="s">
        <v>2276</v>
      </c>
      <c r="L2677" s="205" t="s">
        <v>2276</v>
      </c>
      <c r="M2677" s="205" t="s">
        <v>2276</v>
      </c>
      <c r="N2677" s="205" t="s">
        <v>2276</v>
      </c>
      <c r="O2677" s="205" t="s">
        <v>2276</v>
      </c>
      <c r="P2677" s="205" t="s">
        <v>2276</v>
      </c>
      <c r="Q2677" s="205" t="s">
        <v>2276</v>
      </c>
      <c r="R2677" s="205" t="s">
        <v>2276</v>
      </c>
      <c r="S2677" s="205" t="s">
        <v>2276</v>
      </c>
      <c r="T2677" s="21">
        <f>4000*0.058</f>
        <v>232</v>
      </c>
      <c r="U2677" s="205" t="s">
        <v>2276</v>
      </c>
      <c r="V2677" s="205" t="s">
        <v>2276</v>
      </c>
      <c r="W2677" s="205" t="s">
        <v>2276</v>
      </c>
      <c r="X2677" s="21">
        <f>T2677/'Record info'!K$1119</f>
        <v>4.0394894921038423E-3</v>
      </c>
      <c r="Y2677" s="205" t="s">
        <v>2276</v>
      </c>
      <c r="Z2677" s="205" t="s">
        <v>35</v>
      </c>
      <c r="AA2677" s="205" t="s">
        <v>38</v>
      </c>
      <c r="AB2677" s="205" t="s">
        <v>64</v>
      </c>
      <c r="AC2677" s="205" t="s">
        <v>7699</v>
      </c>
      <c r="AD2677" s="205"/>
    </row>
    <row r="2678" spans="1:30" ht="30" customHeight="1">
      <c r="A2678" s="19" t="s">
        <v>7360</v>
      </c>
      <c r="B2678" s="19" t="s">
        <v>7446</v>
      </c>
      <c r="C2678" s="205" t="s">
        <v>24</v>
      </c>
      <c r="D2678" s="205" t="s">
        <v>1242</v>
      </c>
      <c r="E2678" s="205" t="s">
        <v>3209</v>
      </c>
      <c r="F2678" s="152" t="s">
        <v>2276</v>
      </c>
      <c r="G2678" s="152" t="s">
        <v>2276</v>
      </c>
      <c r="H2678" s="205" t="s">
        <v>523</v>
      </c>
      <c r="I2678" s="205">
        <v>2015</v>
      </c>
      <c r="J2678" s="205" t="s">
        <v>2276</v>
      </c>
      <c r="K2678" s="205" t="s">
        <v>2276</v>
      </c>
      <c r="L2678" s="205" t="s">
        <v>2276</v>
      </c>
      <c r="M2678" s="205" t="s">
        <v>2276</v>
      </c>
      <c r="N2678" s="205" t="s">
        <v>2276</v>
      </c>
      <c r="O2678" s="205" t="s">
        <v>2276</v>
      </c>
      <c r="P2678" s="205" t="s">
        <v>2276</v>
      </c>
      <c r="Q2678" s="205" t="s">
        <v>2276</v>
      </c>
      <c r="R2678" s="205" t="s">
        <v>2276</v>
      </c>
      <c r="S2678" s="205" t="s">
        <v>2276</v>
      </c>
      <c r="T2678" s="21">
        <f>4061*0.068</f>
        <v>276.14800000000002</v>
      </c>
      <c r="U2678" s="205" t="s">
        <v>2276</v>
      </c>
      <c r="V2678" s="205" t="s">
        <v>2276</v>
      </c>
      <c r="W2678" s="205" t="s">
        <v>2276</v>
      </c>
      <c r="X2678" s="21">
        <f>T2678/'Record info'!K$1115</f>
        <v>1.0149514848573949E-2</v>
      </c>
      <c r="Y2678" s="205" t="s">
        <v>2276</v>
      </c>
      <c r="Z2678" s="205" t="s">
        <v>35</v>
      </c>
      <c r="AA2678" s="205" t="s">
        <v>38</v>
      </c>
      <c r="AB2678" s="205" t="s">
        <v>64</v>
      </c>
      <c r="AC2678" s="205" t="s">
        <v>7699</v>
      </c>
      <c r="AD2678" s="205"/>
    </row>
    <row r="2679" spans="1:30" ht="30" customHeight="1">
      <c r="A2679" s="19" t="s">
        <v>7361</v>
      </c>
      <c r="B2679" s="19" t="s">
        <v>7447</v>
      </c>
      <c r="C2679" s="205" t="s">
        <v>24</v>
      </c>
      <c r="D2679" s="205" t="s">
        <v>1242</v>
      </c>
      <c r="E2679" s="205" t="s">
        <v>3209</v>
      </c>
      <c r="F2679" s="152" t="s">
        <v>2276</v>
      </c>
      <c r="G2679" s="152" t="s">
        <v>2276</v>
      </c>
      <c r="H2679" s="205" t="s">
        <v>523</v>
      </c>
      <c r="I2679" s="205">
        <v>2015</v>
      </c>
      <c r="J2679" s="205" t="s">
        <v>2276</v>
      </c>
      <c r="K2679" s="205" t="s">
        <v>2276</v>
      </c>
      <c r="L2679" s="205" t="s">
        <v>2276</v>
      </c>
      <c r="M2679" s="205" t="s">
        <v>2276</v>
      </c>
      <c r="N2679" s="205" t="s">
        <v>2276</v>
      </c>
      <c r="O2679" s="205" t="s">
        <v>2276</v>
      </c>
      <c r="P2679" s="205" t="s">
        <v>2276</v>
      </c>
      <c r="Q2679" s="205" t="s">
        <v>2276</v>
      </c>
      <c r="R2679" s="205" t="s">
        <v>2276</v>
      </c>
      <c r="S2679" s="205" t="s">
        <v>2276</v>
      </c>
      <c r="T2679" s="21">
        <f>4061*0.05</f>
        <v>203.05</v>
      </c>
      <c r="U2679" s="205" t="s">
        <v>2276</v>
      </c>
      <c r="V2679" s="205" t="s">
        <v>2276</v>
      </c>
      <c r="W2679" s="205" t="s">
        <v>2276</v>
      </c>
      <c r="X2679" s="21">
        <f>T2679/'Record info'!K$1116</f>
        <v>6.7896074366347895E-3</v>
      </c>
      <c r="Y2679" s="205" t="s">
        <v>2276</v>
      </c>
      <c r="Z2679" s="205" t="s">
        <v>35</v>
      </c>
      <c r="AA2679" s="205" t="s">
        <v>38</v>
      </c>
      <c r="AB2679" s="205" t="s">
        <v>64</v>
      </c>
      <c r="AC2679" s="205" t="s">
        <v>7699</v>
      </c>
      <c r="AD2679" s="205"/>
    </row>
    <row r="2680" spans="1:30" ht="30" customHeight="1">
      <c r="A2680" s="19" t="s">
        <v>7362</v>
      </c>
      <c r="B2680" s="19" t="s">
        <v>7448</v>
      </c>
      <c r="C2680" s="205" t="s">
        <v>24</v>
      </c>
      <c r="D2680" s="205" t="s">
        <v>1242</v>
      </c>
      <c r="E2680" s="205" t="s">
        <v>3209</v>
      </c>
      <c r="F2680" s="152" t="s">
        <v>2276</v>
      </c>
      <c r="G2680" s="152" t="s">
        <v>2276</v>
      </c>
      <c r="H2680" s="205" t="s">
        <v>523</v>
      </c>
      <c r="I2680" s="205">
        <v>2015</v>
      </c>
      <c r="J2680" s="205" t="s">
        <v>2276</v>
      </c>
      <c r="K2680" s="205" t="s">
        <v>2276</v>
      </c>
      <c r="L2680" s="205" t="s">
        <v>2276</v>
      </c>
      <c r="M2680" s="205" t="s">
        <v>2276</v>
      </c>
      <c r="N2680" s="205" t="s">
        <v>2276</v>
      </c>
      <c r="O2680" s="205" t="s">
        <v>2276</v>
      </c>
      <c r="P2680" s="205" t="s">
        <v>2276</v>
      </c>
      <c r="Q2680" s="205" t="s">
        <v>2276</v>
      </c>
      <c r="R2680" s="205" t="s">
        <v>2276</v>
      </c>
      <c r="S2680" s="205" t="s">
        <v>2276</v>
      </c>
      <c r="T2680" s="21">
        <f>4061*0.493</f>
        <v>2002.0729999999999</v>
      </c>
      <c r="U2680" s="205" t="s">
        <v>2276</v>
      </c>
      <c r="V2680" s="205" t="s">
        <v>2276</v>
      </c>
      <c r="W2680" s="205" t="s">
        <v>2276</v>
      </c>
      <c r="X2680" s="21">
        <f>T2680/'Record info'!K$1117</f>
        <v>6.2932543299908841E-2</v>
      </c>
      <c r="Y2680" s="205" t="s">
        <v>2276</v>
      </c>
      <c r="Z2680" s="205" t="s">
        <v>35</v>
      </c>
      <c r="AA2680" s="205" t="s">
        <v>38</v>
      </c>
      <c r="AB2680" s="205" t="s">
        <v>64</v>
      </c>
      <c r="AC2680" s="205" t="s">
        <v>7699</v>
      </c>
      <c r="AD2680" s="205"/>
    </row>
    <row r="2681" spans="1:30" ht="30" customHeight="1">
      <c r="A2681" s="19" t="s">
        <v>7363</v>
      </c>
      <c r="B2681" s="19" t="s">
        <v>7449</v>
      </c>
      <c r="C2681" s="205" t="s">
        <v>24</v>
      </c>
      <c r="D2681" s="205" t="s">
        <v>1242</v>
      </c>
      <c r="E2681" s="205" t="s">
        <v>3209</v>
      </c>
      <c r="F2681" s="152" t="s">
        <v>2276</v>
      </c>
      <c r="G2681" s="152" t="s">
        <v>2276</v>
      </c>
      <c r="H2681" s="205" t="s">
        <v>523</v>
      </c>
      <c r="I2681" s="205">
        <v>2015</v>
      </c>
      <c r="J2681" s="205" t="s">
        <v>2276</v>
      </c>
      <c r="K2681" s="205" t="s">
        <v>2276</v>
      </c>
      <c r="L2681" s="205" t="s">
        <v>2276</v>
      </c>
      <c r="M2681" s="205" t="s">
        <v>2276</v>
      </c>
      <c r="N2681" s="205" t="s">
        <v>2276</v>
      </c>
      <c r="O2681" s="205" t="s">
        <v>2276</v>
      </c>
      <c r="P2681" s="205" t="s">
        <v>2276</v>
      </c>
      <c r="Q2681" s="205" t="s">
        <v>2276</v>
      </c>
      <c r="R2681" s="205" t="s">
        <v>2276</v>
      </c>
      <c r="S2681" s="205" t="s">
        <v>2276</v>
      </c>
      <c r="T2681" s="21">
        <f>4061*0.375</f>
        <v>1522.875</v>
      </c>
      <c r="U2681" s="205" t="s">
        <v>2276</v>
      </c>
      <c r="V2681" s="205" t="s">
        <v>2276</v>
      </c>
      <c r="W2681" s="205" t="s">
        <v>2276</v>
      </c>
      <c r="X2681" s="21">
        <f>T2681/'Record info'!K$1118</f>
        <v>0.12677947052947053</v>
      </c>
      <c r="Y2681" s="205" t="s">
        <v>2276</v>
      </c>
      <c r="Z2681" s="205" t="s">
        <v>35</v>
      </c>
      <c r="AA2681" s="205" t="s">
        <v>38</v>
      </c>
      <c r="AB2681" s="205" t="s">
        <v>64</v>
      </c>
      <c r="AC2681" s="205" t="s">
        <v>7699</v>
      </c>
      <c r="AD2681" s="205"/>
    </row>
    <row r="2682" spans="1:30" ht="30" customHeight="1">
      <c r="A2682" s="19" t="s">
        <v>7364</v>
      </c>
      <c r="B2682" s="19" t="s">
        <v>7450</v>
      </c>
      <c r="C2682" s="205" t="s">
        <v>24</v>
      </c>
      <c r="D2682" s="205" t="s">
        <v>1242</v>
      </c>
      <c r="E2682" s="205" t="s">
        <v>3209</v>
      </c>
      <c r="F2682" s="152" t="s">
        <v>2276</v>
      </c>
      <c r="G2682" s="152" t="s">
        <v>2276</v>
      </c>
      <c r="H2682" s="205" t="s">
        <v>523</v>
      </c>
      <c r="I2682" s="205">
        <v>2015</v>
      </c>
      <c r="J2682" s="205" t="s">
        <v>2276</v>
      </c>
      <c r="K2682" s="205" t="s">
        <v>2276</v>
      </c>
      <c r="L2682" s="205" t="s">
        <v>2276</v>
      </c>
      <c r="M2682" s="205" t="s">
        <v>2276</v>
      </c>
      <c r="N2682" s="205" t="s">
        <v>2276</v>
      </c>
      <c r="O2682" s="205" t="s">
        <v>2276</v>
      </c>
      <c r="P2682" s="205" t="s">
        <v>2276</v>
      </c>
      <c r="Q2682" s="205" t="s">
        <v>2276</v>
      </c>
      <c r="R2682" s="205" t="s">
        <v>2276</v>
      </c>
      <c r="S2682" s="205" t="s">
        <v>2276</v>
      </c>
      <c r="T2682" s="21">
        <f>4061*0.058</f>
        <v>235.53800000000001</v>
      </c>
      <c r="U2682" s="205" t="s">
        <v>2276</v>
      </c>
      <c r="V2682" s="205" t="s">
        <v>2276</v>
      </c>
      <c r="W2682" s="205" t="s">
        <v>2276</v>
      </c>
      <c r="X2682" s="21">
        <f>T2682/'Record info'!K$1119</f>
        <v>4.1010917068584262E-3</v>
      </c>
      <c r="Y2682" s="205" t="s">
        <v>2276</v>
      </c>
      <c r="Z2682" s="205" t="s">
        <v>35</v>
      </c>
      <c r="AA2682" s="205" t="s">
        <v>38</v>
      </c>
      <c r="AB2682" s="205" t="s">
        <v>64</v>
      </c>
      <c r="AC2682" s="205" t="s">
        <v>7699</v>
      </c>
      <c r="AD2682" s="205"/>
    </row>
    <row r="2683" spans="1:30" ht="33.5" customHeight="1">
      <c r="A2683" s="19" t="s">
        <v>7365</v>
      </c>
      <c r="B2683" s="19" t="s">
        <v>7485</v>
      </c>
      <c r="C2683" s="205" t="s">
        <v>24</v>
      </c>
      <c r="D2683" s="205" t="s">
        <v>1242</v>
      </c>
      <c r="E2683" s="205" t="s">
        <v>3209</v>
      </c>
      <c r="F2683" s="152" t="s">
        <v>2276</v>
      </c>
      <c r="G2683" s="152" t="s">
        <v>2276</v>
      </c>
      <c r="H2683" s="205" t="s">
        <v>523</v>
      </c>
      <c r="I2683" s="205">
        <v>2006</v>
      </c>
      <c r="J2683" s="205" t="s">
        <v>2276</v>
      </c>
      <c r="K2683" s="205" t="s">
        <v>2276</v>
      </c>
      <c r="L2683" s="205" t="s">
        <v>2276</v>
      </c>
      <c r="M2683" s="205" t="s">
        <v>2276</v>
      </c>
      <c r="N2683" s="205" t="s">
        <v>2276</v>
      </c>
      <c r="O2683" s="205" t="s">
        <v>2276</v>
      </c>
      <c r="P2683" s="205" t="s">
        <v>2276</v>
      </c>
      <c r="Q2683" s="205" t="s">
        <v>2276</v>
      </c>
      <c r="R2683" s="205" t="s">
        <v>2276</v>
      </c>
      <c r="S2683" s="205" t="s">
        <v>2276</v>
      </c>
      <c r="T2683" s="21">
        <f>200*0.027</f>
        <v>5.4</v>
      </c>
      <c r="U2683" s="205" t="s">
        <v>2276</v>
      </c>
      <c r="V2683" s="205" t="s">
        <v>2276</v>
      </c>
      <c r="W2683" s="205" t="s">
        <v>2276</v>
      </c>
      <c r="X2683" s="21">
        <f>T2683/'Record info'!K$1128</f>
        <v>1.9285714285714288E-3</v>
      </c>
      <c r="Y2683" s="205" t="s">
        <v>2276</v>
      </c>
      <c r="Z2683" s="38" t="s">
        <v>68</v>
      </c>
      <c r="AA2683" s="205" t="s">
        <v>86</v>
      </c>
      <c r="AB2683" s="204" t="s">
        <v>76</v>
      </c>
      <c r="AC2683" s="205"/>
      <c r="AD2683" s="205"/>
    </row>
    <row r="2684" spans="1:30" ht="33.5" customHeight="1">
      <c r="A2684" s="19" t="s">
        <v>7451</v>
      </c>
      <c r="B2684" s="19" t="s">
        <v>7486</v>
      </c>
      <c r="C2684" s="205" t="s">
        <v>24</v>
      </c>
      <c r="D2684" s="205" t="s">
        <v>1242</v>
      </c>
      <c r="E2684" s="205" t="s">
        <v>3209</v>
      </c>
      <c r="F2684" s="152" t="s">
        <v>2276</v>
      </c>
      <c r="G2684" s="152" t="s">
        <v>2276</v>
      </c>
      <c r="H2684" s="205" t="s">
        <v>523</v>
      </c>
      <c r="I2684" s="205">
        <v>2006</v>
      </c>
      <c r="J2684" s="205" t="s">
        <v>2276</v>
      </c>
      <c r="K2684" s="205" t="s">
        <v>2276</v>
      </c>
      <c r="L2684" s="205" t="s">
        <v>2276</v>
      </c>
      <c r="M2684" s="205" t="s">
        <v>2276</v>
      </c>
      <c r="N2684" s="205" t="s">
        <v>2276</v>
      </c>
      <c r="O2684" s="205" t="s">
        <v>2276</v>
      </c>
      <c r="P2684" s="205" t="s">
        <v>2276</v>
      </c>
      <c r="Q2684" s="205" t="s">
        <v>2276</v>
      </c>
      <c r="R2684" s="205" t="s">
        <v>2276</v>
      </c>
      <c r="S2684" s="205" t="s">
        <v>2276</v>
      </c>
      <c r="T2684" s="21">
        <f>200*0.041</f>
        <v>8.2000000000000011</v>
      </c>
      <c r="U2684" s="205" t="s">
        <v>2276</v>
      </c>
      <c r="V2684" s="205" t="s">
        <v>2276</v>
      </c>
      <c r="W2684" s="205" t="s">
        <v>2276</v>
      </c>
      <c r="X2684" s="21">
        <f>T2684/'Record info'!K$1129</f>
        <v>2.3328591749644384E-3</v>
      </c>
      <c r="Y2684" s="205" t="s">
        <v>2276</v>
      </c>
      <c r="Z2684" s="205" t="s">
        <v>68</v>
      </c>
      <c r="AA2684" s="205" t="s">
        <v>86</v>
      </c>
      <c r="AB2684" s="205" t="s">
        <v>76</v>
      </c>
      <c r="AC2684" s="205"/>
      <c r="AD2684" s="205"/>
    </row>
    <row r="2685" spans="1:30" ht="33.5" customHeight="1">
      <c r="A2685" s="19" t="s">
        <v>7452</v>
      </c>
      <c r="B2685" s="19" t="s">
        <v>7487</v>
      </c>
      <c r="C2685" s="205" t="s">
        <v>24</v>
      </c>
      <c r="D2685" s="205" t="s">
        <v>1242</v>
      </c>
      <c r="E2685" s="205" t="s">
        <v>3209</v>
      </c>
      <c r="F2685" s="152" t="s">
        <v>2276</v>
      </c>
      <c r="G2685" s="152" t="s">
        <v>2276</v>
      </c>
      <c r="H2685" s="205" t="s">
        <v>523</v>
      </c>
      <c r="I2685" s="205">
        <v>2006</v>
      </c>
      <c r="J2685" s="205" t="s">
        <v>2276</v>
      </c>
      <c r="K2685" s="205" t="s">
        <v>2276</v>
      </c>
      <c r="L2685" s="205" t="s">
        <v>2276</v>
      </c>
      <c r="M2685" s="205" t="s">
        <v>2276</v>
      </c>
      <c r="N2685" s="205" t="s">
        <v>2276</v>
      </c>
      <c r="O2685" s="205" t="s">
        <v>2276</v>
      </c>
      <c r="P2685" s="205" t="s">
        <v>2276</v>
      </c>
      <c r="Q2685" s="205" t="s">
        <v>2276</v>
      </c>
      <c r="R2685" s="205" t="s">
        <v>2276</v>
      </c>
      <c r="S2685" s="205" t="s">
        <v>2276</v>
      </c>
      <c r="T2685" s="21">
        <f>200*0.004</f>
        <v>0.8</v>
      </c>
      <c r="U2685" s="205" t="s">
        <v>2276</v>
      </c>
      <c r="V2685" s="205" t="s">
        <v>2276</v>
      </c>
      <c r="W2685" s="205" t="s">
        <v>2276</v>
      </c>
      <c r="X2685" s="21">
        <f>T2685/'Record info'!K$1130</f>
        <v>1.185712168371128E-4</v>
      </c>
      <c r="Y2685" s="205" t="s">
        <v>2276</v>
      </c>
      <c r="Z2685" s="205" t="s">
        <v>68</v>
      </c>
      <c r="AA2685" s="205" t="s">
        <v>86</v>
      </c>
      <c r="AB2685" s="205" t="s">
        <v>76</v>
      </c>
      <c r="AC2685" s="205"/>
      <c r="AD2685" s="205"/>
    </row>
    <row r="2686" spans="1:30" ht="33.5" customHeight="1">
      <c r="A2686" s="19" t="s">
        <v>7453</v>
      </c>
      <c r="B2686" s="19" t="s">
        <v>7488</v>
      </c>
      <c r="C2686" s="205" t="s">
        <v>24</v>
      </c>
      <c r="D2686" s="205" t="s">
        <v>1242</v>
      </c>
      <c r="E2686" s="205" t="s">
        <v>3209</v>
      </c>
      <c r="F2686" s="152" t="s">
        <v>2276</v>
      </c>
      <c r="G2686" s="152" t="s">
        <v>2276</v>
      </c>
      <c r="H2686" s="205" t="s">
        <v>523</v>
      </c>
      <c r="I2686" s="205">
        <v>2006</v>
      </c>
      <c r="J2686" s="205" t="s">
        <v>2276</v>
      </c>
      <c r="K2686" s="205" t="s">
        <v>2276</v>
      </c>
      <c r="L2686" s="205" t="s">
        <v>2276</v>
      </c>
      <c r="M2686" s="205" t="s">
        <v>2276</v>
      </c>
      <c r="N2686" s="205" t="s">
        <v>2276</v>
      </c>
      <c r="O2686" s="205" t="s">
        <v>2276</v>
      </c>
      <c r="P2686" s="205" t="s">
        <v>2276</v>
      </c>
      <c r="Q2686" s="205" t="s">
        <v>2276</v>
      </c>
      <c r="R2686" s="205" t="s">
        <v>2276</v>
      </c>
      <c r="S2686" s="205" t="s">
        <v>2276</v>
      </c>
      <c r="T2686" s="21">
        <f>200*0.004</f>
        <v>0.8</v>
      </c>
      <c r="U2686" s="205" t="s">
        <v>2276</v>
      </c>
      <c r="V2686" s="205" t="s">
        <v>2276</v>
      </c>
      <c r="W2686" s="205" t="s">
        <v>2276</v>
      </c>
      <c r="X2686" s="21">
        <f>T2686/'Record info'!K$1131</f>
        <v>1.5797788309636652E-4</v>
      </c>
      <c r="Y2686" s="205" t="s">
        <v>2276</v>
      </c>
      <c r="Z2686" s="205" t="s">
        <v>68</v>
      </c>
      <c r="AA2686" s="205" t="s">
        <v>86</v>
      </c>
      <c r="AB2686" s="205" t="s">
        <v>76</v>
      </c>
      <c r="AC2686" s="205"/>
      <c r="AD2686" s="205"/>
    </row>
    <row r="2687" spans="1:30" ht="33.5" customHeight="1">
      <c r="A2687" s="19" t="s">
        <v>7454</v>
      </c>
      <c r="B2687" s="19" t="s">
        <v>7489</v>
      </c>
      <c r="C2687" s="205" t="s">
        <v>24</v>
      </c>
      <c r="D2687" s="205" t="s">
        <v>1242</v>
      </c>
      <c r="E2687" s="205" t="s">
        <v>3209</v>
      </c>
      <c r="F2687" s="152" t="s">
        <v>2276</v>
      </c>
      <c r="G2687" s="152" t="s">
        <v>2276</v>
      </c>
      <c r="H2687" s="205" t="s">
        <v>524</v>
      </c>
      <c r="I2687" s="205">
        <v>2006</v>
      </c>
      <c r="J2687" s="21">
        <v>0</v>
      </c>
      <c r="K2687" s="21">
        <v>0</v>
      </c>
      <c r="L2687" s="21">
        <v>0</v>
      </c>
      <c r="M2687" s="21">
        <v>0</v>
      </c>
      <c r="N2687" s="21">
        <v>0</v>
      </c>
      <c r="O2687" s="21">
        <v>0</v>
      </c>
      <c r="P2687" s="21">
        <v>0</v>
      </c>
      <c r="Q2687" s="21">
        <v>0</v>
      </c>
      <c r="R2687" s="21">
        <v>0</v>
      </c>
      <c r="S2687" s="21">
        <v>0</v>
      </c>
      <c r="T2687" s="21">
        <v>0</v>
      </c>
      <c r="U2687" s="21">
        <v>0</v>
      </c>
      <c r="V2687" s="21">
        <v>0</v>
      </c>
      <c r="W2687" s="21">
        <v>0</v>
      </c>
      <c r="X2687" s="21">
        <f>T2687/'Record info'!K$1132</f>
        <v>0</v>
      </c>
      <c r="Y2687" s="205" t="s">
        <v>2276</v>
      </c>
      <c r="Z2687" s="205" t="s">
        <v>68</v>
      </c>
      <c r="AA2687" s="205" t="s">
        <v>86</v>
      </c>
      <c r="AB2687" s="205" t="s">
        <v>76</v>
      </c>
      <c r="AC2687" s="205"/>
      <c r="AD2687" s="205"/>
    </row>
    <row r="2688" spans="1:30" ht="33.5" customHeight="1">
      <c r="A2688" s="19" t="s">
        <v>7455</v>
      </c>
      <c r="B2688" s="19" t="s">
        <v>7490</v>
      </c>
      <c r="C2688" s="205" t="s">
        <v>24</v>
      </c>
      <c r="D2688" s="205" t="s">
        <v>1242</v>
      </c>
      <c r="E2688" s="205" t="s">
        <v>3209</v>
      </c>
      <c r="F2688" s="152" t="s">
        <v>2276</v>
      </c>
      <c r="G2688" s="152" t="s">
        <v>2276</v>
      </c>
      <c r="H2688" s="205" t="s">
        <v>524</v>
      </c>
      <c r="I2688" s="205">
        <v>2006</v>
      </c>
      <c r="J2688" s="21">
        <v>0</v>
      </c>
      <c r="K2688" s="21">
        <v>0</v>
      </c>
      <c r="L2688" s="21">
        <v>0</v>
      </c>
      <c r="M2688" s="21">
        <v>0</v>
      </c>
      <c r="N2688" s="21">
        <v>0</v>
      </c>
      <c r="O2688" s="21">
        <v>0</v>
      </c>
      <c r="P2688" s="21">
        <v>0</v>
      </c>
      <c r="Q2688" s="21">
        <v>0</v>
      </c>
      <c r="R2688" s="21">
        <v>0</v>
      </c>
      <c r="S2688" s="21">
        <v>0</v>
      </c>
      <c r="T2688" s="21">
        <v>0</v>
      </c>
      <c r="U2688" s="21">
        <v>0</v>
      </c>
      <c r="V2688" s="21">
        <v>0</v>
      </c>
      <c r="W2688" s="21">
        <v>0</v>
      </c>
      <c r="X2688" s="21">
        <f>T2688/'Record info'!K$1133</f>
        <v>0</v>
      </c>
      <c r="Y2688" s="205" t="s">
        <v>2276</v>
      </c>
      <c r="Z2688" s="205" t="s">
        <v>68</v>
      </c>
      <c r="AA2688" s="205" t="s">
        <v>86</v>
      </c>
      <c r="AB2688" s="205" t="s">
        <v>76</v>
      </c>
      <c r="AC2688" s="205"/>
      <c r="AD2688" s="205"/>
    </row>
    <row r="2689" spans="1:30" ht="33.5" customHeight="1">
      <c r="A2689" s="19" t="s">
        <v>7456</v>
      </c>
      <c r="B2689" s="19" t="s">
        <v>7491</v>
      </c>
      <c r="C2689" s="205" t="s">
        <v>24</v>
      </c>
      <c r="D2689" s="205" t="s">
        <v>1242</v>
      </c>
      <c r="E2689" s="205" t="s">
        <v>3209</v>
      </c>
      <c r="F2689" s="152" t="s">
        <v>2276</v>
      </c>
      <c r="G2689" s="152" t="s">
        <v>2276</v>
      </c>
      <c r="H2689" s="205" t="s">
        <v>524</v>
      </c>
      <c r="I2689" s="205">
        <v>2006</v>
      </c>
      <c r="J2689" s="21">
        <v>0</v>
      </c>
      <c r="K2689" s="21">
        <v>0</v>
      </c>
      <c r="L2689" s="21">
        <v>0</v>
      </c>
      <c r="M2689" s="21">
        <v>0</v>
      </c>
      <c r="N2689" s="21">
        <v>0</v>
      </c>
      <c r="O2689" s="21">
        <v>0</v>
      </c>
      <c r="P2689" s="21">
        <v>0</v>
      </c>
      <c r="Q2689" s="21">
        <v>0</v>
      </c>
      <c r="R2689" s="21">
        <v>0</v>
      </c>
      <c r="S2689" s="21">
        <v>0</v>
      </c>
      <c r="T2689" s="21">
        <v>0</v>
      </c>
      <c r="U2689" s="21">
        <v>0</v>
      </c>
      <c r="V2689" s="21">
        <v>0</v>
      </c>
      <c r="W2689" s="21">
        <v>0</v>
      </c>
      <c r="X2689" s="21">
        <f>T2689/'Record info'!K$1134</f>
        <v>0</v>
      </c>
      <c r="Y2689" s="205" t="s">
        <v>2276</v>
      </c>
      <c r="Z2689" s="205" t="s">
        <v>68</v>
      </c>
      <c r="AA2689" s="205" t="s">
        <v>86</v>
      </c>
      <c r="AB2689" s="205" t="s">
        <v>76</v>
      </c>
      <c r="AC2689" s="205"/>
      <c r="AD2689" s="205"/>
    </row>
    <row r="2690" spans="1:30" ht="33.5" customHeight="1">
      <c r="A2690" s="19" t="s">
        <v>7457</v>
      </c>
      <c r="B2690" s="19" t="s">
        <v>7492</v>
      </c>
      <c r="C2690" s="205" t="s">
        <v>24</v>
      </c>
      <c r="D2690" s="205" t="s">
        <v>1242</v>
      </c>
      <c r="E2690" s="205" t="s">
        <v>3209</v>
      </c>
      <c r="F2690" s="152" t="s">
        <v>2276</v>
      </c>
      <c r="G2690" s="152" t="s">
        <v>2276</v>
      </c>
      <c r="H2690" s="205" t="s">
        <v>523</v>
      </c>
      <c r="I2690" s="205">
        <v>2006</v>
      </c>
      <c r="J2690" s="205" t="s">
        <v>2276</v>
      </c>
      <c r="K2690" s="205" t="s">
        <v>2276</v>
      </c>
      <c r="L2690" s="205" t="s">
        <v>2276</v>
      </c>
      <c r="M2690" s="205" t="s">
        <v>2276</v>
      </c>
      <c r="N2690" s="205" t="s">
        <v>2276</v>
      </c>
      <c r="O2690" s="205" t="s">
        <v>2276</v>
      </c>
      <c r="P2690" s="205" t="s">
        <v>2276</v>
      </c>
      <c r="Q2690" s="205" t="s">
        <v>2276</v>
      </c>
      <c r="R2690" s="205" t="s">
        <v>2276</v>
      </c>
      <c r="S2690" s="205" t="s">
        <v>2276</v>
      </c>
      <c r="T2690" s="21">
        <f>200*0.035</f>
        <v>7.0000000000000009</v>
      </c>
      <c r="U2690" s="205" t="s">
        <v>2276</v>
      </c>
      <c r="V2690" s="205" t="s">
        <v>2276</v>
      </c>
      <c r="W2690" s="205" t="s">
        <v>2276</v>
      </c>
      <c r="X2690" s="21">
        <f>T2690/'Record info'!K$1135</f>
        <v>1.1541632316570487E-3</v>
      </c>
      <c r="Y2690" s="205" t="s">
        <v>2276</v>
      </c>
      <c r="Z2690" s="205" t="s">
        <v>68</v>
      </c>
      <c r="AA2690" s="205" t="s">
        <v>86</v>
      </c>
      <c r="AB2690" s="205" t="s">
        <v>76</v>
      </c>
      <c r="AC2690" s="205"/>
      <c r="AD2690" s="205"/>
    </row>
    <row r="2691" spans="1:30" ht="33.5" customHeight="1">
      <c r="A2691" s="19" t="s">
        <v>7458</v>
      </c>
      <c r="B2691" s="19" t="s">
        <v>7493</v>
      </c>
      <c r="C2691" s="205" t="s">
        <v>24</v>
      </c>
      <c r="D2691" s="205" t="s">
        <v>1242</v>
      </c>
      <c r="E2691" s="205" t="s">
        <v>3209</v>
      </c>
      <c r="F2691" s="152" t="s">
        <v>2276</v>
      </c>
      <c r="G2691" s="152" t="s">
        <v>2276</v>
      </c>
      <c r="H2691" s="205" t="s">
        <v>523</v>
      </c>
      <c r="I2691" s="205">
        <v>2006</v>
      </c>
      <c r="J2691" s="205" t="s">
        <v>2276</v>
      </c>
      <c r="K2691" s="205" t="s">
        <v>2276</v>
      </c>
      <c r="L2691" s="205" t="s">
        <v>2276</v>
      </c>
      <c r="M2691" s="205" t="s">
        <v>2276</v>
      </c>
      <c r="N2691" s="205" t="s">
        <v>2276</v>
      </c>
      <c r="O2691" s="205" t="s">
        <v>2276</v>
      </c>
      <c r="P2691" s="205" t="s">
        <v>2276</v>
      </c>
      <c r="Q2691" s="205" t="s">
        <v>2276</v>
      </c>
      <c r="R2691" s="205" t="s">
        <v>2276</v>
      </c>
      <c r="S2691" s="205" t="s">
        <v>2276</v>
      </c>
      <c r="T2691" s="21">
        <f>200*0.079</f>
        <v>15.8</v>
      </c>
      <c r="U2691" s="205" t="s">
        <v>2276</v>
      </c>
      <c r="V2691" s="205" t="s">
        <v>2276</v>
      </c>
      <c r="W2691" s="205" t="s">
        <v>2276</v>
      </c>
      <c r="X2691" s="21">
        <f>T2691/'Record info'!K$1136</f>
        <v>2.3670411985018728E-3</v>
      </c>
      <c r="Y2691" s="205" t="s">
        <v>2276</v>
      </c>
      <c r="Z2691" s="205" t="s">
        <v>68</v>
      </c>
      <c r="AA2691" s="205" t="s">
        <v>86</v>
      </c>
      <c r="AB2691" s="205" t="s">
        <v>76</v>
      </c>
      <c r="AC2691" s="205"/>
      <c r="AD2691" s="205"/>
    </row>
    <row r="2692" spans="1:30" ht="33.5" customHeight="1">
      <c r="A2692" s="19" t="s">
        <v>7459</v>
      </c>
      <c r="B2692" s="19" t="s">
        <v>7494</v>
      </c>
      <c r="C2692" s="205" t="s">
        <v>24</v>
      </c>
      <c r="D2692" s="205" t="s">
        <v>1242</v>
      </c>
      <c r="E2692" s="205" t="s">
        <v>3209</v>
      </c>
      <c r="F2692" s="152" t="s">
        <v>2276</v>
      </c>
      <c r="G2692" s="152" t="s">
        <v>2276</v>
      </c>
      <c r="H2692" s="205" t="s">
        <v>523</v>
      </c>
      <c r="I2692" s="205">
        <v>2006</v>
      </c>
      <c r="J2692" s="205" t="s">
        <v>2276</v>
      </c>
      <c r="K2692" s="205" t="s">
        <v>2276</v>
      </c>
      <c r="L2692" s="205" t="s">
        <v>2276</v>
      </c>
      <c r="M2692" s="205" t="s">
        <v>2276</v>
      </c>
      <c r="N2692" s="205" t="s">
        <v>2276</v>
      </c>
      <c r="O2692" s="205" t="s">
        <v>2276</v>
      </c>
      <c r="P2692" s="205" t="s">
        <v>2276</v>
      </c>
      <c r="Q2692" s="205" t="s">
        <v>2276</v>
      </c>
      <c r="R2692" s="205" t="s">
        <v>2276</v>
      </c>
      <c r="S2692" s="205" t="s">
        <v>2276</v>
      </c>
      <c r="T2692" s="21">
        <f>200*0.132</f>
        <v>26.400000000000002</v>
      </c>
      <c r="U2692" s="205" t="s">
        <v>2276</v>
      </c>
      <c r="V2692" s="205" t="s">
        <v>2276</v>
      </c>
      <c r="W2692" s="205" t="s">
        <v>2276</v>
      </c>
      <c r="X2692" s="21">
        <f>T2692/'Record info'!K$1137</f>
        <v>4.7843421529539694E-3</v>
      </c>
      <c r="Y2692" s="205" t="s">
        <v>2276</v>
      </c>
      <c r="Z2692" s="205" t="s">
        <v>68</v>
      </c>
      <c r="AA2692" s="205" t="s">
        <v>86</v>
      </c>
      <c r="AB2692" s="205" t="s">
        <v>76</v>
      </c>
      <c r="AC2692" s="205"/>
      <c r="AD2692" s="205"/>
    </row>
    <row r="2693" spans="1:30" ht="33.5" customHeight="1">
      <c r="A2693" s="19" t="s">
        <v>7460</v>
      </c>
      <c r="B2693" s="19" t="s">
        <v>7495</v>
      </c>
      <c r="C2693" s="205" t="s">
        <v>24</v>
      </c>
      <c r="D2693" s="205" t="s">
        <v>1242</v>
      </c>
      <c r="E2693" s="205" t="s">
        <v>3209</v>
      </c>
      <c r="F2693" s="152" t="s">
        <v>2276</v>
      </c>
      <c r="G2693" s="152" t="s">
        <v>2276</v>
      </c>
      <c r="H2693" s="205" t="s">
        <v>523</v>
      </c>
      <c r="I2693" s="205">
        <v>2006</v>
      </c>
      <c r="J2693" s="205" t="s">
        <v>2276</v>
      </c>
      <c r="K2693" s="205" t="s">
        <v>2276</v>
      </c>
      <c r="L2693" s="205" t="s">
        <v>2276</v>
      </c>
      <c r="M2693" s="205" t="s">
        <v>2276</v>
      </c>
      <c r="N2693" s="205" t="s">
        <v>2276</v>
      </c>
      <c r="O2693" s="205" t="s">
        <v>2276</v>
      </c>
      <c r="P2693" s="205" t="s">
        <v>2276</v>
      </c>
      <c r="Q2693" s="205" t="s">
        <v>2276</v>
      </c>
      <c r="R2693" s="205" t="s">
        <v>2276</v>
      </c>
      <c r="S2693" s="205" t="s">
        <v>2276</v>
      </c>
      <c r="T2693" s="21">
        <f>200*0.057</f>
        <v>11.4</v>
      </c>
      <c r="U2693" s="205" t="s">
        <v>2276</v>
      </c>
      <c r="V2693" s="205" t="s">
        <v>2276</v>
      </c>
      <c r="W2693" s="205" t="s">
        <v>2276</v>
      </c>
      <c r="X2693" s="21">
        <f>T2693/'Record info'!K$1138</f>
        <v>2.8882695718267038E-3</v>
      </c>
      <c r="Y2693" s="205" t="s">
        <v>2276</v>
      </c>
      <c r="Z2693" s="205" t="s">
        <v>68</v>
      </c>
      <c r="AA2693" s="205" t="s">
        <v>86</v>
      </c>
      <c r="AB2693" s="205" t="s">
        <v>76</v>
      </c>
      <c r="AC2693" s="205"/>
      <c r="AD2693" s="205"/>
    </row>
    <row r="2694" spans="1:30" ht="33.5" customHeight="1">
      <c r="A2694" s="19" t="s">
        <v>7461</v>
      </c>
      <c r="B2694" s="19" t="s">
        <v>7496</v>
      </c>
      <c r="C2694" s="205" t="s">
        <v>24</v>
      </c>
      <c r="D2694" s="205" t="s">
        <v>1242</v>
      </c>
      <c r="E2694" s="205" t="s">
        <v>3209</v>
      </c>
      <c r="F2694" s="152" t="s">
        <v>2276</v>
      </c>
      <c r="G2694" s="152" t="s">
        <v>2276</v>
      </c>
      <c r="H2694" s="205" t="s">
        <v>523</v>
      </c>
      <c r="I2694" s="205">
        <v>2006</v>
      </c>
      <c r="J2694" s="205" t="s">
        <v>2276</v>
      </c>
      <c r="K2694" s="205" t="s">
        <v>2276</v>
      </c>
      <c r="L2694" s="205" t="s">
        <v>2276</v>
      </c>
      <c r="M2694" s="205" t="s">
        <v>2276</v>
      </c>
      <c r="N2694" s="205" t="s">
        <v>2276</v>
      </c>
      <c r="O2694" s="205" t="s">
        <v>2276</v>
      </c>
      <c r="P2694" s="205" t="s">
        <v>2276</v>
      </c>
      <c r="Q2694" s="205" t="s">
        <v>2276</v>
      </c>
      <c r="R2694" s="205" t="s">
        <v>2276</v>
      </c>
      <c r="S2694" s="205" t="s">
        <v>2276</v>
      </c>
      <c r="T2694" s="21">
        <f>200*0.024</f>
        <v>4.8</v>
      </c>
      <c r="U2694" s="205" t="s">
        <v>2276</v>
      </c>
      <c r="V2694" s="205" t="s">
        <v>2276</v>
      </c>
      <c r="W2694" s="205" t="s">
        <v>2276</v>
      </c>
      <c r="X2694" s="21">
        <f>T2694/'Record info'!K$1139</f>
        <v>1.7094017094017094E-3</v>
      </c>
      <c r="Y2694" s="205" t="s">
        <v>2276</v>
      </c>
      <c r="Z2694" s="205" t="s">
        <v>68</v>
      </c>
      <c r="AA2694" s="205" t="s">
        <v>86</v>
      </c>
      <c r="AB2694" s="205" t="s">
        <v>76</v>
      </c>
      <c r="AC2694" s="205"/>
      <c r="AD2694" s="205"/>
    </row>
    <row r="2695" spans="1:30" ht="33.5" customHeight="1">
      <c r="A2695" s="19" t="s">
        <v>7462</v>
      </c>
      <c r="B2695" s="19" t="s">
        <v>7497</v>
      </c>
      <c r="C2695" s="205" t="s">
        <v>24</v>
      </c>
      <c r="D2695" s="205" t="s">
        <v>1242</v>
      </c>
      <c r="E2695" s="205" t="s">
        <v>3209</v>
      </c>
      <c r="F2695" s="152" t="s">
        <v>2276</v>
      </c>
      <c r="G2695" s="152" t="s">
        <v>2276</v>
      </c>
      <c r="H2695" s="205" t="s">
        <v>523</v>
      </c>
      <c r="I2695" s="205">
        <v>2006</v>
      </c>
      <c r="J2695" s="205" t="s">
        <v>2276</v>
      </c>
      <c r="K2695" s="205" t="s">
        <v>2276</v>
      </c>
      <c r="L2695" s="205" t="s">
        <v>2276</v>
      </c>
      <c r="M2695" s="205" t="s">
        <v>2276</v>
      </c>
      <c r="N2695" s="205" t="s">
        <v>2276</v>
      </c>
      <c r="O2695" s="205" t="s">
        <v>2276</v>
      </c>
      <c r="P2695" s="205" t="s">
        <v>2276</v>
      </c>
      <c r="Q2695" s="205" t="s">
        <v>2276</v>
      </c>
      <c r="R2695" s="205" t="s">
        <v>2276</v>
      </c>
      <c r="S2695" s="205" t="s">
        <v>2276</v>
      </c>
      <c r="T2695" s="21">
        <f>200*0.072</f>
        <v>14.399999999999999</v>
      </c>
      <c r="U2695" s="205" t="s">
        <v>2276</v>
      </c>
      <c r="V2695" s="205" t="s">
        <v>2276</v>
      </c>
      <c r="W2695" s="205" t="s">
        <v>2276</v>
      </c>
      <c r="X2695" s="21">
        <f>T2695/'Record info'!K$1140</f>
        <v>2.8759736369083281E-3</v>
      </c>
      <c r="Y2695" s="205" t="s">
        <v>2276</v>
      </c>
      <c r="Z2695" s="205" t="s">
        <v>68</v>
      </c>
      <c r="AA2695" s="205" t="s">
        <v>86</v>
      </c>
      <c r="AB2695" s="205" t="s">
        <v>76</v>
      </c>
      <c r="AC2695" s="205"/>
      <c r="AD2695" s="205"/>
    </row>
    <row r="2696" spans="1:30" ht="33.5" customHeight="1">
      <c r="A2696" s="19" t="s">
        <v>7463</v>
      </c>
      <c r="B2696" s="19" t="s">
        <v>7498</v>
      </c>
      <c r="C2696" s="205" t="s">
        <v>24</v>
      </c>
      <c r="D2696" s="205" t="s">
        <v>1242</v>
      </c>
      <c r="E2696" s="205" t="s">
        <v>3209</v>
      </c>
      <c r="F2696" s="152" t="s">
        <v>2276</v>
      </c>
      <c r="G2696" s="152" t="s">
        <v>2276</v>
      </c>
      <c r="H2696" s="205" t="s">
        <v>523</v>
      </c>
      <c r="I2696" s="205">
        <v>2006</v>
      </c>
      <c r="J2696" s="205" t="s">
        <v>2276</v>
      </c>
      <c r="K2696" s="205" t="s">
        <v>2276</v>
      </c>
      <c r="L2696" s="205" t="s">
        <v>2276</v>
      </c>
      <c r="M2696" s="205" t="s">
        <v>2276</v>
      </c>
      <c r="N2696" s="205" t="s">
        <v>2276</v>
      </c>
      <c r="O2696" s="205" t="s">
        <v>2276</v>
      </c>
      <c r="P2696" s="205" t="s">
        <v>2276</v>
      </c>
      <c r="Q2696" s="205" t="s">
        <v>2276</v>
      </c>
      <c r="R2696" s="205" t="s">
        <v>2276</v>
      </c>
      <c r="S2696" s="205" t="s">
        <v>2276</v>
      </c>
      <c r="T2696" s="21">
        <f>200*0.068</f>
        <v>13.600000000000001</v>
      </c>
      <c r="U2696" s="205" t="s">
        <v>2276</v>
      </c>
      <c r="V2696" s="205" t="s">
        <v>2276</v>
      </c>
      <c r="W2696" s="205" t="s">
        <v>2276</v>
      </c>
      <c r="X2696" s="21">
        <f>T2696/'Record info'!K$1141</f>
        <v>1.1584327086882455E-2</v>
      </c>
      <c r="Y2696" s="205" t="s">
        <v>2276</v>
      </c>
      <c r="Z2696" s="205" t="s">
        <v>68</v>
      </c>
      <c r="AA2696" s="205" t="s">
        <v>86</v>
      </c>
      <c r="AB2696" s="205" t="s">
        <v>76</v>
      </c>
      <c r="AC2696" s="205"/>
      <c r="AD2696" s="205"/>
    </row>
    <row r="2697" spans="1:30" ht="33.5" customHeight="1">
      <c r="A2697" s="19" t="s">
        <v>7464</v>
      </c>
      <c r="B2697" s="19" t="s">
        <v>7499</v>
      </c>
      <c r="C2697" s="205" t="s">
        <v>24</v>
      </c>
      <c r="D2697" s="205" t="s">
        <v>1242</v>
      </c>
      <c r="E2697" s="205" t="s">
        <v>3209</v>
      </c>
      <c r="F2697" s="152" t="s">
        <v>2276</v>
      </c>
      <c r="G2697" s="152" t="s">
        <v>2276</v>
      </c>
      <c r="H2697" s="205" t="s">
        <v>523</v>
      </c>
      <c r="I2697" s="205">
        <v>2006</v>
      </c>
      <c r="J2697" s="205" t="s">
        <v>2276</v>
      </c>
      <c r="K2697" s="205" t="s">
        <v>2276</v>
      </c>
      <c r="L2697" s="205" t="s">
        <v>2276</v>
      </c>
      <c r="M2697" s="205" t="s">
        <v>2276</v>
      </c>
      <c r="N2697" s="205" t="s">
        <v>2276</v>
      </c>
      <c r="O2697" s="205" t="s">
        <v>2276</v>
      </c>
      <c r="P2697" s="205" t="s">
        <v>2276</v>
      </c>
      <c r="Q2697" s="205" t="s">
        <v>2276</v>
      </c>
      <c r="R2697" s="205" t="s">
        <v>2276</v>
      </c>
      <c r="S2697" s="205" t="s">
        <v>2276</v>
      </c>
      <c r="T2697" s="21">
        <f>200*0.075</f>
        <v>15</v>
      </c>
      <c r="U2697" s="205" t="s">
        <v>2276</v>
      </c>
      <c r="V2697" s="205" t="s">
        <v>2276</v>
      </c>
      <c r="W2697" s="205" t="s">
        <v>2276</v>
      </c>
      <c r="X2697" s="21">
        <f>T2697/'Record info'!K$1142</f>
        <v>3.4658040665434381E-3</v>
      </c>
      <c r="Y2697" s="205" t="s">
        <v>2276</v>
      </c>
      <c r="Z2697" s="205" t="s">
        <v>68</v>
      </c>
      <c r="AA2697" s="205" t="s">
        <v>86</v>
      </c>
      <c r="AB2697" s="205" t="s">
        <v>76</v>
      </c>
      <c r="AC2697" s="205"/>
      <c r="AD2697" s="205"/>
    </row>
    <row r="2698" spans="1:30" ht="33.5" customHeight="1">
      <c r="A2698" s="19" t="s">
        <v>7465</v>
      </c>
      <c r="B2698" s="19" t="s">
        <v>7500</v>
      </c>
      <c r="C2698" s="205" t="s">
        <v>24</v>
      </c>
      <c r="D2698" s="205" t="s">
        <v>1242</v>
      </c>
      <c r="E2698" s="205" t="s">
        <v>3209</v>
      </c>
      <c r="F2698" s="152" t="s">
        <v>2276</v>
      </c>
      <c r="G2698" s="152" t="s">
        <v>2276</v>
      </c>
      <c r="H2698" s="205" t="s">
        <v>523</v>
      </c>
      <c r="I2698" s="205">
        <v>2006</v>
      </c>
      <c r="J2698" s="205" t="s">
        <v>2276</v>
      </c>
      <c r="K2698" s="205" t="s">
        <v>2276</v>
      </c>
      <c r="L2698" s="205" t="s">
        <v>2276</v>
      </c>
      <c r="M2698" s="205" t="s">
        <v>2276</v>
      </c>
      <c r="N2698" s="205" t="s">
        <v>2276</v>
      </c>
      <c r="O2698" s="205" t="s">
        <v>2276</v>
      </c>
      <c r="P2698" s="205" t="s">
        <v>2276</v>
      </c>
      <c r="Q2698" s="205" t="s">
        <v>2276</v>
      </c>
      <c r="R2698" s="205" t="s">
        <v>2276</v>
      </c>
      <c r="S2698" s="205" t="s">
        <v>2276</v>
      </c>
      <c r="T2698" s="21">
        <f>200*0.111</f>
        <v>22.2</v>
      </c>
      <c r="U2698" s="205" t="s">
        <v>2276</v>
      </c>
      <c r="V2698" s="205" t="s">
        <v>2276</v>
      </c>
      <c r="W2698" s="205" t="s">
        <v>2276</v>
      </c>
      <c r="X2698" s="21">
        <f>T2698/'Record info'!K$1143</f>
        <v>9.2693110647181619E-3</v>
      </c>
      <c r="Y2698" s="205" t="s">
        <v>2276</v>
      </c>
      <c r="Z2698" s="205" t="s">
        <v>68</v>
      </c>
      <c r="AA2698" s="205" t="s">
        <v>86</v>
      </c>
      <c r="AB2698" s="205" t="s">
        <v>76</v>
      </c>
      <c r="AC2698" s="205"/>
      <c r="AD2698" s="205"/>
    </row>
    <row r="2699" spans="1:30" ht="33.5" customHeight="1">
      <c r="A2699" s="19" t="s">
        <v>7466</v>
      </c>
      <c r="B2699" s="19" t="s">
        <v>7501</v>
      </c>
      <c r="C2699" s="205" t="s">
        <v>24</v>
      </c>
      <c r="D2699" s="205" t="s">
        <v>1242</v>
      </c>
      <c r="E2699" s="205" t="s">
        <v>3209</v>
      </c>
      <c r="F2699" s="152" t="s">
        <v>2276</v>
      </c>
      <c r="G2699" s="152" t="s">
        <v>2276</v>
      </c>
      <c r="H2699" s="205" t="s">
        <v>523</v>
      </c>
      <c r="I2699" s="205">
        <v>2006</v>
      </c>
      <c r="J2699" s="205" t="s">
        <v>2276</v>
      </c>
      <c r="K2699" s="205" t="s">
        <v>2276</v>
      </c>
      <c r="L2699" s="205" t="s">
        <v>2276</v>
      </c>
      <c r="M2699" s="205" t="s">
        <v>2276</v>
      </c>
      <c r="N2699" s="205" t="s">
        <v>2276</v>
      </c>
      <c r="O2699" s="205" t="s">
        <v>2276</v>
      </c>
      <c r="P2699" s="205" t="s">
        <v>2276</v>
      </c>
      <c r="Q2699" s="205" t="s">
        <v>2276</v>
      </c>
      <c r="R2699" s="205" t="s">
        <v>2276</v>
      </c>
      <c r="S2699" s="205" t="s">
        <v>2276</v>
      </c>
      <c r="T2699" s="21">
        <f>200*0.106</f>
        <v>21.2</v>
      </c>
      <c r="U2699" s="205" t="s">
        <v>2276</v>
      </c>
      <c r="V2699" s="205" t="s">
        <v>2276</v>
      </c>
      <c r="W2699" s="205" t="s">
        <v>2276</v>
      </c>
      <c r="X2699" s="21">
        <f>T2699/'Record info'!K$1144</f>
        <v>7.9311634867190416E-3</v>
      </c>
      <c r="Y2699" s="205" t="s">
        <v>2276</v>
      </c>
      <c r="Z2699" s="205" t="s">
        <v>68</v>
      </c>
      <c r="AA2699" s="205" t="s">
        <v>86</v>
      </c>
      <c r="AB2699" s="205" t="s">
        <v>76</v>
      </c>
      <c r="AC2699" s="205"/>
      <c r="AD2699" s="205"/>
    </row>
    <row r="2700" spans="1:30" ht="33.5" customHeight="1">
      <c r="A2700" s="19" t="s">
        <v>7467</v>
      </c>
      <c r="B2700" s="19" t="s">
        <v>7502</v>
      </c>
      <c r="C2700" s="205" t="s">
        <v>24</v>
      </c>
      <c r="D2700" s="205" t="s">
        <v>1242</v>
      </c>
      <c r="E2700" s="205" t="s">
        <v>3209</v>
      </c>
      <c r="F2700" s="152" t="s">
        <v>2276</v>
      </c>
      <c r="G2700" s="152" t="s">
        <v>2276</v>
      </c>
      <c r="H2700" s="205" t="s">
        <v>523</v>
      </c>
      <c r="I2700" s="205">
        <v>2006</v>
      </c>
      <c r="J2700" s="205" t="s">
        <v>2276</v>
      </c>
      <c r="K2700" s="205" t="s">
        <v>2276</v>
      </c>
      <c r="L2700" s="205" t="s">
        <v>2276</v>
      </c>
      <c r="M2700" s="205" t="s">
        <v>2276</v>
      </c>
      <c r="N2700" s="205" t="s">
        <v>2276</v>
      </c>
      <c r="O2700" s="205" t="s">
        <v>2276</v>
      </c>
      <c r="P2700" s="205" t="s">
        <v>2276</v>
      </c>
      <c r="Q2700" s="205" t="s">
        <v>2276</v>
      </c>
      <c r="R2700" s="205" t="s">
        <v>2276</v>
      </c>
      <c r="S2700" s="205" t="s">
        <v>2276</v>
      </c>
      <c r="T2700" s="21">
        <f>200*0.166</f>
        <v>33.200000000000003</v>
      </c>
      <c r="U2700" s="205" t="s">
        <v>2276</v>
      </c>
      <c r="V2700" s="205" t="s">
        <v>2276</v>
      </c>
      <c r="W2700" s="205" t="s">
        <v>2276</v>
      </c>
      <c r="X2700" s="21">
        <f>T2700/'Record info'!K$1145</f>
        <v>1.4722838137472286E-2</v>
      </c>
      <c r="Y2700" s="205" t="s">
        <v>2276</v>
      </c>
      <c r="Z2700" s="205" t="s">
        <v>68</v>
      </c>
      <c r="AA2700" s="205" t="s">
        <v>86</v>
      </c>
      <c r="AB2700" s="205" t="s">
        <v>76</v>
      </c>
      <c r="AC2700" s="205"/>
      <c r="AD2700" s="205"/>
    </row>
    <row r="2701" spans="1:30" ht="29" customHeight="1">
      <c r="A2701" s="19" t="s">
        <v>7365</v>
      </c>
      <c r="B2701" s="19" t="s">
        <v>7503</v>
      </c>
      <c r="C2701" s="205" t="s">
        <v>24</v>
      </c>
      <c r="D2701" s="205" t="s">
        <v>1242</v>
      </c>
      <c r="E2701" s="205" t="s">
        <v>3209</v>
      </c>
      <c r="F2701" s="152" t="s">
        <v>2276</v>
      </c>
      <c r="G2701" s="152" t="s">
        <v>2276</v>
      </c>
      <c r="H2701" s="205" t="s">
        <v>523</v>
      </c>
      <c r="I2701" s="205">
        <v>2007</v>
      </c>
      <c r="J2701" s="205" t="s">
        <v>2276</v>
      </c>
      <c r="K2701" s="205" t="s">
        <v>2276</v>
      </c>
      <c r="L2701" s="205" t="s">
        <v>2276</v>
      </c>
      <c r="M2701" s="205" t="s">
        <v>2276</v>
      </c>
      <c r="N2701" s="205" t="s">
        <v>2276</v>
      </c>
      <c r="O2701" s="205" t="s">
        <v>2276</v>
      </c>
      <c r="P2701" s="205" t="s">
        <v>2276</v>
      </c>
      <c r="Q2701" s="205" t="s">
        <v>2276</v>
      </c>
      <c r="R2701" s="205" t="s">
        <v>2276</v>
      </c>
      <c r="S2701" s="205" t="s">
        <v>2276</v>
      </c>
      <c r="T2701" s="21">
        <f>550*0.027</f>
        <v>14.85</v>
      </c>
      <c r="U2701" s="205" t="s">
        <v>2276</v>
      </c>
      <c r="V2701" s="205" t="s">
        <v>2276</v>
      </c>
      <c r="W2701" s="205" t="s">
        <v>2276</v>
      </c>
      <c r="X2701" s="21">
        <f>T2701/'Record info'!K$1128</f>
        <v>5.3035714285714283E-3</v>
      </c>
      <c r="Y2701" s="205" t="s">
        <v>2276</v>
      </c>
      <c r="Z2701" s="205" t="s">
        <v>68</v>
      </c>
      <c r="AA2701" s="205" t="s">
        <v>86</v>
      </c>
      <c r="AB2701" s="205" t="s">
        <v>76</v>
      </c>
      <c r="AC2701" s="205"/>
      <c r="AD2701" s="205"/>
    </row>
    <row r="2702" spans="1:30" ht="29" customHeight="1">
      <c r="A2702" s="19" t="s">
        <v>7451</v>
      </c>
      <c r="B2702" s="19" t="s">
        <v>7504</v>
      </c>
      <c r="C2702" s="205" t="s">
        <v>24</v>
      </c>
      <c r="D2702" s="205" t="s">
        <v>1242</v>
      </c>
      <c r="E2702" s="205" t="s">
        <v>3209</v>
      </c>
      <c r="F2702" s="152" t="s">
        <v>2276</v>
      </c>
      <c r="G2702" s="152" t="s">
        <v>2276</v>
      </c>
      <c r="H2702" s="205" t="s">
        <v>523</v>
      </c>
      <c r="I2702" s="205">
        <v>2007</v>
      </c>
      <c r="J2702" s="205" t="s">
        <v>2276</v>
      </c>
      <c r="K2702" s="205" t="s">
        <v>2276</v>
      </c>
      <c r="L2702" s="205" t="s">
        <v>2276</v>
      </c>
      <c r="M2702" s="205" t="s">
        <v>2276</v>
      </c>
      <c r="N2702" s="205" t="s">
        <v>2276</v>
      </c>
      <c r="O2702" s="205" t="s">
        <v>2276</v>
      </c>
      <c r="P2702" s="205" t="s">
        <v>2276</v>
      </c>
      <c r="Q2702" s="205" t="s">
        <v>2276</v>
      </c>
      <c r="R2702" s="205" t="s">
        <v>2276</v>
      </c>
      <c r="S2702" s="205" t="s">
        <v>2276</v>
      </c>
      <c r="T2702" s="21">
        <f>550*0.041</f>
        <v>22.55</v>
      </c>
      <c r="U2702" s="205" t="s">
        <v>2276</v>
      </c>
      <c r="V2702" s="205" t="s">
        <v>2276</v>
      </c>
      <c r="W2702" s="205" t="s">
        <v>2276</v>
      </c>
      <c r="X2702" s="21">
        <f>T2702/'Record info'!K$1129</f>
        <v>6.4153627311522047E-3</v>
      </c>
      <c r="Y2702" s="205" t="s">
        <v>2276</v>
      </c>
      <c r="Z2702" s="205" t="s">
        <v>68</v>
      </c>
      <c r="AA2702" s="205" t="s">
        <v>86</v>
      </c>
      <c r="AB2702" s="205" t="s">
        <v>76</v>
      </c>
      <c r="AC2702" s="205"/>
      <c r="AD2702" s="205"/>
    </row>
    <row r="2703" spans="1:30" ht="29" customHeight="1">
      <c r="A2703" s="19" t="s">
        <v>7452</v>
      </c>
      <c r="B2703" s="19" t="s">
        <v>7505</v>
      </c>
      <c r="C2703" s="205" t="s">
        <v>24</v>
      </c>
      <c r="D2703" s="205" t="s">
        <v>1242</v>
      </c>
      <c r="E2703" s="205" t="s">
        <v>3209</v>
      </c>
      <c r="F2703" s="152" t="s">
        <v>2276</v>
      </c>
      <c r="G2703" s="152" t="s">
        <v>2276</v>
      </c>
      <c r="H2703" s="205" t="s">
        <v>523</v>
      </c>
      <c r="I2703" s="205">
        <v>2007</v>
      </c>
      <c r="J2703" s="205" t="s">
        <v>2276</v>
      </c>
      <c r="K2703" s="205" t="s">
        <v>2276</v>
      </c>
      <c r="L2703" s="205" t="s">
        <v>2276</v>
      </c>
      <c r="M2703" s="205" t="s">
        <v>2276</v>
      </c>
      <c r="N2703" s="205" t="s">
        <v>2276</v>
      </c>
      <c r="O2703" s="205" t="s">
        <v>2276</v>
      </c>
      <c r="P2703" s="205" t="s">
        <v>2276</v>
      </c>
      <c r="Q2703" s="205" t="s">
        <v>2276</v>
      </c>
      <c r="R2703" s="205" t="s">
        <v>2276</v>
      </c>
      <c r="S2703" s="205" t="s">
        <v>2276</v>
      </c>
      <c r="T2703" s="21">
        <f>550*0.004</f>
        <v>2.2000000000000002</v>
      </c>
      <c r="U2703" s="205" t="s">
        <v>2276</v>
      </c>
      <c r="V2703" s="205" t="s">
        <v>2276</v>
      </c>
      <c r="W2703" s="205" t="s">
        <v>2276</v>
      </c>
      <c r="X2703" s="21">
        <f>T2703/'Record info'!K$1130</f>
        <v>3.260708463020602E-4</v>
      </c>
      <c r="Y2703" s="205" t="s">
        <v>2276</v>
      </c>
      <c r="Z2703" s="205" t="s">
        <v>68</v>
      </c>
      <c r="AA2703" s="205" t="s">
        <v>86</v>
      </c>
      <c r="AB2703" s="205" t="s">
        <v>76</v>
      </c>
      <c r="AC2703" s="205"/>
      <c r="AD2703" s="205"/>
    </row>
    <row r="2704" spans="1:30" ht="29" customHeight="1">
      <c r="A2704" s="19" t="s">
        <v>7453</v>
      </c>
      <c r="B2704" s="19" t="s">
        <v>7506</v>
      </c>
      <c r="C2704" s="205" t="s">
        <v>24</v>
      </c>
      <c r="D2704" s="205" t="s">
        <v>1242</v>
      </c>
      <c r="E2704" s="205" t="s">
        <v>3209</v>
      </c>
      <c r="F2704" s="152" t="s">
        <v>2276</v>
      </c>
      <c r="G2704" s="152" t="s">
        <v>2276</v>
      </c>
      <c r="H2704" s="205" t="s">
        <v>523</v>
      </c>
      <c r="I2704" s="205">
        <v>2007</v>
      </c>
      <c r="J2704" s="205" t="s">
        <v>2276</v>
      </c>
      <c r="K2704" s="205" t="s">
        <v>2276</v>
      </c>
      <c r="L2704" s="205" t="s">
        <v>2276</v>
      </c>
      <c r="M2704" s="205" t="s">
        <v>2276</v>
      </c>
      <c r="N2704" s="205" t="s">
        <v>2276</v>
      </c>
      <c r="O2704" s="205" t="s">
        <v>2276</v>
      </c>
      <c r="P2704" s="205" t="s">
        <v>2276</v>
      </c>
      <c r="Q2704" s="205" t="s">
        <v>2276</v>
      </c>
      <c r="R2704" s="205" t="s">
        <v>2276</v>
      </c>
      <c r="S2704" s="205" t="s">
        <v>2276</v>
      </c>
      <c r="T2704" s="21">
        <f>550*0.004</f>
        <v>2.2000000000000002</v>
      </c>
      <c r="U2704" s="205" t="s">
        <v>2276</v>
      </c>
      <c r="V2704" s="205" t="s">
        <v>2276</v>
      </c>
      <c r="W2704" s="205" t="s">
        <v>2276</v>
      </c>
      <c r="X2704" s="21">
        <f>T2704/'Record info'!K$1131</f>
        <v>4.3443917851500796E-4</v>
      </c>
      <c r="Y2704" s="205" t="s">
        <v>2276</v>
      </c>
      <c r="Z2704" s="205" t="s">
        <v>68</v>
      </c>
      <c r="AA2704" s="205" t="s">
        <v>86</v>
      </c>
      <c r="AB2704" s="205" t="s">
        <v>76</v>
      </c>
      <c r="AC2704" s="205"/>
      <c r="AD2704" s="205"/>
    </row>
    <row r="2705" spans="1:30" ht="29" customHeight="1">
      <c r="A2705" s="19" t="s">
        <v>7454</v>
      </c>
      <c r="B2705" s="19" t="s">
        <v>7507</v>
      </c>
      <c r="C2705" s="205" t="s">
        <v>24</v>
      </c>
      <c r="D2705" s="205" t="s">
        <v>1242</v>
      </c>
      <c r="E2705" s="205" t="s">
        <v>3209</v>
      </c>
      <c r="F2705" s="152" t="s">
        <v>2276</v>
      </c>
      <c r="G2705" s="152" t="s">
        <v>2276</v>
      </c>
      <c r="H2705" s="205" t="s">
        <v>524</v>
      </c>
      <c r="I2705" s="205">
        <v>2007</v>
      </c>
      <c r="J2705" s="21">
        <v>0</v>
      </c>
      <c r="K2705" s="21">
        <v>0</v>
      </c>
      <c r="L2705" s="21">
        <v>0</v>
      </c>
      <c r="M2705" s="21">
        <v>0</v>
      </c>
      <c r="N2705" s="21">
        <v>0</v>
      </c>
      <c r="O2705" s="21">
        <v>0</v>
      </c>
      <c r="P2705" s="21">
        <v>0</v>
      </c>
      <c r="Q2705" s="21">
        <v>0</v>
      </c>
      <c r="R2705" s="21">
        <v>0</v>
      </c>
      <c r="S2705" s="21">
        <v>0</v>
      </c>
      <c r="T2705" s="21">
        <v>0</v>
      </c>
      <c r="U2705" s="21">
        <v>0</v>
      </c>
      <c r="V2705" s="21">
        <v>0</v>
      </c>
      <c r="W2705" s="21">
        <v>0</v>
      </c>
      <c r="X2705" s="21">
        <f>T2705/'Record info'!K$1132</f>
        <v>0</v>
      </c>
      <c r="Y2705" s="205" t="s">
        <v>2276</v>
      </c>
      <c r="Z2705" s="205" t="s">
        <v>68</v>
      </c>
      <c r="AA2705" s="205" t="s">
        <v>86</v>
      </c>
      <c r="AB2705" s="205" t="s">
        <v>76</v>
      </c>
      <c r="AC2705" s="205"/>
      <c r="AD2705" s="205"/>
    </row>
    <row r="2706" spans="1:30" ht="29" customHeight="1">
      <c r="A2706" s="19" t="s">
        <v>7455</v>
      </c>
      <c r="B2706" s="19" t="s">
        <v>7508</v>
      </c>
      <c r="C2706" s="205" t="s">
        <v>24</v>
      </c>
      <c r="D2706" s="205" t="s">
        <v>1242</v>
      </c>
      <c r="E2706" s="205" t="s">
        <v>3209</v>
      </c>
      <c r="F2706" s="152" t="s">
        <v>2276</v>
      </c>
      <c r="G2706" s="152" t="s">
        <v>2276</v>
      </c>
      <c r="H2706" s="205" t="s">
        <v>524</v>
      </c>
      <c r="I2706" s="205">
        <v>2007</v>
      </c>
      <c r="J2706" s="21">
        <v>0</v>
      </c>
      <c r="K2706" s="21">
        <v>0</v>
      </c>
      <c r="L2706" s="21">
        <v>0</v>
      </c>
      <c r="M2706" s="21">
        <v>0</v>
      </c>
      <c r="N2706" s="21">
        <v>0</v>
      </c>
      <c r="O2706" s="21">
        <v>0</v>
      </c>
      <c r="P2706" s="21">
        <v>0</v>
      </c>
      <c r="Q2706" s="21">
        <v>0</v>
      </c>
      <c r="R2706" s="21">
        <v>0</v>
      </c>
      <c r="S2706" s="21">
        <v>0</v>
      </c>
      <c r="T2706" s="21">
        <v>0</v>
      </c>
      <c r="U2706" s="21">
        <v>0</v>
      </c>
      <c r="V2706" s="21">
        <v>0</v>
      </c>
      <c r="W2706" s="21">
        <v>0</v>
      </c>
      <c r="X2706" s="21">
        <f>T2706/'Record info'!K$1133</f>
        <v>0</v>
      </c>
      <c r="Y2706" s="205" t="s">
        <v>2276</v>
      </c>
      <c r="Z2706" s="205" t="s">
        <v>68</v>
      </c>
      <c r="AA2706" s="205" t="s">
        <v>86</v>
      </c>
      <c r="AB2706" s="205" t="s">
        <v>76</v>
      </c>
      <c r="AC2706" s="205"/>
      <c r="AD2706" s="205"/>
    </row>
    <row r="2707" spans="1:30" ht="29" customHeight="1">
      <c r="A2707" s="19" t="s">
        <v>7456</v>
      </c>
      <c r="B2707" s="19" t="s">
        <v>7509</v>
      </c>
      <c r="C2707" s="205" t="s">
        <v>24</v>
      </c>
      <c r="D2707" s="205" t="s">
        <v>1242</v>
      </c>
      <c r="E2707" s="205" t="s">
        <v>3209</v>
      </c>
      <c r="F2707" s="152" t="s">
        <v>2276</v>
      </c>
      <c r="G2707" s="152" t="s">
        <v>2276</v>
      </c>
      <c r="H2707" s="205" t="s">
        <v>524</v>
      </c>
      <c r="I2707" s="205">
        <v>2007</v>
      </c>
      <c r="J2707" s="21">
        <v>0</v>
      </c>
      <c r="K2707" s="21">
        <v>0</v>
      </c>
      <c r="L2707" s="21">
        <v>0</v>
      </c>
      <c r="M2707" s="21">
        <v>0</v>
      </c>
      <c r="N2707" s="21">
        <v>0</v>
      </c>
      <c r="O2707" s="21">
        <v>0</v>
      </c>
      <c r="P2707" s="21">
        <v>0</v>
      </c>
      <c r="Q2707" s="21">
        <v>0</v>
      </c>
      <c r="R2707" s="21">
        <v>0</v>
      </c>
      <c r="S2707" s="21">
        <v>0</v>
      </c>
      <c r="T2707" s="21">
        <v>0</v>
      </c>
      <c r="U2707" s="21">
        <v>0</v>
      </c>
      <c r="V2707" s="21">
        <v>0</v>
      </c>
      <c r="W2707" s="21">
        <v>0</v>
      </c>
      <c r="X2707" s="21">
        <f>T2707/'Record info'!K$1134</f>
        <v>0</v>
      </c>
      <c r="Y2707" s="205" t="s">
        <v>2276</v>
      </c>
      <c r="Z2707" s="205" t="s">
        <v>68</v>
      </c>
      <c r="AA2707" s="205" t="s">
        <v>86</v>
      </c>
      <c r="AB2707" s="205" t="s">
        <v>76</v>
      </c>
      <c r="AC2707" s="205"/>
      <c r="AD2707" s="205"/>
    </row>
    <row r="2708" spans="1:30" ht="29" customHeight="1">
      <c r="A2708" s="19" t="s">
        <v>7457</v>
      </c>
      <c r="B2708" s="19" t="s">
        <v>7510</v>
      </c>
      <c r="C2708" s="205" t="s">
        <v>24</v>
      </c>
      <c r="D2708" s="205" t="s">
        <v>1242</v>
      </c>
      <c r="E2708" s="205" t="s">
        <v>3209</v>
      </c>
      <c r="F2708" s="152" t="s">
        <v>2276</v>
      </c>
      <c r="G2708" s="152" t="s">
        <v>2276</v>
      </c>
      <c r="H2708" s="205" t="s">
        <v>523</v>
      </c>
      <c r="I2708" s="205">
        <v>2007</v>
      </c>
      <c r="J2708" s="205" t="s">
        <v>2276</v>
      </c>
      <c r="K2708" s="205" t="s">
        <v>2276</v>
      </c>
      <c r="L2708" s="205" t="s">
        <v>2276</v>
      </c>
      <c r="M2708" s="205" t="s">
        <v>2276</v>
      </c>
      <c r="N2708" s="205" t="s">
        <v>2276</v>
      </c>
      <c r="O2708" s="205" t="s">
        <v>2276</v>
      </c>
      <c r="P2708" s="205" t="s">
        <v>2276</v>
      </c>
      <c r="Q2708" s="205" t="s">
        <v>2276</v>
      </c>
      <c r="R2708" s="205" t="s">
        <v>2276</v>
      </c>
      <c r="S2708" s="205" t="s">
        <v>2276</v>
      </c>
      <c r="T2708" s="21">
        <f>550*0.035</f>
        <v>19.250000000000004</v>
      </c>
      <c r="U2708" s="205" t="s">
        <v>2276</v>
      </c>
      <c r="V2708" s="205" t="s">
        <v>2276</v>
      </c>
      <c r="W2708" s="205" t="s">
        <v>2276</v>
      </c>
      <c r="X2708" s="21">
        <f>T2708/'Record info'!K$1135</f>
        <v>3.1739488870568843E-3</v>
      </c>
      <c r="Y2708" s="205" t="s">
        <v>2276</v>
      </c>
      <c r="Z2708" s="205" t="s">
        <v>68</v>
      </c>
      <c r="AA2708" s="205" t="s">
        <v>86</v>
      </c>
      <c r="AB2708" s="205" t="s">
        <v>76</v>
      </c>
      <c r="AC2708" s="205"/>
      <c r="AD2708" s="205"/>
    </row>
    <row r="2709" spans="1:30" ht="29" customHeight="1">
      <c r="A2709" s="19" t="s">
        <v>7458</v>
      </c>
      <c r="B2709" s="19" t="s">
        <v>7511</v>
      </c>
      <c r="C2709" s="205" t="s">
        <v>24</v>
      </c>
      <c r="D2709" s="205" t="s">
        <v>1242</v>
      </c>
      <c r="E2709" s="205" t="s">
        <v>3209</v>
      </c>
      <c r="F2709" s="152" t="s">
        <v>2276</v>
      </c>
      <c r="G2709" s="152" t="s">
        <v>2276</v>
      </c>
      <c r="H2709" s="205" t="s">
        <v>523</v>
      </c>
      <c r="I2709" s="205">
        <v>2007</v>
      </c>
      <c r="J2709" s="205" t="s">
        <v>2276</v>
      </c>
      <c r="K2709" s="205" t="s">
        <v>2276</v>
      </c>
      <c r="L2709" s="205" t="s">
        <v>2276</v>
      </c>
      <c r="M2709" s="205" t="s">
        <v>2276</v>
      </c>
      <c r="N2709" s="205" t="s">
        <v>2276</v>
      </c>
      <c r="O2709" s="205" t="s">
        <v>2276</v>
      </c>
      <c r="P2709" s="205" t="s">
        <v>2276</v>
      </c>
      <c r="Q2709" s="205" t="s">
        <v>2276</v>
      </c>
      <c r="R2709" s="205" t="s">
        <v>2276</v>
      </c>
      <c r="S2709" s="205" t="s">
        <v>2276</v>
      </c>
      <c r="T2709" s="21">
        <f>550*0.079</f>
        <v>43.45</v>
      </c>
      <c r="U2709" s="205" t="s">
        <v>2276</v>
      </c>
      <c r="V2709" s="205" t="s">
        <v>2276</v>
      </c>
      <c r="W2709" s="205" t="s">
        <v>2276</v>
      </c>
      <c r="X2709" s="21">
        <f>T2709/'Record info'!K$1136</f>
        <v>6.50936329588015E-3</v>
      </c>
      <c r="Y2709" s="205" t="s">
        <v>2276</v>
      </c>
      <c r="Z2709" s="205" t="s">
        <v>68</v>
      </c>
      <c r="AA2709" s="205" t="s">
        <v>86</v>
      </c>
      <c r="AB2709" s="205" t="s">
        <v>76</v>
      </c>
      <c r="AC2709" s="205"/>
      <c r="AD2709" s="205"/>
    </row>
    <row r="2710" spans="1:30" ht="29" customHeight="1">
      <c r="A2710" s="19" t="s">
        <v>7459</v>
      </c>
      <c r="B2710" s="19" t="s">
        <v>7512</v>
      </c>
      <c r="C2710" s="205" t="s">
        <v>24</v>
      </c>
      <c r="D2710" s="205" t="s">
        <v>1242</v>
      </c>
      <c r="E2710" s="205" t="s">
        <v>3209</v>
      </c>
      <c r="F2710" s="152" t="s">
        <v>2276</v>
      </c>
      <c r="G2710" s="152" t="s">
        <v>2276</v>
      </c>
      <c r="H2710" s="205" t="s">
        <v>523</v>
      </c>
      <c r="I2710" s="205">
        <v>2007</v>
      </c>
      <c r="J2710" s="205" t="s">
        <v>2276</v>
      </c>
      <c r="K2710" s="205" t="s">
        <v>2276</v>
      </c>
      <c r="L2710" s="205" t="s">
        <v>2276</v>
      </c>
      <c r="M2710" s="205" t="s">
        <v>2276</v>
      </c>
      <c r="N2710" s="205" t="s">
        <v>2276</v>
      </c>
      <c r="O2710" s="205" t="s">
        <v>2276</v>
      </c>
      <c r="P2710" s="205" t="s">
        <v>2276</v>
      </c>
      <c r="Q2710" s="205" t="s">
        <v>2276</v>
      </c>
      <c r="R2710" s="205" t="s">
        <v>2276</v>
      </c>
      <c r="S2710" s="205" t="s">
        <v>2276</v>
      </c>
      <c r="T2710" s="21">
        <f>550*0.132</f>
        <v>72.600000000000009</v>
      </c>
      <c r="U2710" s="205" t="s">
        <v>2276</v>
      </c>
      <c r="V2710" s="205" t="s">
        <v>2276</v>
      </c>
      <c r="W2710" s="205" t="s">
        <v>2276</v>
      </c>
      <c r="X2710" s="21">
        <f>T2710/'Record info'!K$1137</f>
        <v>1.3156940920623417E-2</v>
      </c>
      <c r="Y2710" s="205" t="s">
        <v>2276</v>
      </c>
      <c r="Z2710" s="205" t="s">
        <v>68</v>
      </c>
      <c r="AA2710" s="205" t="s">
        <v>86</v>
      </c>
      <c r="AB2710" s="205" t="s">
        <v>76</v>
      </c>
      <c r="AC2710" s="205"/>
      <c r="AD2710" s="205"/>
    </row>
    <row r="2711" spans="1:30" ht="29" customHeight="1">
      <c r="A2711" s="19" t="s">
        <v>7460</v>
      </c>
      <c r="B2711" s="19" t="s">
        <v>7513</v>
      </c>
      <c r="C2711" s="205" t="s">
        <v>24</v>
      </c>
      <c r="D2711" s="205" t="s">
        <v>1242</v>
      </c>
      <c r="E2711" s="205" t="s">
        <v>3209</v>
      </c>
      <c r="F2711" s="152" t="s">
        <v>2276</v>
      </c>
      <c r="G2711" s="152" t="s">
        <v>2276</v>
      </c>
      <c r="H2711" s="205" t="s">
        <v>523</v>
      </c>
      <c r="I2711" s="205">
        <v>2007</v>
      </c>
      <c r="J2711" s="205" t="s">
        <v>2276</v>
      </c>
      <c r="K2711" s="205" t="s">
        <v>2276</v>
      </c>
      <c r="L2711" s="205" t="s">
        <v>2276</v>
      </c>
      <c r="M2711" s="205" t="s">
        <v>2276</v>
      </c>
      <c r="N2711" s="205" t="s">
        <v>2276</v>
      </c>
      <c r="O2711" s="205" t="s">
        <v>2276</v>
      </c>
      <c r="P2711" s="205" t="s">
        <v>2276</v>
      </c>
      <c r="Q2711" s="205" t="s">
        <v>2276</v>
      </c>
      <c r="R2711" s="205" t="s">
        <v>2276</v>
      </c>
      <c r="S2711" s="205" t="s">
        <v>2276</v>
      </c>
      <c r="T2711" s="21">
        <f>550*0.057</f>
        <v>31.35</v>
      </c>
      <c r="U2711" s="205" t="s">
        <v>2276</v>
      </c>
      <c r="V2711" s="205" t="s">
        <v>2276</v>
      </c>
      <c r="W2711" s="205" t="s">
        <v>2276</v>
      </c>
      <c r="X2711" s="21">
        <f>T2711/'Record info'!K$1138</f>
        <v>7.9427413225234365E-3</v>
      </c>
      <c r="Y2711" s="205" t="s">
        <v>2276</v>
      </c>
      <c r="Z2711" s="205" t="s">
        <v>68</v>
      </c>
      <c r="AA2711" s="205" t="s">
        <v>86</v>
      </c>
      <c r="AB2711" s="205" t="s">
        <v>76</v>
      </c>
      <c r="AC2711" s="205"/>
      <c r="AD2711" s="205"/>
    </row>
    <row r="2712" spans="1:30" ht="29" customHeight="1">
      <c r="A2712" s="19" t="s">
        <v>7461</v>
      </c>
      <c r="B2712" s="19" t="s">
        <v>7514</v>
      </c>
      <c r="C2712" s="205" t="s">
        <v>24</v>
      </c>
      <c r="D2712" s="205" t="s">
        <v>1242</v>
      </c>
      <c r="E2712" s="205" t="s">
        <v>3209</v>
      </c>
      <c r="F2712" s="152" t="s">
        <v>2276</v>
      </c>
      <c r="G2712" s="152" t="s">
        <v>2276</v>
      </c>
      <c r="H2712" s="205" t="s">
        <v>523</v>
      </c>
      <c r="I2712" s="205">
        <v>2007</v>
      </c>
      <c r="J2712" s="205" t="s">
        <v>2276</v>
      </c>
      <c r="K2712" s="205" t="s">
        <v>2276</v>
      </c>
      <c r="L2712" s="205" t="s">
        <v>2276</v>
      </c>
      <c r="M2712" s="205" t="s">
        <v>2276</v>
      </c>
      <c r="N2712" s="205" t="s">
        <v>2276</v>
      </c>
      <c r="O2712" s="205" t="s">
        <v>2276</v>
      </c>
      <c r="P2712" s="205" t="s">
        <v>2276</v>
      </c>
      <c r="Q2712" s="205" t="s">
        <v>2276</v>
      </c>
      <c r="R2712" s="205" t="s">
        <v>2276</v>
      </c>
      <c r="S2712" s="205" t="s">
        <v>2276</v>
      </c>
      <c r="T2712" s="21">
        <f>550*0.024</f>
        <v>13.200000000000001</v>
      </c>
      <c r="U2712" s="205" t="s">
        <v>2276</v>
      </c>
      <c r="V2712" s="205" t="s">
        <v>2276</v>
      </c>
      <c r="W2712" s="205" t="s">
        <v>2276</v>
      </c>
      <c r="X2712" s="21">
        <f>T2712/'Record info'!K$1139</f>
        <v>4.7008547008547015E-3</v>
      </c>
      <c r="Y2712" s="205" t="s">
        <v>2276</v>
      </c>
      <c r="Z2712" s="205" t="s">
        <v>68</v>
      </c>
      <c r="AA2712" s="205" t="s">
        <v>86</v>
      </c>
      <c r="AB2712" s="205" t="s">
        <v>76</v>
      </c>
      <c r="AC2712" s="205"/>
      <c r="AD2712" s="205"/>
    </row>
    <row r="2713" spans="1:30" ht="29" customHeight="1">
      <c r="A2713" s="19" t="s">
        <v>7462</v>
      </c>
      <c r="B2713" s="19" t="s">
        <v>7515</v>
      </c>
      <c r="C2713" s="205" t="s">
        <v>24</v>
      </c>
      <c r="D2713" s="205" t="s">
        <v>1242</v>
      </c>
      <c r="E2713" s="205" t="s">
        <v>3209</v>
      </c>
      <c r="F2713" s="152" t="s">
        <v>2276</v>
      </c>
      <c r="G2713" s="152" t="s">
        <v>2276</v>
      </c>
      <c r="H2713" s="205" t="s">
        <v>523</v>
      </c>
      <c r="I2713" s="205">
        <v>2007</v>
      </c>
      <c r="J2713" s="205" t="s">
        <v>2276</v>
      </c>
      <c r="K2713" s="205" t="s">
        <v>2276</v>
      </c>
      <c r="L2713" s="205" t="s">
        <v>2276</v>
      </c>
      <c r="M2713" s="205" t="s">
        <v>2276</v>
      </c>
      <c r="N2713" s="205" t="s">
        <v>2276</v>
      </c>
      <c r="O2713" s="205" t="s">
        <v>2276</v>
      </c>
      <c r="P2713" s="205" t="s">
        <v>2276</v>
      </c>
      <c r="Q2713" s="205" t="s">
        <v>2276</v>
      </c>
      <c r="R2713" s="205" t="s">
        <v>2276</v>
      </c>
      <c r="S2713" s="205" t="s">
        <v>2276</v>
      </c>
      <c r="T2713" s="21">
        <f>550*0.072</f>
        <v>39.599999999999994</v>
      </c>
      <c r="U2713" s="205" t="s">
        <v>2276</v>
      </c>
      <c r="V2713" s="205" t="s">
        <v>2276</v>
      </c>
      <c r="W2713" s="205" t="s">
        <v>2276</v>
      </c>
      <c r="X2713" s="21">
        <f>T2713/'Record info'!K$1140</f>
        <v>7.9089275014979019E-3</v>
      </c>
      <c r="Y2713" s="205" t="s">
        <v>2276</v>
      </c>
      <c r="Z2713" s="205" t="s">
        <v>68</v>
      </c>
      <c r="AA2713" s="205" t="s">
        <v>86</v>
      </c>
      <c r="AB2713" s="205" t="s">
        <v>76</v>
      </c>
      <c r="AC2713" s="205"/>
      <c r="AD2713" s="205"/>
    </row>
    <row r="2714" spans="1:30" ht="29" customHeight="1">
      <c r="A2714" s="19" t="s">
        <v>7463</v>
      </c>
      <c r="B2714" s="19" t="s">
        <v>7516</v>
      </c>
      <c r="C2714" s="205" t="s">
        <v>24</v>
      </c>
      <c r="D2714" s="205" t="s">
        <v>1242</v>
      </c>
      <c r="E2714" s="205" t="s">
        <v>3209</v>
      </c>
      <c r="F2714" s="152" t="s">
        <v>2276</v>
      </c>
      <c r="G2714" s="152" t="s">
        <v>2276</v>
      </c>
      <c r="H2714" s="205" t="s">
        <v>523</v>
      </c>
      <c r="I2714" s="205">
        <v>2007</v>
      </c>
      <c r="J2714" s="205" t="s">
        <v>2276</v>
      </c>
      <c r="K2714" s="205" t="s">
        <v>2276</v>
      </c>
      <c r="L2714" s="205" t="s">
        <v>2276</v>
      </c>
      <c r="M2714" s="205" t="s">
        <v>2276</v>
      </c>
      <c r="N2714" s="205" t="s">
        <v>2276</v>
      </c>
      <c r="O2714" s="205" t="s">
        <v>2276</v>
      </c>
      <c r="P2714" s="205" t="s">
        <v>2276</v>
      </c>
      <c r="Q2714" s="205" t="s">
        <v>2276</v>
      </c>
      <c r="R2714" s="205" t="s">
        <v>2276</v>
      </c>
      <c r="S2714" s="205" t="s">
        <v>2276</v>
      </c>
      <c r="T2714" s="21">
        <f>550*0.068</f>
        <v>37.400000000000006</v>
      </c>
      <c r="U2714" s="205" t="s">
        <v>2276</v>
      </c>
      <c r="V2714" s="205" t="s">
        <v>2276</v>
      </c>
      <c r="W2714" s="205" t="s">
        <v>2276</v>
      </c>
      <c r="X2714" s="21">
        <f>T2714/'Record info'!K$1141</f>
        <v>3.1856899488926754E-2</v>
      </c>
      <c r="Y2714" s="205" t="s">
        <v>2276</v>
      </c>
      <c r="Z2714" s="205" t="s">
        <v>68</v>
      </c>
      <c r="AA2714" s="205" t="s">
        <v>86</v>
      </c>
      <c r="AB2714" s="205" t="s">
        <v>76</v>
      </c>
      <c r="AC2714" s="205"/>
      <c r="AD2714" s="205"/>
    </row>
    <row r="2715" spans="1:30" ht="29" customHeight="1">
      <c r="A2715" s="19" t="s">
        <v>7464</v>
      </c>
      <c r="B2715" s="19" t="s">
        <v>7517</v>
      </c>
      <c r="C2715" s="205" t="s">
        <v>24</v>
      </c>
      <c r="D2715" s="205" t="s">
        <v>1242</v>
      </c>
      <c r="E2715" s="205" t="s">
        <v>3209</v>
      </c>
      <c r="F2715" s="152" t="s">
        <v>2276</v>
      </c>
      <c r="G2715" s="152" t="s">
        <v>2276</v>
      </c>
      <c r="H2715" s="205" t="s">
        <v>523</v>
      </c>
      <c r="I2715" s="205">
        <v>2007</v>
      </c>
      <c r="J2715" s="205" t="s">
        <v>2276</v>
      </c>
      <c r="K2715" s="205" t="s">
        <v>2276</v>
      </c>
      <c r="L2715" s="205" t="s">
        <v>2276</v>
      </c>
      <c r="M2715" s="205" t="s">
        <v>2276</v>
      </c>
      <c r="N2715" s="205" t="s">
        <v>2276</v>
      </c>
      <c r="O2715" s="205" t="s">
        <v>2276</v>
      </c>
      <c r="P2715" s="205" t="s">
        <v>2276</v>
      </c>
      <c r="Q2715" s="205" t="s">
        <v>2276</v>
      </c>
      <c r="R2715" s="205" t="s">
        <v>2276</v>
      </c>
      <c r="S2715" s="205" t="s">
        <v>2276</v>
      </c>
      <c r="T2715" s="21">
        <f>550*0.075</f>
        <v>41.25</v>
      </c>
      <c r="U2715" s="205" t="s">
        <v>2276</v>
      </c>
      <c r="V2715" s="205" t="s">
        <v>2276</v>
      </c>
      <c r="W2715" s="205" t="s">
        <v>2276</v>
      </c>
      <c r="X2715" s="21">
        <f>T2715/'Record info'!K$1142</f>
        <v>9.5309611829944539E-3</v>
      </c>
      <c r="Y2715" s="205" t="s">
        <v>2276</v>
      </c>
      <c r="Z2715" s="205" t="s">
        <v>68</v>
      </c>
      <c r="AA2715" s="205" t="s">
        <v>86</v>
      </c>
      <c r="AB2715" s="205" t="s">
        <v>76</v>
      </c>
      <c r="AC2715" s="205"/>
      <c r="AD2715" s="205"/>
    </row>
    <row r="2716" spans="1:30" ht="29" customHeight="1">
      <c r="A2716" s="19" t="s">
        <v>7465</v>
      </c>
      <c r="B2716" s="19" t="s">
        <v>7518</v>
      </c>
      <c r="C2716" s="205" t="s">
        <v>24</v>
      </c>
      <c r="D2716" s="205" t="s">
        <v>1242</v>
      </c>
      <c r="E2716" s="205" t="s">
        <v>3209</v>
      </c>
      <c r="F2716" s="152" t="s">
        <v>2276</v>
      </c>
      <c r="G2716" s="152" t="s">
        <v>2276</v>
      </c>
      <c r="H2716" s="205" t="s">
        <v>523</v>
      </c>
      <c r="I2716" s="205">
        <v>2007</v>
      </c>
      <c r="J2716" s="205" t="s">
        <v>2276</v>
      </c>
      <c r="K2716" s="205" t="s">
        <v>2276</v>
      </c>
      <c r="L2716" s="205" t="s">
        <v>2276</v>
      </c>
      <c r="M2716" s="205" t="s">
        <v>2276</v>
      </c>
      <c r="N2716" s="205" t="s">
        <v>2276</v>
      </c>
      <c r="O2716" s="205" t="s">
        <v>2276</v>
      </c>
      <c r="P2716" s="205" t="s">
        <v>2276</v>
      </c>
      <c r="Q2716" s="205" t="s">
        <v>2276</v>
      </c>
      <c r="R2716" s="205" t="s">
        <v>2276</v>
      </c>
      <c r="S2716" s="205" t="s">
        <v>2276</v>
      </c>
      <c r="T2716" s="21">
        <f>550*0.111</f>
        <v>61.050000000000004</v>
      </c>
      <c r="U2716" s="205" t="s">
        <v>2276</v>
      </c>
      <c r="V2716" s="205" t="s">
        <v>2276</v>
      </c>
      <c r="W2716" s="205" t="s">
        <v>2276</v>
      </c>
      <c r="X2716" s="21">
        <f>T2716/'Record info'!K$1143</f>
        <v>2.549060542797495E-2</v>
      </c>
      <c r="Y2716" s="205" t="s">
        <v>2276</v>
      </c>
      <c r="Z2716" s="205" t="s">
        <v>68</v>
      </c>
      <c r="AA2716" s="205" t="s">
        <v>86</v>
      </c>
      <c r="AB2716" s="205" t="s">
        <v>76</v>
      </c>
      <c r="AC2716" s="205"/>
      <c r="AD2716" s="205"/>
    </row>
    <row r="2717" spans="1:30" ht="29" customHeight="1">
      <c r="A2717" s="19" t="s">
        <v>7466</v>
      </c>
      <c r="B2717" s="19" t="s">
        <v>7519</v>
      </c>
      <c r="C2717" s="205" t="s">
        <v>24</v>
      </c>
      <c r="D2717" s="205" t="s">
        <v>1242</v>
      </c>
      <c r="E2717" s="205" t="s">
        <v>3209</v>
      </c>
      <c r="F2717" s="152" t="s">
        <v>2276</v>
      </c>
      <c r="G2717" s="152" t="s">
        <v>2276</v>
      </c>
      <c r="H2717" s="205" t="s">
        <v>523</v>
      </c>
      <c r="I2717" s="205">
        <v>2007</v>
      </c>
      <c r="J2717" s="205" t="s">
        <v>2276</v>
      </c>
      <c r="K2717" s="205" t="s">
        <v>2276</v>
      </c>
      <c r="L2717" s="205" t="s">
        <v>2276</v>
      </c>
      <c r="M2717" s="205" t="s">
        <v>2276</v>
      </c>
      <c r="N2717" s="205" t="s">
        <v>2276</v>
      </c>
      <c r="O2717" s="205" t="s">
        <v>2276</v>
      </c>
      <c r="P2717" s="205" t="s">
        <v>2276</v>
      </c>
      <c r="Q2717" s="205" t="s">
        <v>2276</v>
      </c>
      <c r="R2717" s="205" t="s">
        <v>2276</v>
      </c>
      <c r="S2717" s="205" t="s">
        <v>2276</v>
      </c>
      <c r="T2717" s="21">
        <f>550*0.106</f>
        <v>58.3</v>
      </c>
      <c r="U2717" s="205" t="s">
        <v>2276</v>
      </c>
      <c r="V2717" s="205" t="s">
        <v>2276</v>
      </c>
      <c r="W2717" s="205" t="s">
        <v>2276</v>
      </c>
      <c r="X2717" s="21">
        <f>T2717/'Record info'!K$1144</f>
        <v>2.1810699588477367E-2</v>
      </c>
      <c r="Y2717" s="205" t="s">
        <v>2276</v>
      </c>
      <c r="Z2717" s="205" t="s">
        <v>68</v>
      </c>
      <c r="AA2717" s="205" t="s">
        <v>86</v>
      </c>
      <c r="AB2717" s="205" t="s">
        <v>76</v>
      </c>
      <c r="AC2717" s="205"/>
      <c r="AD2717" s="205"/>
    </row>
    <row r="2718" spans="1:30" ht="29" customHeight="1">
      <c r="A2718" s="19" t="s">
        <v>7467</v>
      </c>
      <c r="B2718" s="19" t="s">
        <v>7520</v>
      </c>
      <c r="C2718" s="205" t="s">
        <v>24</v>
      </c>
      <c r="D2718" s="205" t="s">
        <v>1242</v>
      </c>
      <c r="E2718" s="205" t="s">
        <v>3209</v>
      </c>
      <c r="F2718" s="152" t="s">
        <v>2276</v>
      </c>
      <c r="G2718" s="152" t="s">
        <v>2276</v>
      </c>
      <c r="H2718" s="205" t="s">
        <v>523</v>
      </c>
      <c r="I2718" s="205">
        <v>2007</v>
      </c>
      <c r="J2718" s="205" t="s">
        <v>2276</v>
      </c>
      <c r="K2718" s="205" t="s">
        <v>2276</v>
      </c>
      <c r="L2718" s="205" t="s">
        <v>2276</v>
      </c>
      <c r="M2718" s="205" t="s">
        <v>2276</v>
      </c>
      <c r="N2718" s="205" t="s">
        <v>2276</v>
      </c>
      <c r="O2718" s="205" t="s">
        <v>2276</v>
      </c>
      <c r="P2718" s="205" t="s">
        <v>2276</v>
      </c>
      <c r="Q2718" s="205" t="s">
        <v>2276</v>
      </c>
      <c r="R2718" s="205" t="s">
        <v>2276</v>
      </c>
      <c r="S2718" s="205" t="s">
        <v>2276</v>
      </c>
      <c r="T2718" s="21">
        <f>550*0.166</f>
        <v>91.300000000000011</v>
      </c>
      <c r="U2718" s="205" t="s">
        <v>2276</v>
      </c>
      <c r="V2718" s="205" t="s">
        <v>2276</v>
      </c>
      <c r="W2718" s="205" t="s">
        <v>2276</v>
      </c>
      <c r="X2718" s="21">
        <f>T2718/'Record info'!K$1145</f>
        <v>4.0487804878048789E-2</v>
      </c>
      <c r="Y2718" s="205" t="s">
        <v>2276</v>
      </c>
      <c r="Z2718" s="205" t="s">
        <v>68</v>
      </c>
      <c r="AA2718" s="205" t="s">
        <v>86</v>
      </c>
      <c r="AB2718" s="205" t="s">
        <v>76</v>
      </c>
      <c r="AC2718" s="205"/>
      <c r="AD2718" s="205"/>
    </row>
    <row r="2719" spans="1:30" ht="32" customHeight="1">
      <c r="A2719" s="19" t="s">
        <v>7365</v>
      </c>
      <c r="B2719" s="19" t="s">
        <v>7521</v>
      </c>
      <c r="C2719" s="205" t="s">
        <v>24</v>
      </c>
      <c r="D2719" s="205" t="s">
        <v>1242</v>
      </c>
      <c r="E2719" s="205" t="s">
        <v>3209</v>
      </c>
      <c r="F2719" s="152" t="s">
        <v>2276</v>
      </c>
      <c r="G2719" s="152" t="s">
        <v>2276</v>
      </c>
      <c r="H2719" s="205" t="s">
        <v>523</v>
      </c>
      <c r="I2719" s="205">
        <v>2008</v>
      </c>
      <c r="J2719" s="205" t="s">
        <v>2276</v>
      </c>
      <c r="K2719" s="205" t="s">
        <v>2276</v>
      </c>
      <c r="L2719" s="205" t="s">
        <v>2276</v>
      </c>
      <c r="M2719" s="205" t="s">
        <v>2276</v>
      </c>
      <c r="N2719" s="205" t="s">
        <v>2276</v>
      </c>
      <c r="O2719" s="205" t="s">
        <v>2276</v>
      </c>
      <c r="P2719" s="205" t="s">
        <v>2276</v>
      </c>
      <c r="Q2719" s="205" t="s">
        <v>2276</v>
      </c>
      <c r="R2719" s="205" t="s">
        <v>2276</v>
      </c>
      <c r="S2719" s="205" t="s">
        <v>2276</v>
      </c>
      <c r="T2719" s="21">
        <f>950*0.027</f>
        <v>25.65</v>
      </c>
      <c r="U2719" s="205" t="s">
        <v>2276</v>
      </c>
      <c r="V2719" s="205" t="s">
        <v>2276</v>
      </c>
      <c r="W2719" s="205" t="s">
        <v>2276</v>
      </c>
      <c r="X2719" s="21">
        <f>T2719/'Record info'!K$1128</f>
        <v>9.1607142857142859E-3</v>
      </c>
      <c r="Y2719" s="205" t="s">
        <v>2276</v>
      </c>
      <c r="Z2719" s="205" t="s">
        <v>68</v>
      </c>
      <c r="AA2719" s="205" t="s">
        <v>86</v>
      </c>
      <c r="AB2719" s="205" t="s">
        <v>76</v>
      </c>
      <c r="AC2719" s="205"/>
      <c r="AD2719" s="205"/>
    </row>
    <row r="2720" spans="1:30" ht="32" customHeight="1">
      <c r="A2720" s="19" t="s">
        <v>7451</v>
      </c>
      <c r="B2720" s="19" t="s">
        <v>7522</v>
      </c>
      <c r="C2720" s="205" t="s">
        <v>24</v>
      </c>
      <c r="D2720" s="205" t="s">
        <v>1242</v>
      </c>
      <c r="E2720" s="205" t="s">
        <v>3209</v>
      </c>
      <c r="F2720" s="152" t="s">
        <v>2276</v>
      </c>
      <c r="G2720" s="152" t="s">
        <v>2276</v>
      </c>
      <c r="H2720" s="205" t="s">
        <v>523</v>
      </c>
      <c r="I2720" s="205">
        <v>2008</v>
      </c>
      <c r="J2720" s="205" t="s">
        <v>2276</v>
      </c>
      <c r="K2720" s="205" t="s">
        <v>2276</v>
      </c>
      <c r="L2720" s="205" t="s">
        <v>2276</v>
      </c>
      <c r="M2720" s="205" t="s">
        <v>2276</v>
      </c>
      <c r="N2720" s="205" t="s">
        <v>2276</v>
      </c>
      <c r="O2720" s="205" t="s">
        <v>2276</v>
      </c>
      <c r="P2720" s="205" t="s">
        <v>2276</v>
      </c>
      <c r="Q2720" s="205" t="s">
        <v>2276</v>
      </c>
      <c r="R2720" s="205" t="s">
        <v>2276</v>
      </c>
      <c r="S2720" s="205" t="s">
        <v>2276</v>
      </c>
      <c r="T2720" s="21">
        <f>950*0.041</f>
        <v>38.950000000000003</v>
      </c>
      <c r="U2720" s="205" t="s">
        <v>2276</v>
      </c>
      <c r="V2720" s="205" t="s">
        <v>2276</v>
      </c>
      <c r="W2720" s="205" t="s">
        <v>2276</v>
      </c>
      <c r="X2720" s="21">
        <f>T2720/'Record info'!K$1129</f>
        <v>1.1081081081081082E-2</v>
      </c>
      <c r="Y2720" s="205" t="s">
        <v>2276</v>
      </c>
      <c r="Z2720" s="205" t="s">
        <v>68</v>
      </c>
      <c r="AA2720" s="205" t="s">
        <v>86</v>
      </c>
      <c r="AB2720" s="205" t="s">
        <v>76</v>
      </c>
      <c r="AC2720" s="205"/>
      <c r="AD2720" s="205"/>
    </row>
    <row r="2721" spans="1:30" ht="32" customHeight="1">
      <c r="A2721" s="19" t="s">
        <v>7452</v>
      </c>
      <c r="B2721" s="19" t="s">
        <v>7523</v>
      </c>
      <c r="C2721" s="205" t="s">
        <v>24</v>
      </c>
      <c r="D2721" s="205" t="s">
        <v>1242</v>
      </c>
      <c r="E2721" s="205" t="s">
        <v>3209</v>
      </c>
      <c r="F2721" s="152" t="s">
        <v>2276</v>
      </c>
      <c r="G2721" s="152" t="s">
        <v>2276</v>
      </c>
      <c r="H2721" s="205" t="s">
        <v>523</v>
      </c>
      <c r="I2721" s="205">
        <v>2008</v>
      </c>
      <c r="J2721" s="205" t="s">
        <v>2276</v>
      </c>
      <c r="K2721" s="205" t="s">
        <v>2276</v>
      </c>
      <c r="L2721" s="205" t="s">
        <v>2276</v>
      </c>
      <c r="M2721" s="205" t="s">
        <v>2276</v>
      </c>
      <c r="N2721" s="205" t="s">
        <v>2276</v>
      </c>
      <c r="O2721" s="205" t="s">
        <v>2276</v>
      </c>
      <c r="P2721" s="205" t="s">
        <v>2276</v>
      </c>
      <c r="Q2721" s="205" t="s">
        <v>2276</v>
      </c>
      <c r="R2721" s="205" t="s">
        <v>2276</v>
      </c>
      <c r="S2721" s="205" t="s">
        <v>2276</v>
      </c>
      <c r="T2721" s="21">
        <f>950*0.004</f>
        <v>3.8000000000000003</v>
      </c>
      <c r="U2721" s="205" t="s">
        <v>2276</v>
      </c>
      <c r="V2721" s="205" t="s">
        <v>2276</v>
      </c>
      <c r="W2721" s="205" t="s">
        <v>2276</v>
      </c>
      <c r="X2721" s="21">
        <f>T2721/'Record info'!K$1130</f>
        <v>5.6321327997628577E-4</v>
      </c>
      <c r="Y2721" s="205" t="s">
        <v>2276</v>
      </c>
      <c r="Z2721" s="205" t="s">
        <v>68</v>
      </c>
      <c r="AA2721" s="205" t="s">
        <v>86</v>
      </c>
      <c r="AB2721" s="205" t="s">
        <v>76</v>
      </c>
      <c r="AC2721" s="205"/>
      <c r="AD2721" s="205"/>
    </row>
    <row r="2722" spans="1:30" ht="32" customHeight="1">
      <c r="A2722" s="19" t="s">
        <v>7453</v>
      </c>
      <c r="B2722" s="19" t="s">
        <v>7524</v>
      </c>
      <c r="C2722" s="205" t="s">
        <v>24</v>
      </c>
      <c r="D2722" s="205" t="s">
        <v>1242</v>
      </c>
      <c r="E2722" s="205" t="s">
        <v>3209</v>
      </c>
      <c r="F2722" s="152" t="s">
        <v>2276</v>
      </c>
      <c r="G2722" s="152" t="s">
        <v>2276</v>
      </c>
      <c r="H2722" s="205" t="s">
        <v>523</v>
      </c>
      <c r="I2722" s="205">
        <v>2008</v>
      </c>
      <c r="J2722" s="205" t="s">
        <v>2276</v>
      </c>
      <c r="K2722" s="205" t="s">
        <v>2276</v>
      </c>
      <c r="L2722" s="205" t="s">
        <v>2276</v>
      </c>
      <c r="M2722" s="205" t="s">
        <v>2276</v>
      </c>
      <c r="N2722" s="205" t="s">
        <v>2276</v>
      </c>
      <c r="O2722" s="205" t="s">
        <v>2276</v>
      </c>
      <c r="P2722" s="205" t="s">
        <v>2276</v>
      </c>
      <c r="Q2722" s="205" t="s">
        <v>2276</v>
      </c>
      <c r="R2722" s="205" t="s">
        <v>2276</v>
      </c>
      <c r="S2722" s="205" t="s">
        <v>2276</v>
      </c>
      <c r="T2722" s="21">
        <f>950*0.004</f>
        <v>3.8000000000000003</v>
      </c>
      <c r="U2722" s="205" t="s">
        <v>2276</v>
      </c>
      <c r="V2722" s="205" t="s">
        <v>2276</v>
      </c>
      <c r="W2722" s="205" t="s">
        <v>2276</v>
      </c>
      <c r="X2722" s="21">
        <f>T2722/'Record info'!K$1131</f>
        <v>7.50394944707741E-4</v>
      </c>
      <c r="Y2722" s="205" t="s">
        <v>2276</v>
      </c>
      <c r="Z2722" s="205" t="s">
        <v>68</v>
      </c>
      <c r="AA2722" s="205" t="s">
        <v>86</v>
      </c>
      <c r="AB2722" s="205" t="s">
        <v>76</v>
      </c>
      <c r="AC2722" s="205"/>
      <c r="AD2722" s="205"/>
    </row>
    <row r="2723" spans="1:30" ht="32" customHeight="1">
      <c r="A2723" s="19" t="s">
        <v>7454</v>
      </c>
      <c r="B2723" s="19" t="s">
        <v>7525</v>
      </c>
      <c r="C2723" s="205" t="s">
        <v>24</v>
      </c>
      <c r="D2723" s="205" t="s">
        <v>1242</v>
      </c>
      <c r="E2723" s="205" t="s">
        <v>3209</v>
      </c>
      <c r="F2723" s="152" t="s">
        <v>2276</v>
      </c>
      <c r="G2723" s="152" t="s">
        <v>2276</v>
      </c>
      <c r="H2723" s="205" t="s">
        <v>524</v>
      </c>
      <c r="I2723" s="205">
        <v>2008</v>
      </c>
      <c r="J2723" s="21">
        <v>0</v>
      </c>
      <c r="K2723" s="21">
        <v>0</v>
      </c>
      <c r="L2723" s="21">
        <v>0</v>
      </c>
      <c r="M2723" s="21">
        <v>0</v>
      </c>
      <c r="N2723" s="21">
        <v>0</v>
      </c>
      <c r="O2723" s="21">
        <v>0</v>
      </c>
      <c r="P2723" s="21">
        <v>0</v>
      </c>
      <c r="Q2723" s="21">
        <v>0</v>
      </c>
      <c r="R2723" s="21">
        <v>0</v>
      </c>
      <c r="S2723" s="21">
        <v>0</v>
      </c>
      <c r="T2723" s="21">
        <v>0</v>
      </c>
      <c r="U2723" s="21">
        <v>0</v>
      </c>
      <c r="V2723" s="21">
        <v>0</v>
      </c>
      <c r="W2723" s="21">
        <v>0</v>
      </c>
      <c r="X2723" s="21">
        <f>T2723/'Record info'!K$1132</f>
        <v>0</v>
      </c>
      <c r="Y2723" s="205" t="s">
        <v>2276</v>
      </c>
      <c r="Z2723" s="205" t="s">
        <v>68</v>
      </c>
      <c r="AA2723" s="205" t="s">
        <v>86</v>
      </c>
      <c r="AB2723" s="205" t="s">
        <v>76</v>
      </c>
      <c r="AC2723" s="205"/>
      <c r="AD2723" s="205"/>
    </row>
    <row r="2724" spans="1:30" ht="32" customHeight="1">
      <c r="A2724" s="19" t="s">
        <v>7455</v>
      </c>
      <c r="B2724" s="19" t="s">
        <v>7526</v>
      </c>
      <c r="C2724" s="205" t="s">
        <v>24</v>
      </c>
      <c r="D2724" s="205" t="s">
        <v>1242</v>
      </c>
      <c r="E2724" s="205" t="s">
        <v>3209</v>
      </c>
      <c r="F2724" s="152" t="s">
        <v>2276</v>
      </c>
      <c r="G2724" s="152" t="s">
        <v>2276</v>
      </c>
      <c r="H2724" s="205" t="s">
        <v>524</v>
      </c>
      <c r="I2724" s="205">
        <v>2008</v>
      </c>
      <c r="J2724" s="21">
        <v>0</v>
      </c>
      <c r="K2724" s="21">
        <v>0</v>
      </c>
      <c r="L2724" s="21">
        <v>0</v>
      </c>
      <c r="M2724" s="21">
        <v>0</v>
      </c>
      <c r="N2724" s="21">
        <v>0</v>
      </c>
      <c r="O2724" s="21">
        <v>0</v>
      </c>
      <c r="P2724" s="21">
        <v>0</v>
      </c>
      <c r="Q2724" s="21">
        <v>0</v>
      </c>
      <c r="R2724" s="21">
        <v>0</v>
      </c>
      <c r="S2724" s="21">
        <v>0</v>
      </c>
      <c r="T2724" s="21">
        <v>0</v>
      </c>
      <c r="U2724" s="21">
        <v>0</v>
      </c>
      <c r="V2724" s="21">
        <v>0</v>
      </c>
      <c r="W2724" s="21">
        <v>0</v>
      </c>
      <c r="X2724" s="21">
        <f>T2724/'Record info'!K$1133</f>
        <v>0</v>
      </c>
      <c r="Y2724" s="205" t="s">
        <v>2276</v>
      </c>
      <c r="Z2724" s="205" t="s">
        <v>68</v>
      </c>
      <c r="AA2724" s="205" t="s">
        <v>86</v>
      </c>
      <c r="AB2724" s="205" t="s">
        <v>76</v>
      </c>
      <c r="AC2724" s="205"/>
      <c r="AD2724" s="205"/>
    </row>
    <row r="2725" spans="1:30" ht="32" customHeight="1">
      <c r="A2725" s="19" t="s">
        <v>7456</v>
      </c>
      <c r="B2725" s="19" t="s">
        <v>7527</v>
      </c>
      <c r="C2725" s="205" t="s">
        <v>24</v>
      </c>
      <c r="D2725" s="205" t="s">
        <v>1242</v>
      </c>
      <c r="E2725" s="205" t="s">
        <v>3209</v>
      </c>
      <c r="F2725" s="152" t="s">
        <v>2276</v>
      </c>
      <c r="G2725" s="152" t="s">
        <v>2276</v>
      </c>
      <c r="H2725" s="205" t="s">
        <v>524</v>
      </c>
      <c r="I2725" s="205">
        <v>2008</v>
      </c>
      <c r="J2725" s="21">
        <v>0</v>
      </c>
      <c r="K2725" s="21">
        <v>0</v>
      </c>
      <c r="L2725" s="21">
        <v>0</v>
      </c>
      <c r="M2725" s="21">
        <v>0</v>
      </c>
      <c r="N2725" s="21">
        <v>0</v>
      </c>
      <c r="O2725" s="21">
        <v>0</v>
      </c>
      <c r="P2725" s="21">
        <v>0</v>
      </c>
      <c r="Q2725" s="21">
        <v>0</v>
      </c>
      <c r="R2725" s="21">
        <v>0</v>
      </c>
      <c r="S2725" s="21">
        <v>0</v>
      </c>
      <c r="T2725" s="21">
        <v>0</v>
      </c>
      <c r="U2725" s="21">
        <v>0</v>
      </c>
      <c r="V2725" s="21">
        <v>0</v>
      </c>
      <c r="W2725" s="21">
        <v>0</v>
      </c>
      <c r="X2725" s="21">
        <f>T2725/'Record info'!K$1134</f>
        <v>0</v>
      </c>
      <c r="Y2725" s="205" t="s">
        <v>2276</v>
      </c>
      <c r="Z2725" s="205" t="s">
        <v>68</v>
      </c>
      <c r="AA2725" s="205" t="s">
        <v>86</v>
      </c>
      <c r="AB2725" s="205" t="s">
        <v>76</v>
      </c>
      <c r="AC2725" s="205"/>
      <c r="AD2725" s="205"/>
    </row>
    <row r="2726" spans="1:30" ht="32" customHeight="1">
      <c r="A2726" s="19" t="s">
        <v>7457</v>
      </c>
      <c r="B2726" s="19" t="s">
        <v>7528</v>
      </c>
      <c r="C2726" s="205" t="s">
        <v>24</v>
      </c>
      <c r="D2726" s="205" t="s">
        <v>1242</v>
      </c>
      <c r="E2726" s="205" t="s">
        <v>3209</v>
      </c>
      <c r="F2726" s="152" t="s">
        <v>2276</v>
      </c>
      <c r="G2726" s="152" t="s">
        <v>2276</v>
      </c>
      <c r="H2726" s="205" t="s">
        <v>523</v>
      </c>
      <c r="I2726" s="205">
        <v>2008</v>
      </c>
      <c r="J2726" s="205" t="s">
        <v>2276</v>
      </c>
      <c r="K2726" s="205" t="s">
        <v>2276</v>
      </c>
      <c r="L2726" s="205" t="s">
        <v>2276</v>
      </c>
      <c r="M2726" s="205" t="s">
        <v>2276</v>
      </c>
      <c r="N2726" s="205" t="s">
        <v>2276</v>
      </c>
      <c r="O2726" s="205" t="s">
        <v>2276</v>
      </c>
      <c r="P2726" s="205" t="s">
        <v>2276</v>
      </c>
      <c r="Q2726" s="205" t="s">
        <v>2276</v>
      </c>
      <c r="R2726" s="205" t="s">
        <v>2276</v>
      </c>
      <c r="S2726" s="205" t="s">
        <v>2276</v>
      </c>
      <c r="T2726" s="21">
        <f>950*0.035</f>
        <v>33.25</v>
      </c>
      <c r="U2726" s="205" t="s">
        <v>2276</v>
      </c>
      <c r="V2726" s="205" t="s">
        <v>2276</v>
      </c>
      <c r="W2726" s="205" t="s">
        <v>2276</v>
      </c>
      <c r="X2726" s="21">
        <f>T2726/'Record info'!K$1135</f>
        <v>5.4822753503709814E-3</v>
      </c>
      <c r="Y2726" s="205" t="s">
        <v>2276</v>
      </c>
      <c r="Z2726" s="205" t="s">
        <v>68</v>
      </c>
      <c r="AA2726" s="205" t="s">
        <v>86</v>
      </c>
      <c r="AB2726" s="205" t="s">
        <v>76</v>
      </c>
      <c r="AC2726" s="205"/>
      <c r="AD2726" s="205"/>
    </row>
    <row r="2727" spans="1:30" ht="32" customHeight="1">
      <c r="A2727" s="19" t="s">
        <v>7458</v>
      </c>
      <c r="B2727" s="19" t="s">
        <v>7529</v>
      </c>
      <c r="C2727" s="205" t="s">
        <v>24</v>
      </c>
      <c r="D2727" s="205" t="s">
        <v>1242</v>
      </c>
      <c r="E2727" s="205" t="s">
        <v>3209</v>
      </c>
      <c r="F2727" s="152" t="s">
        <v>2276</v>
      </c>
      <c r="G2727" s="152" t="s">
        <v>2276</v>
      </c>
      <c r="H2727" s="205" t="s">
        <v>523</v>
      </c>
      <c r="I2727" s="205">
        <v>2008</v>
      </c>
      <c r="J2727" s="205" t="s">
        <v>2276</v>
      </c>
      <c r="K2727" s="205" t="s">
        <v>2276</v>
      </c>
      <c r="L2727" s="205" t="s">
        <v>2276</v>
      </c>
      <c r="M2727" s="205" t="s">
        <v>2276</v>
      </c>
      <c r="N2727" s="205" t="s">
        <v>2276</v>
      </c>
      <c r="O2727" s="205" t="s">
        <v>2276</v>
      </c>
      <c r="P2727" s="205" t="s">
        <v>2276</v>
      </c>
      <c r="Q2727" s="205" t="s">
        <v>2276</v>
      </c>
      <c r="R2727" s="205" t="s">
        <v>2276</v>
      </c>
      <c r="S2727" s="205" t="s">
        <v>2276</v>
      </c>
      <c r="T2727" s="21">
        <f>950*0.079</f>
        <v>75.05</v>
      </c>
      <c r="U2727" s="205" t="s">
        <v>2276</v>
      </c>
      <c r="V2727" s="205" t="s">
        <v>2276</v>
      </c>
      <c r="W2727" s="205" t="s">
        <v>2276</v>
      </c>
      <c r="X2727" s="21">
        <f>T2727/'Record info'!K$1136</f>
        <v>1.1243445692883894E-2</v>
      </c>
      <c r="Y2727" s="205" t="s">
        <v>2276</v>
      </c>
      <c r="Z2727" s="205" t="s">
        <v>68</v>
      </c>
      <c r="AA2727" s="205" t="s">
        <v>86</v>
      </c>
      <c r="AB2727" s="205" t="s">
        <v>76</v>
      </c>
      <c r="AC2727" s="205"/>
      <c r="AD2727" s="205"/>
    </row>
    <row r="2728" spans="1:30" ht="32" customHeight="1">
      <c r="A2728" s="19" t="s">
        <v>7459</v>
      </c>
      <c r="B2728" s="19" t="s">
        <v>7530</v>
      </c>
      <c r="C2728" s="205" t="s">
        <v>24</v>
      </c>
      <c r="D2728" s="205" t="s">
        <v>1242</v>
      </c>
      <c r="E2728" s="205" t="s">
        <v>3209</v>
      </c>
      <c r="F2728" s="152" t="s">
        <v>2276</v>
      </c>
      <c r="G2728" s="152" t="s">
        <v>2276</v>
      </c>
      <c r="H2728" s="205" t="s">
        <v>523</v>
      </c>
      <c r="I2728" s="205">
        <v>2008</v>
      </c>
      <c r="J2728" s="205" t="s">
        <v>2276</v>
      </c>
      <c r="K2728" s="205" t="s">
        <v>2276</v>
      </c>
      <c r="L2728" s="205" t="s">
        <v>2276</v>
      </c>
      <c r="M2728" s="205" t="s">
        <v>2276</v>
      </c>
      <c r="N2728" s="205" t="s">
        <v>2276</v>
      </c>
      <c r="O2728" s="205" t="s">
        <v>2276</v>
      </c>
      <c r="P2728" s="205" t="s">
        <v>2276</v>
      </c>
      <c r="Q2728" s="205" t="s">
        <v>2276</v>
      </c>
      <c r="R2728" s="205" t="s">
        <v>2276</v>
      </c>
      <c r="S2728" s="205" t="s">
        <v>2276</v>
      </c>
      <c r="T2728" s="21">
        <f>950*0.132</f>
        <v>125.4</v>
      </c>
      <c r="U2728" s="205" t="s">
        <v>2276</v>
      </c>
      <c r="V2728" s="205" t="s">
        <v>2276</v>
      </c>
      <c r="W2728" s="205" t="s">
        <v>2276</v>
      </c>
      <c r="X2728" s="21">
        <f>T2728/'Record info'!K$1137</f>
        <v>2.2725625226531352E-2</v>
      </c>
      <c r="Y2728" s="205" t="s">
        <v>2276</v>
      </c>
      <c r="Z2728" s="205" t="s">
        <v>68</v>
      </c>
      <c r="AA2728" s="205" t="s">
        <v>86</v>
      </c>
      <c r="AB2728" s="205" t="s">
        <v>76</v>
      </c>
      <c r="AC2728" s="205"/>
      <c r="AD2728" s="205"/>
    </row>
    <row r="2729" spans="1:30" ht="32" customHeight="1">
      <c r="A2729" s="19" t="s">
        <v>7460</v>
      </c>
      <c r="B2729" s="19" t="s">
        <v>7531</v>
      </c>
      <c r="C2729" s="205" t="s">
        <v>24</v>
      </c>
      <c r="D2729" s="205" t="s">
        <v>1242</v>
      </c>
      <c r="E2729" s="205" t="s">
        <v>3209</v>
      </c>
      <c r="F2729" s="152" t="s">
        <v>2276</v>
      </c>
      <c r="G2729" s="152" t="s">
        <v>2276</v>
      </c>
      <c r="H2729" s="205" t="s">
        <v>523</v>
      </c>
      <c r="I2729" s="205">
        <v>2008</v>
      </c>
      <c r="J2729" s="205" t="s">
        <v>2276</v>
      </c>
      <c r="K2729" s="205" t="s">
        <v>2276</v>
      </c>
      <c r="L2729" s="205" t="s">
        <v>2276</v>
      </c>
      <c r="M2729" s="205" t="s">
        <v>2276</v>
      </c>
      <c r="N2729" s="205" t="s">
        <v>2276</v>
      </c>
      <c r="O2729" s="205" t="s">
        <v>2276</v>
      </c>
      <c r="P2729" s="205" t="s">
        <v>2276</v>
      </c>
      <c r="Q2729" s="205" t="s">
        <v>2276</v>
      </c>
      <c r="R2729" s="205" t="s">
        <v>2276</v>
      </c>
      <c r="S2729" s="205" t="s">
        <v>2276</v>
      </c>
      <c r="T2729" s="21">
        <f>950*0.057</f>
        <v>54.15</v>
      </c>
      <c r="U2729" s="205" t="s">
        <v>2276</v>
      </c>
      <c r="V2729" s="205" t="s">
        <v>2276</v>
      </c>
      <c r="W2729" s="205" t="s">
        <v>2276</v>
      </c>
      <c r="X2729" s="21">
        <f>T2729/'Record info'!K$1138</f>
        <v>1.3719280466176842E-2</v>
      </c>
      <c r="Y2729" s="205" t="s">
        <v>2276</v>
      </c>
      <c r="Z2729" s="205" t="s">
        <v>68</v>
      </c>
      <c r="AA2729" s="205" t="s">
        <v>86</v>
      </c>
      <c r="AB2729" s="205" t="s">
        <v>76</v>
      </c>
      <c r="AC2729" s="205"/>
      <c r="AD2729" s="205"/>
    </row>
    <row r="2730" spans="1:30" ht="32" customHeight="1">
      <c r="A2730" s="19" t="s">
        <v>7461</v>
      </c>
      <c r="B2730" s="19" t="s">
        <v>7532</v>
      </c>
      <c r="C2730" s="205" t="s">
        <v>24</v>
      </c>
      <c r="D2730" s="205" t="s">
        <v>1242</v>
      </c>
      <c r="E2730" s="205" t="s">
        <v>3209</v>
      </c>
      <c r="F2730" s="152" t="s">
        <v>2276</v>
      </c>
      <c r="G2730" s="152" t="s">
        <v>2276</v>
      </c>
      <c r="H2730" s="205" t="s">
        <v>523</v>
      </c>
      <c r="I2730" s="205">
        <v>2008</v>
      </c>
      <c r="J2730" s="205" t="s">
        <v>2276</v>
      </c>
      <c r="K2730" s="205" t="s">
        <v>2276</v>
      </c>
      <c r="L2730" s="205" t="s">
        <v>2276</v>
      </c>
      <c r="M2730" s="205" t="s">
        <v>2276</v>
      </c>
      <c r="N2730" s="205" t="s">
        <v>2276</v>
      </c>
      <c r="O2730" s="205" t="s">
        <v>2276</v>
      </c>
      <c r="P2730" s="205" t="s">
        <v>2276</v>
      </c>
      <c r="Q2730" s="205" t="s">
        <v>2276</v>
      </c>
      <c r="R2730" s="205" t="s">
        <v>2276</v>
      </c>
      <c r="S2730" s="205" t="s">
        <v>2276</v>
      </c>
      <c r="T2730" s="21">
        <f>950*0.024</f>
        <v>22.8</v>
      </c>
      <c r="U2730" s="205" t="s">
        <v>2276</v>
      </c>
      <c r="V2730" s="205" t="s">
        <v>2276</v>
      </c>
      <c r="W2730" s="205" t="s">
        <v>2276</v>
      </c>
      <c r="X2730" s="21">
        <f>T2730/'Record info'!K$1139</f>
        <v>8.1196581196581203E-3</v>
      </c>
      <c r="Y2730" s="205" t="s">
        <v>2276</v>
      </c>
      <c r="Z2730" s="205" t="s">
        <v>68</v>
      </c>
      <c r="AA2730" s="205" t="s">
        <v>86</v>
      </c>
      <c r="AB2730" s="205" t="s">
        <v>76</v>
      </c>
      <c r="AC2730" s="205"/>
      <c r="AD2730" s="205"/>
    </row>
    <row r="2731" spans="1:30" ht="32" customHeight="1">
      <c r="A2731" s="19" t="s">
        <v>7462</v>
      </c>
      <c r="B2731" s="19" t="s">
        <v>7533</v>
      </c>
      <c r="C2731" s="205" t="s">
        <v>24</v>
      </c>
      <c r="D2731" s="205" t="s">
        <v>1242</v>
      </c>
      <c r="E2731" s="205" t="s">
        <v>3209</v>
      </c>
      <c r="F2731" s="152" t="s">
        <v>2276</v>
      </c>
      <c r="G2731" s="152" t="s">
        <v>2276</v>
      </c>
      <c r="H2731" s="205" t="s">
        <v>523</v>
      </c>
      <c r="I2731" s="205">
        <v>2008</v>
      </c>
      <c r="J2731" s="205" t="s">
        <v>2276</v>
      </c>
      <c r="K2731" s="205" t="s">
        <v>2276</v>
      </c>
      <c r="L2731" s="205" t="s">
        <v>2276</v>
      </c>
      <c r="M2731" s="205" t="s">
        <v>2276</v>
      </c>
      <c r="N2731" s="205" t="s">
        <v>2276</v>
      </c>
      <c r="O2731" s="205" t="s">
        <v>2276</v>
      </c>
      <c r="P2731" s="205" t="s">
        <v>2276</v>
      </c>
      <c r="Q2731" s="205" t="s">
        <v>2276</v>
      </c>
      <c r="R2731" s="205" t="s">
        <v>2276</v>
      </c>
      <c r="S2731" s="205" t="s">
        <v>2276</v>
      </c>
      <c r="T2731" s="21">
        <f>950*0.072</f>
        <v>68.399999999999991</v>
      </c>
      <c r="U2731" s="205" t="s">
        <v>2276</v>
      </c>
      <c r="V2731" s="205" t="s">
        <v>2276</v>
      </c>
      <c r="W2731" s="205" t="s">
        <v>2276</v>
      </c>
      <c r="X2731" s="21">
        <f>T2731/'Record info'!K$1140</f>
        <v>1.3660874775314557E-2</v>
      </c>
      <c r="Y2731" s="205" t="s">
        <v>2276</v>
      </c>
      <c r="Z2731" s="205" t="s">
        <v>68</v>
      </c>
      <c r="AA2731" s="205" t="s">
        <v>86</v>
      </c>
      <c r="AB2731" s="205" t="s">
        <v>76</v>
      </c>
      <c r="AC2731" s="205"/>
      <c r="AD2731" s="205"/>
    </row>
    <row r="2732" spans="1:30" ht="32" customHeight="1">
      <c r="A2732" s="19" t="s">
        <v>7463</v>
      </c>
      <c r="B2732" s="19" t="s">
        <v>7534</v>
      </c>
      <c r="C2732" s="205" t="s">
        <v>24</v>
      </c>
      <c r="D2732" s="205" t="s">
        <v>1242</v>
      </c>
      <c r="E2732" s="205" t="s">
        <v>3209</v>
      </c>
      <c r="F2732" s="152" t="s">
        <v>2276</v>
      </c>
      <c r="G2732" s="152" t="s">
        <v>2276</v>
      </c>
      <c r="H2732" s="205" t="s">
        <v>523</v>
      </c>
      <c r="I2732" s="205">
        <v>2008</v>
      </c>
      <c r="J2732" s="205" t="s">
        <v>2276</v>
      </c>
      <c r="K2732" s="205" t="s">
        <v>2276</v>
      </c>
      <c r="L2732" s="205" t="s">
        <v>2276</v>
      </c>
      <c r="M2732" s="205" t="s">
        <v>2276</v>
      </c>
      <c r="N2732" s="205" t="s">
        <v>2276</v>
      </c>
      <c r="O2732" s="205" t="s">
        <v>2276</v>
      </c>
      <c r="P2732" s="205" t="s">
        <v>2276</v>
      </c>
      <c r="Q2732" s="205" t="s">
        <v>2276</v>
      </c>
      <c r="R2732" s="205" t="s">
        <v>2276</v>
      </c>
      <c r="S2732" s="205" t="s">
        <v>2276</v>
      </c>
      <c r="T2732" s="21">
        <f>950*0.068</f>
        <v>64.600000000000009</v>
      </c>
      <c r="U2732" s="205" t="s">
        <v>2276</v>
      </c>
      <c r="V2732" s="205" t="s">
        <v>2276</v>
      </c>
      <c r="W2732" s="205" t="s">
        <v>2276</v>
      </c>
      <c r="X2732" s="21">
        <f>T2732/'Record info'!K$1141</f>
        <v>5.5025553662691656E-2</v>
      </c>
      <c r="Y2732" s="205" t="s">
        <v>2276</v>
      </c>
      <c r="Z2732" s="205" t="s">
        <v>68</v>
      </c>
      <c r="AA2732" s="205" t="s">
        <v>86</v>
      </c>
      <c r="AB2732" s="205" t="s">
        <v>76</v>
      </c>
      <c r="AC2732" s="205"/>
      <c r="AD2732" s="205"/>
    </row>
    <row r="2733" spans="1:30" ht="32" customHeight="1">
      <c r="A2733" s="19" t="s">
        <v>7464</v>
      </c>
      <c r="B2733" s="19" t="s">
        <v>7535</v>
      </c>
      <c r="C2733" s="205" t="s">
        <v>24</v>
      </c>
      <c r="D2733" s="205" t="s">
        <v>1242</v>
      </c>
      <c r="E2733" s="205" t="s">
        <v>3209</v>
      </c>
      <c r="F2733" s="152" t="s">
        <v>2276</v>
      </c>
      <c r="G2733" s="152" t="s">
        <v>2276</v>
      </c>
      <c r="H2733" s="205" t="s">
        <v>523</v>
      </c>
      <c r="I2733" s="205">
        <v>2008</v>
      </c>
      <c r="J2733" s="205" t="s">
        <v>2276</v>
      </c>
      <c r="K2733" s="205" t="s">
        <v>2276</v>
      </c>
      <c r="L2733" s="205" t="s">
        <v>2276</v>
      </c>
      <c r="M2733" s="205" t="s">
        <v>2276</v>
      </c>
      <c r="N2733" s="205" t="s">
        <v>2276</v>
      </c>
      <c r="O2733" s="205" t="s">
        <v>2276</v>
      </c>
      <c r="P2733" s="205" t="s">
        <v>2276</v>
      </c>
      <c r="Q2733" s="205" t="s">
        <v>2276</v>
      </c>
      <c r="R2733" s="205" t="s">
        <v>2276</v>
      </c>
      <c r="S2733" s="205" t="s">
        <v>2276</v>
      </c>
      <c r="T2733" s="21">
        <f>950*0.075</f>
        <v>71.25</v>
      </c>
      <c r="U2733" s="205" t="s">
        <v>2276</v>
      </c>
      <c r="V2733" s="205" t="s">
        <v>2276</v>
      </c>
      <c r="W2733" s="205" t="s">
        <v>2276</v>
      </c>
      <c r="X2733" s="21">
        <f>T2733/'Record info'!K$1142</f>
        <v>1.6462569316081331E-2</v>
      </c>
      <c r="Y2733" s="205" t="s">
        <v>2276</v>
      </c>
      <c r="Z2733" s="205" t="s">
        <v>68</v>
      </c>
      <c r="AA2733" s="205" t="s">
        <v>86</v>
      </c>
      <c r="AB2733" s="205" t="s">
        <v>76</v>
      </c>
      <c r="AC2733" s="205"/>
      <c r="AD2733" s="205"/>
    </row>
    <row r="2734" spans="1:30" ht="32" customHeight="1">
      <c r="A2734" s="19" t="s">
        <v>7465</v>
      </c>
      <c r="B2734" s="19" t="s">
        <v>7536</v>
      </c>
      <c r="C2734" s="205" t="s">
        <v>24</v>
      </c>
      <c r="D2734" s="205" t="s">
        <v>1242</v>
      </c>
      <c r="E2734" s="205" t="s">
        <v>3209</v>
      </c>
      <c r="F2734" s="152" t="s">
        <v>2276</v>
      </c>
      <c r="G2734" s="152" t="s">
        <v>2276</v>
      </c>
      <c r="H2734" s="205" t="s">
        <v>523</v>
      </c>
      <c r="I2734" s="205">
        <v>2008</v>
      </c>
      <c r="J2734" s="205" t="s">
        <v>2276</v>
      </c>
      <c r="K2734" s="205" t="s">
        <v>2276</v>
      </c>
      <c r="L2734" s="205" t="s">
        <v>2276</v>
      </c>
      <c r="M2734" s="205" t="s">
        <v>2276</v>
      </c>
      <c r="N2734" s="205" t="s">
        <v>2276</v>
      </c>
      <c r="O2734" s="205" t="s">
        <v>2276</v>
      </c>
      <c r="P2734" s="205" t="s">
        <v>2276</v>
      </c>
      <c r="Q2734" s="205" t="s">
        <v>2276</v>
      </c>
      <c r="R2734" s="205" t="s">
        <v>2276</v>
      </c>
      <c r="S2734" s="205" t="s">
        <v>2276</v>
      </c>
      <c r="T2734" s="21">
        <f>950*0.111</f>
        <v>105.45</v>
      </c>
      <c r="U2734" s="205" t="s">
        <v>2276</v>
      </c>
      <c r="V2734" s="205" t="s">
        <v>2276</v>
      </c>
      <c r="W2734" s="205" t="s">
        <v>2276</v>
      </c>
      <c r="X2734" s="21">
        <f>T2734/'Record info'!K$1143</f>
        <v>4.4029227557411274E-2</v>
      </c>
      <c r="Y2734" s="205" t="s">
        <v>2276</v>
      </c>
      <c r="Z2734" s="205" t="s">
        <v>68</v>
      </c>
      <c r="AA2734" s="205" t="s">
        <v>86</v>
      </c>
      <c r="AB2734" s="205" t="s">
        <v>76</v>
      </c>
      <c r="AC2734" s="205"/>
      <c r="AD2734" s="205"/>
    </row>
    <row r="2735" spans="1:30" ht="32" customHeight="1">
      <c r="A2735" s="19" t="s">
        <v>7466</v>
      </c>
      <c r="B2735" s="19" t="s">
        <v>7537</v>
      </c>
      <c r="C2735" s="205" t="s">
        <v>24</v>
      </c>
      <c r="D2735" s="205" t="s">
        <v>1242</v>
      </c>
      <c r="E2735" s="205" t="s">
        <v>3209</v>
      </c>
      <c r="F2735" s="152" t="s">
        <v>2276</v>
      </c>
      <c r="G2735" s="152" t="s">
        <v>2276</v>
      </c>
      <c r="H2735" s="205" t="s">
        <v>523</v>
      </c>
      <c r="I2735" s="205">
        <v>2008</v>
      </c>
      <c r="J2735" s="205" t="s">
        <v>2276</v>
      </c>
      <c r="K2735" s="205" t="s">
        <v>2276</v>
      </c>
      <c r="L2735" s="205" t="s">
        <v>2276</v>
      </c>
      <c r="M2735" s="205" t="s">
        <v>2276</v>
      </c>
      <c r="N2735" s="205" t="s">
        <v>2276</v>
      </c>
      <c r="O2735" s="205" t="s">
        <v>2276</v>
      </c>
      <c r="P2735" s="205" t="s">
        <v>2276</v>
      </c>
      <c r="Q2735" s="205" t="s">
        <v>2276</v>
      </c>
      <c r="R2735" s="205" t="s">
        <v>2276</v>
      </c>
      <c r="S2735" s="205" t="s">
        <v>2276</v>
      </c>
      <c r="T2735" s="21">
        <f>950*0.106</f>
        <v>100.7</v>
      </c>
      <c r="U2735" s="205" t="s">
        <v>2276</v>
      </c>
      <c r="V2735" s="205" t="s">
        <v>2276</v>
      </c>
      <c r="W2735" s="205" t="s">
        <v>2276</v>
      </c>
      <c r="X2735" s="21">
        <f>T2735/'Record info'!K$1144</f>
        <v>3.767302656191545E-2</v>
      </c>
      <c r="Y2735" s="205" t="s">
        <v>2276</v>
      </c>
      <c r="Z2735" s="205" t="s">
        <v>68</v>
      </c>
      <c r="AA2735" s="205" t="s">
        <v>86</v>
      </c>
      <c r="AB2735" s="205" t="s">
        <v>76</v>
      </c>
      <c r="AC2735" s="205"/>
      <c r="AD2735" s="205"/>
    </row>
    <row r="2736" spans="1:30" ht="35.5" customHeight="1">
      <c r="A2736" s="19" t="s">
        <v>7467</v>
      </c>
      <c r="B2736" s="19" t="s">
        <v>7556</v>
      </c>
      <c r="C2736" s="205" t="s">
        <v>24</v>
      </c>
      <c r="D2736" s="205" t="s">
        <v>1242</v>
      </c>
      <c r="E2736" s="205" t="s">
        <v>3209</v>
      </c>
      <c r="F2736" s="152" t="s">
        <v>2276</v>
      </c>
      <c r="G2736" s="152" t="s">
        <v>2276</v>
      </c>
      <c r="H2736" s="205" t="s">
        <v>523</v>
      </c>
      <c r="I2736" s="205">
        <v>2008</v>
      </c>
      <c r="J2736" s="205" t="s">
        <v>2276</v>
      </c>
      <c r="K2736" s="205" t="s">
        <v>2276</v>
      </c>
      <c r="L2736" s="205" t="s">
        <v>2276</v>
      </c>
      <c r="M2736" s="205" t="s">
        <v>2276</v>
      </c>
      <c r="N2736" s="205" t="s">
        <v>2276</v>
      </c>
      <c r="O2736" s="205" t="s">
        <v>2276</v>
      </c>
      <c r="P2736" s="205" t="s">
        <v>2276</v>
      </c>
      <c r="Q2736" s="205" t="s">
        <v>2276</v>
      </c>
      <c r="R2736" s="205" t="s">
        <v>2276</v>
      </c>
      <c r="S2736" s="205" t="s">
        <v>2276</v>
      </c>
      <c r="T2736" s="21">
        <f>950*0.166</f>
        <v>157.70000000000002</v>
      </c>
      <c r="U2736" s="205" t="s">
        <v>2276</v>
      </c>
      <c r="V2736" s="205" t="s">
        <v>2276</v>
      </c>
      <c r="W2736" s="205" t="s">
        <v>2276</v>
      </c>
      <c r="X2736" s="21">
        <f>T2736/'Record info'!K$1145</f>
        <v>6.993348115299336E-2</v>
      </c>
      <c r="Y2736" s="205" t="s">
        <v>2276</v>
      </c>
      <c r="Z2736" s="205" t="s">
        <v>68</v>
      </c>
      <c r="AA2736" s="205" t="s">
        <v>86</v>
      </c>
      <c r="AB2736" s="205" t="s">
        <v>76</v>
      </c>
      <c r="AC2736" s="205"/>
      <c r="AD2736" s="205"/>
    </row>
    <row r="2737" spans="1:30" ht="29" customHeight="1">
      <c r="A2737" s="19" t="s">
        <v>7365</v>
      </c>
      <c r="B2737" s="19" t="s">
        <v>7538</v>
      </c>
      <c r="C2737" s="205" t="s">
        <v>24</v>
      </c>
      <c r="D2737" s="205" t="s">
        <v>1242</v>
      </c>
      <c r="E2737" s="205" t="s">
        <v>3209</v>
      </c>
      <c r="F2737" s="152" t="s">
        <v>2276</v>
      </c>
      <c r="G2737" s="152" t="s">
        <v>2276</v>
      </c>
      <c r="H2737" s="205" t="s">
        <v>523</v>
      </c>
      <c r="I2737" s="205">
        <v>2009</v>
      </c>
      <c r="J2737" s="205" t="s">
        <v>2276</v>
      </c>
      <c r="K2737" s="205" t="s">
        <v>2276</v>
      </c>
      <c r="L2737" s="205" t="s">
        <v>2276</v>
      </c>
      <c r="M2737" s="205" t="s">
        <v>2276</v>
      </c>
      <c r="N2737" s="205" t="s">
        <v>2276</v>
      </c>
      <c r="O2737" s="205" t="s">
        <v>2276</v>
      </c>
      <c r="P2737" s="205" t="s">
        <v>2276</v>
      </c>
      <c r="Q2737" s="205" t="s">
        <v>2276</v>
      </c>
      <c r="R2737" s="205" t="s">
        <v>2276</v>
      </c>
      <c r="S2737" s="205" t="s">
        <v>2276</v>
      </c>
      <c r="T2737" s="21">
        <f>1020*0.027</f>
        <v>27.54</v>
      </c>
      <c r="U2737" s="205" t="s">
        <v>2276</v>
      </c>
      <c r="V2737" s="205" t="s">
        <v>2276</v>
      </c>
      <c r="W2737" s="205" t="s">
        <v>2276</v>
      </c>
      <c r="X2737" s="21">
        <f>T2737/'Record info'!K$1128</f>
        <v>9.8357142857142862E-3</v>
      </c>
      <c r="Y2737" s="205" t="s">
        <v>2276</v>
      </c>
      <c r="Z2737" s="205" t="s">
        <v>68</v>
      </c>
      <c r="AA2737" s="205" t="s">
        <v>86</v>
      </c>
      <c r="AB2737" s="205" t="s">
        <v>76</v>
      </c>
      <c r="AC2737" s="205"/>
      <c r="AD2737" s="205"/>
    </row>
    <row r="2738" spans="1:30" ht="29" customHeight="1">
      <c r="A2738" s="19" t="s">
        <v>7451</v>
      </c>
      <c r="B2738" s="19" t="s">
        <v>7539</v>
      </c>
      <c r="C2738" s="205" t="s">
        <v>24</v>
      </c>
      <c r="D2738" s="205" t="s">
        <v>1242</v>
      </c>
      <c r="E2738" s="205" t="s">
        <v>3209</v>
      </c>
      <c r="F2738" s="152" t="s">
        <v>2276</v>
      </c>
      <c r="G2738" s="152" t="s">
        <v>2276</v>
      </c>
      <c r="H2738" s="205" t="s">
        <v>523</v>
      </c>
      <c r="I2738" s="205">
        <v>2009</v>
      </c>
      <c r="J2738" s="205" t="s">
        <v>2276</v>
      </c>
      <c r="K2738" s="205" t="s">
        <v>2276</v>
      </c>
      <c r="L2738" s="205" t="s">
        <v>2276</v>
      </c>
      <c r="M2738" s="205" t="s">
        <v>2276</v>
      </c>
      <c r="N2738" s="205" t="s">
        <v>2276</v>
      </c>
      <c r="O2738" s="205" t="s">
        <v>2276</v>
      </c>
      <c r="P2738" s="205" t="s">
        <v>2276</v>
      </c>
      <c r="Q2738" s="205" t="s">
        <v>2276</v>
      </c>
      <c r="R2738" s="205" t="s">
        <v>2276</v>
      </c>
      <c r="S2738" s="205" t="s">
        <v>2276</v>
      </c>
      <c r="T2738" s="21">
        <f>1020*0.041</f>
        <v>41.82</v>
      </c>
      <c r="U2738" s="205" t="s">
        <v>2276</v>
      </c>
      <c r="V2738" s="205" t="s">
        <v>2276</v>
      </c>
      <c r="W2738" s="205" t="s">
        <v>2276</v>
      </c>
      <c r="X2738" s="21">
        <f>T2738/'Record info'!K$1129</f>
        <v>1.1897581792318635E-2</v>
      </c>
      <c r="Y2738" s="205" t="s">
        <v>2276</v>
      </c>
      <c r="Z2738" s="205" t="s">
        <v>68</v>
      </c>
      <c r="AA2738" s="205" t="s">
        <v>86</v>
      </c>
      <c r="AB2738" s="205" t="s">
        <v>76</v>
      </c>
      <c r="AC2738" s="205"/>
      <c r="AD2738" s="205"/>
    </row>
    <row r="2739" spans="1:30" ht="29" customHeight="1">
      <c r="A2739" s="19" t="s">
        <v>7452</v>
      </c>
      <c r="B2739" s="19" t="s">
        <v>7540</v>
      </c>
      <c r="C2739" s="205" t="s">
        <v>24</v>
      </c>
      <c r="D2739" s="205" t="s">
        <v>1242</v>
      </c>
      <c r="E2739" s="205" t="s">
        <v>3209</v>
      </c>
      <c r="F2739" s="152" t="s">
        <v>2276</v>
      </c>
      <c r="G2739" s="152" t="s">
        <v>2276</v>
      </c>
      <c r="H2739" s="205" t="s">
        <v>523</v>
      </c>
      <c r="I2739" s="205">
        <v>2009</v>
      </c>
      <c r="J2739" s="205" t="s">
        <v>2276</v>
      </c>
      <c r="K2739" s="205" t="s">
        <v>2276</v>
      </c>
      <c r="L2739" s="205" t="s">
        <v>2276</v>
      </c>
      <c r="M2739" s="205" t="s">
        <v>2276</v>
      </c>
      <c r="N2739" s="205" t="s">
        <v>2276</v>
      </c>
      <c r="O2739" s="205" t="s">
        <v>2276</v>
      </c>
      <c r="P2739" s="205" t="s">
        <v>2276</v>
      </c>
      <c r="Q2739" s="205" t="s">
        <v>2276</v>
      </c>
      <c r="R2739" s="205" t="s">
        <v>2276</v>
      </c>
      <c r="S2739" s="205" t="s">
        <v>2276</v>
      </c>
      <c r="T2739" s="21">
        <f>1020*0.004</f>
        <v>4.08</v>
      </c>
      <c r="U2739" s="205" t="s">
        <v>2276</v>
      </c>
      <c r="V2739" s="205" t="s">
        <v>2276</v>
      </c>
      <c r="W2739" s="205" t="s">
        <v>2276</v>
      </c>
      <c r="X2739" s="21">
        <f>T2739/'Record info'!K$1130</f>
        <v>6.0471320586927529E-4</v>
      </c>
      <c r="Y2739" s="205" t="s">
        <v>2276</v>
      </c>
      <c r="Z2739" s="205" t="s">
        <v>68</v>
      </c>
      <c r="AA2739" s="205" t="s">
        <v>86</v>
      </c>
      <c r="AB2739" s="205" t="s">
        <v>76</v>
      </c>
      <c r="AC2739" s="205"/>
      <c r="AD2739" s="205"/>
    </row>
    <row r="2740" spans="1:30" ht="29" customHeight="1">
      <c r="A2740" s="19" t="s">
        <v>7453</v>
      </c>
      <c r="B2740" s="19" t="s">
        <v>7541</v>
      </c>
      <c r="C2740" s="205" t="s">
        <v>24</v>
      </c>
      <c r="D2740" s="205" t="s">
        <v>1242</v>
      </c>
      <c r="E2740" s="205" t="s">
        <v>3209</v>
      </c>
      <c r="F2740" s="152" t="s">
        <v>2276</v>
      </c>
      <c r="G2740" s="152" t="s">
        <v>2276</v>
      </c>
      <c r="H2740" s="205" t="s">
        <v>523</v>
      </c>
      <c r="I2740" s="205">
        <v>2009</v>
      </c>
      <c r="J2740" s="205" t="s">
        <v>2276</v>
      </c>
      <c r="K2740" s="205" t="s">
        <v>2276</v>
      </c>
      <c r="L2740" s="205" t="s">
        <v>2276</v>
      </c>
      <c r="M2740" s="205" t="s">
        <v>2276</v>
      </c>
      <c r="N2740" s="205" t="s">
        <v>2276</v>
      </c>
      <c r="O2740" s="205" t="s">
        <v>2276</v>
      </c>
      <c r="P2740" s="205" t="s">
        <v>2276</v>
      </c>
      <c r="Q2740" s="205" t="s">
        <v>2276</v>
      </c>
      <c r="R2740" s="205" t="s">
        <v>2276</v>
      </c>
      <c r="S2740" s="205" t="s">
        <v>2276</v>
      </c>
      <c r="T2740" s="21">
        <f>1020*0.004</f>
        <v>4.08</v>
      </c>
      <c r="U2740" s="205" t="s">
        <v>2276</v>
      </c>
      <c r="V2740" s="205" t="s">
        <v>2276</v>
      </c>
      <c r="W2740" s="205" t="s">
        <v>2276</v>
      </c>
      <c r="X2740" s="21">
        <f>T2740/'Record info'!K$1131</f>
        <v>8.0568720379146919E-4</v>
      </c>
      <c r="Y2740" s="205" t="s">
        <v>2276</v>
      </c>
      <c r="Z2740" s="205" t="s">
        <v>68</v>
      </c>
      <c r="AA2740" s="205" t="s">
        <v>86</v>
      </c>
      <c r="AB2740" s="205" t="s">
        <v>76</v>
      </c>
      <c r="AC2740" s="205"/>
      <c r="AD2740" s="205"/>
    </row>
    <row r="2741" spans="1:30" ht="29" customHeight="1">
      <c r="A2741" s="19" t="s">
        <v>7454</v>
      </c>
      <c r="B2741" s="19" t="s">
        <v>7542</v>
      </c>
      <c r="C2741" s="205" t="s">
        <v>24</v>
      </c>
      <c r="D2741" s="205" t="s">
        <v>1242</v>
      </c>
      <c r="E2741" s="205" t="s">
        <v>3209</v>
      </c>
      <c r="F2741" s="152" t="s">
        <v>2276</v>
      </c>
      <c r="G2741" s="152" t="s">
        <v>2276</v>
      </c>
      <c r="H2741" s="205" t="s">
        <v>524</v>
      </c>
      <c r="I2741" s="205">
        <v>2009</v>
      </c>
      <c r="J2741" s="21">
        <v>0</v>
      </c>
      <c r="K2741" s="21">
        <v>0</v>
      </c>
      <c r="L2741" s="21">
        <v>0</v>
      </c>
      <c r="M2741" s="21">
        <v>0</v>
      </c>
      <c r="N2741" s="21">
        <v>0</v>
      </c>
      <c r="O2741" s="21">
        <v>0</v>
      </c>
      <c r="P2741" s="21">
        <v>0</v>
      </c>
      <c r="Q2741" s="21">
        <v>0</v>
      </c>
      <c r="R2741" s="21">
        <v>0</v>
      </c>
      <c r="S2741" s="21">
        <v>0</v>
      </c>
      <c r="T2741" s="21">
        <v>0</v>
      </c>
      <c r="U2741" s="21">
        <v>0</v>
      </c>
      <c r="V2741" s="21">
        <v>0</v>
      </c>
      <c r="W2741" s="21">
        <v>0</v>
      </c>
      <c r="X2741" s="21">
        <f>T2741/'Record info'!K$1132</f>
        <v>0</v>
      </c>
      <c r="Y2741" s="205" t="s">
        <v>2276</v>
      </c>
      <c r="Z2741" s="205" t="s">
        <v>68</v>
      </c>
      <c r="AA2741" s="205" t="s">
        <v>86</v>
      </c>
      <c r="AB2741" s="205" t="s">
        <v>76</v>
      </c>
      <c r="AC2741" s="205"/>
      <c r="AD2741" s="205"/>
    </row>
    <row r="2742" spans="1:30" ht="29" customHeight="1">
      <c r="A2742" s="19" t="s">
        <v>7455</v>
      </c>
      <c r="B2742" s="19" t="s">
        <v>7543</v>
      </c>
      <c r="C2742" s="205" t="s">
        <v>24</v>
      </c>
      <c r="D2742" s="205" t="s">
        <v>1242</v>
      </c>
      <c r="E2742" s="205" t="s">
        <v>3209</v>
      </c>
      <c r="F2742" s="152" t="s">
        <v>2276</v>
      </c>
      <c r="G2742" s="152" t="s">
        <v>2276</v>
      </c>
      <c r="H2742" s="205" t="s">
        <v>524</v>
      </c>
      <c r="I2742" s="205">
        <v>2009</v>
      </c>
      <c r="J2742" s="21">
        <v>0</v>
      </c>
      <c r="K2742" s="21">
        <v>0</v>
      </c>
      <c r="L2742" s="21">
        <v>0</v>
      </c>
      <c r="M2742" s="21">
        <v>0</v>
      </c>
      <c r="N2742" s="21">
        <v>0</v>
      </c>
      <c r="O2742" s="21">
        <v>0</v>
      </c>
      <c r="P2742" s="21">
        <v>0</v>
      </c>
      <c r="Q2742" s="21">
        <v>0</v>
      </c>
      <c r="R2742" s="21">
        <v>0</v>
      </c>
      <c r="S2742" s="21">
        <v>0</v>
      </c>
      <c r="T2742" s="21">
        <v>0</v>
      </c>
      <c r="U2742" s="21">
        <v>0</v>
      </c>
      <c r="V2742" s="21">
        <v>0</v>
      </c>
      <c r="W2742" s="21">
        <v>0</v>
      </c>
      <c r="X2742" s="21">
        <f>T2742/'Record info'!K$1133</f>
        <v>0</v>
      </c>
      <c r="Y2742" s="205" t="s">
        <v>2276</v>
      </c>
      <c r="Z2742" s="205" t="s">
        <v>68</v>
      </c>
      <c r="AA2742" s="205" t="s">
        <v>86</v>
      </c>
      <c r="AB2742" s="205" t="s">
        <v>76</v>
      </c>
      <c r="AC2742" s="205"/>
      <c r="AD2742" s="205"/>
    </row>
    <row r="2743" spans="1:30" ht="29" customHeight="1">
      <c r="A2743" s="19" t="s">
        <v>7456</v>
      </c>
      <c r="B2743" s="19" t="s">
        <v>7544</v>
      </c>
      <c r="C2743" s="205" t="s">
        <v>24</v>
      </c>
      <c r="D2743" s="205" t="s">
        <v>1242</v>
      </c>
      <c r="E2743" s="205" t="s">
        <v>3209</v>
      </c>
      <c r="F2743" s="152" t="s">
        <v>2276</v>
      </c>
      <c r="G2743" s="152" t="s">
        <v>2276</v>
      </c>
      <c r="H2743" s="205" t="s">
        <v>524</v>
      </c>
      <c r="I2743" s="205">
        <v>2009</v>
      </c>
      <c r="J2743" s="21">
        <v>0</v>
      </c>
      <c r="K2743" s="21">
        <v>0</v>
      </c>
      <c r="L2743" s="21">
        <v>0</v>
      </c>
      <c r="M2743" s="21">
        <v>0</v>
      </c>
      <c r="N2743" s="21">
        <v>0</v>
      </c>
      <c r="O2743" s="21">
        <v>0</v>
      </c>
      <c r="P2743" s="21">
        <v>0</v>
      </c>
      <c r="Q2743" s="21">
        <v>0</v>
      </c>
      <c r="R2743" s="21">
        <v>0</v>
      </c>
      <c r="S2743" s="21">
        <v>0</v>
      </c>
      <c r="T2743" s="21">
        <v>0</v>
      </c>
      <c r="U2743" s="21">
        <v>0</v>
      </c>
      <c r="V2743" s="21">
        <v>0</v>
      </c>
      <c r="W2743" s="21">
        <v>0</v>
      </c>
      <c r="X2743" s="21">
        <f>T2743/'Record info'!K$1134</f>
        <v>0</v>
      </c>
      <c r="Y2743" s="205" t="s">
        <v>2276</v>
      </c>
      <c r="Z2743" s="205" t="s">
        <v>68</v>
      </c>
      <c r="AA2743" s="205" t="s">
        <v>86</v>
      </c>
      <c r="AB2743" s="205" t="s">
        <v>76</v>
      </c>
      <c r="AC2743" s="205"/>
      <c r="AD2743" s="205"/>
    </row>
    <row r="2744" spans="1:30" ht="29" customHeight="1">
      <c r="A2744" s="19" t="s">
        <v>7457</v>
      </c>
      <c r="B2744" s="19" t="s">
        <v>7545</v>
      </c>
      <c r="C2744" s="205" t="s">
        <v>24</v>
      </c>
      <c r="D2744" s="205" t="s">
        <v>1242</v>
      </c>
      <c r="E2744" s="205" t="s">
        <v>3209</v>
      </c>
      <c r="F2744" s="152" t="s">
        <v>2276</v>
      </c>
      <c r="G2744" s="152" t="s">
        <v>2276</v>
      </c>
      <c r="H2744" s="205" t="s">
        <v>523</v>
      </c>
      <c r="I2744" s="205">
        <v>2009</v>
      </c>
      <c r="J2744" s="205" t="s">
        <v>2276</v>
      </c>
      <c r="K2744" s="205" t="s">
        <v>2276</v>
      </c>
      <c r="L2744" s="205" t="s">
        <v>2276</v>
      </c>
      <c r="M2744" s="205" t="s">
        <v>2276</v>
      </c>
      <c r="N2744" s="205" t="s">
        <v>2276</v>
      </c>
      <c r="O2744" s="205" t="s">
        <v>2276</v>
      </c>
      <c r="P2744" s="205" t="s">
        <v>2276</v>
      </c>
      <c r="Q2744" s="205" t="s">
        <v>2276</v>
      </c>
      <c r="R2744" s="205" t="s">
        <v>2276</v>
      </c>
      <c r="S2744" s="205" t="s">
        <v>2276</v>
      </c>
      <c r="T2744" s="21">
        <f>1020*0.035</f>
        <v>35.700000000000003</v>
      </c>
      <c r="U2744" s="205" t="s">
        <v>2276</v>
      </c>
      <c r="V2744" s="205" t="s">
        <v>2276</v>
      </c>
      <c r="W2744" s="205" t="s">
        <v>2276</v>
      </c>
      <c r="X2744" s="21">
        <f>T2744/'Record info'!K$1135</f>
        <v>5.8862324814509485E-3</v>
      </c>
      <c r="Y2744" s="205" t="s">
        <v>2276</v>
      </c>
      <c r="Z2744" s="205" t="s">
        <v>68</v>
      </c>
      <c r="AA2744" s="205" t="s">
        <v>86</v>
      </c>
      <c r="AB2744" s="205" t="s">
        <v>76</v>
      </c>
      <c r="AC2744" s="205"/>
      <c r="AD2744" s="205"/>
    </row>
    <row r="2745" spans="1:30" ht="29" customHeight="1">
      <c r="A2745" s="19" t="s">
        <v>7458</v>
      </c>
      <c r="B2745" s="19" t="s">
        <v>7546</v>
      </c>
      <c r="C2745" s="205" t="s">
        <v>24</v>
      </c>
      <c r="D2745" s="205" t="s">
        <v>1242</v>
      </c>
      <c r="E2745" s="205" t="s">
        <v>3209</v>
      </c>
      <c r="F2745" s="152" t="s">
        <v>2276</v>
      </c>
      <c r="G2745" s="152" t="s">
        <v>2276</v>
      </c>
      <c r="H2745" s="205" t="s">
        <v>523</v>
      </c>
      <c r="I2745" s="205">
        <v>2009</v>
      </c>
      <c r="J2745" s="205" t="s">
        <v>2276</v>
      </c>
      <c r="K2745" s="205" t="s">
        <v>2276</v>
      </c>
      <c r="L2745" s="205" t="s">
        <v>2276</v>
      </c>
      <c r="M2745" s="205" t="s">
        <v>2276</v>
      </c>
      <c r="N2745" s="205" t="s">
        <v>2276</v>
      </c>
      <c r="O2745" s="205" t="s">
        <v>2276</v>
      </c>
      <c r="P2745" s="205" t="s">
        <v>2276</v>
      </c>
      <c r="Q2745" s="205" t="s">
        <v>2276</v>
      </c>
      <c r="R2745" s="205" t="s">
        <v>2276</v>
      </c>
      <c r="S2745" s="205" t="s">
        <v>2276</v>
      </c>
      <c r="T2745" s="21">
        <f>1020*0.079</f>
        <v>80.58</v>
      </c>
      <c r="U2745" s="205" t="s">
        <v>2276</v>
      </c>
      <c r="V2745" s="205" t="s">
        <v>2276</v>
      </c>
      <c r="W2745" s="205" t="s">
        <v>2276</v>
      </c>
      <c r="X2745" s="21">
        <f>T2745/'Record info'!K$1136</f>
        <v>1.207191011235955E-2</v>
      </c>
      <c r="Y2745" s="205" t="s">
        <v>2276</v>
      </c>
      <c r="Z2745" s="205" t="s">
        <v>68</v>
      </c>
      <c r="AA2745" s="205" t="s">
        <v>86</v>
      </c>
      <c r="AB2745" s="205" t="s">
        <v>76</v>
      </c>
      <c r="AC2745" s="205"/>
      <c r="AD2745" s="205"/>
    </row>
    <row r="2746" spans="1:30" ht="29" customHeight="1">
      <c r="A2746" s="19" t="s">
        <v>7459</v>
      </c>
      <c r="B2746" s="19" t="s">
        <v>7547</v>
      </c>
      <c r="C2746" s="205" t="s">
        <v>24</v>
      </c>
      <c r="D2746" s="205" t="s">
        <v>1242</v>
      </c>
      <c r="E2746" s="205" t="s">
        <v>3209</v>
      </c>
      <c r="F2746" s="152" t="s">
        <v>2276</v>
      </c>
      <c r="G2746" s="152" t="s">
        <v>2276</v>
      </c>
      <c r="H2746" s="205" t="s">
        <v>523</v>
      </c>
      <c r="I2746" s="205">
        <v>2009</v>
      </c>
      <c r="J2746" s="205" t="s">
        <v>2276</v>
      </c>
      <c r="K2746" s="205" t="s">
        <v>2276</v>
      </c>
      <c r="L2746" s="205" t="s">
        <v>2276</v>
      </c>
      <c r="M2746" s="205" t="s">
        <v>2276</v>
      </c>
      <c r="N2746" s="205" t="s">
        <v>2276</v>
      </c>
      <c r="O2746" s="205" t="s">
        <v>2276</v>
      </c>
      <c r="P2746" s="205" t="s">
        <v>2276</v>
      </c>
      <c r="Q2746" s="205" t="s">
        <v>2276</v>
      </c>
      <c r="R2746" s="205" t="s">
        <v>2276</v>
      </c>
      <c r="S2746" s="205" t="s">
        <v>2276</v>
      </c>
      <c r="T2746" s="21">
        <f>1020*0.132</f>
        <v>134.64000000000001</v>
      </c>
      <c r="U2746" s="205" t="s">
        <v>2276</v>
      </c>
      <c r="V2746" s="205" t="s">
        <v>2276</v>
      </c>
      <c r="W2746" s="205" t="s">
        <v>2276</v>
      </c>
      <c r="X2746" s="21">
        <f>T2746/'Record info'!K$1137</f>
        <v>2.4400144980065243E-2</v>
      </c>
      <c r="Y2746" s="205" t="s">
        <v>2276</v>
      </c>
      <c r="Z2746" s="205" t="s">
        <v>68</v>
      </c>
      <c r="AA2746" s="205" t="s">
        <v>86</v>
      </c>
      <c r="AB2746" s="205" t="s">
        <v>76</v>
      </c>
      <c r="AC2746" s="205"/>
      <c r="AD2746" s="205"/>
    </row>
    <row r="2747" spans="1:30" ht="29" customHeight="1">
      <c r="A2747" s="19" t="s">
        <v>7460</v>
      </c>
      <c r="B2747" s="19" t="s">
        <v>7548</v>
      </c>
      <c r="C2747" s="205" t="s">
        <v>24</v>
      </c>
      <c r="D2747" s="205" t="s">
        <v>1242</v>
      </c>
      <c r="E2747" s="205" t="s">
        <v>3209</v>
      </c>
      <c r="F2747" s="152" t="s">
        <v>2276</v>
      </c>
      <c r="G2747" s="152" t="s">
        <v>2276</v>
      </c>
      <c r="H2747" s="205" t="s">
        <v>523</v>
      </c>
      <c r="I2747" s="205">
        <v>2009</v>
      </c>
      <c r="J2747" s="205" t="s">
        <v>2276</v>
      </c>
      <c r="K2747" s="205" t="s">
        <v>2276</v>
      </c>
      <c r="L2747" s="205" t="s">
        <v>2276</v>
      </c>
      <c r="M2747" s="205" t="s">
        <v>2276</v>
      </c>
      <c r="N2747" s="205" t="s">
        <v>2276</v>
      </c>
      <c r="O2747" s="205" t="s">
        <v>2276</v>
      </c>
      <c r="P2747" s="205" t="s">
        <v>2276</v>
      </c>
      <c r="Q2747" s="205" t="s">
        <v>2276</v>
      </c>
      <c r="R2747" s="205" t="s">
        <v>2276</v>
      </c>
      <c r="S2747" s="205" t="s">
        <v>2276</v>
      </c>
      <c r="T2747" s="21">
        <f>1020*0.057</f>
        <v>58.14</v>
      </c>
      <c r="U2747" s="205" t="s">
        <v>2276</v>
      </c>
      <c r="V2747" s="205" t="s">
        <v>2276</v>
      </c>
      <c r="W2747" s="205" t="s">
        <v>2276</v>
      </c>
      <c r="X2747" s="21">
        <f>T2747/'Record info'!K$1138</f>
        <v>1.473017481631619E-2</v>
      </c>
      <c r="Y2747" s="205" t="s">
        <v>2276</v>
      </c>
      <c r="Z2747" s="205" t="s">
        <v>68</v>
      </c>
      <c r="AA2747" s="205" t="s">
        <v>86</v>
      </c>
      <c r="AB2747" s="205" t="s">
        <v>76</v>
      </c>
      <c r="AC2747" s="205"/>
      <c r="AD2747" s="205"/>
    </row>
    <row r="2748" spans="1:30" ht="29" customHeight="1">
      <c r="A2748" s="19" t="s">
        <v>7461</v>
      </c>
      <c r="B2748" s="19" t="s">
        <v>7549</v>
      </c>
      <c r="C2748" s="205" t="s">
        <v>24</v>
      </c>
      <c r="D2748" s="205" t="s">
        <v>1242</v>
      </c>
      <c r="E2748" s="205" t="s">
        <v>3209</v>
      </c>
      <c r="F2748" s="152" t="s">
        <v>2276</v>
      </c>
      <c r="G2748" s="152" t="s">
        <v>2276</v>
      </c>
      <c r="H2748" s="205" t="s">
        <v>523</v>
      </c>
      <c r="I2748" s="205">
        <v>2009</v>
      </c>
      <c r="J2748" s="205" t="s">
        <v>2276</v>
      </c>
      <c r="K2748" s="205" t="s">
        <v>2276</v>
      </c>
      <c r="L2748" s="205" t="s">
        <v>2276</v>
      </c>
      <c r="M2748" s="205" t="s">
        <v>2276</v>
      </c>
      <c r="N2748" s="205" t="s">
        <v>2276</v>
      </c>
      <c r="O2748" s="205" t="s">
        <v>2276</v>
      </c>
      <c r="P2748" s="205" t="s">
        <v>2276</v>
      </c>
      <c r="Q2748" s="205" t="s">
        <v>2276</v>
      </c>
      <c r="R2748" s="205" t="s">
        <v>2276</v>
      </c>
      <c r="S2748" s="205" t="s">
        <v>2276</v>
      </c>
      <c r="T2748" s="21">
        <f>1020*0.024</f>
        <v>24.48</v>
      </c>
      <c r="U2748" s="205" t="s">
        <v>2276</v>
      </c>
      <c r="V2748" s="205" t="s">
        <v>2276</v>
      </c>
      <c r="W2748" s="205" t="s">
        <v>2276</v>
      </c>
      <c r="X2748" s="21">
        <f>T2748/'Record info'!K$1139</f>
        <v>8.7179487179487175E-3</v>
      </c>
      <c r="Y2748" s="205" t="s">
        <v>2276</v>
      </c>
      <c r="Z2748" s="205" t="s">
        <v>68</v>
      </c>
      <c r="AA2748" s="205" t="s">
        <v>86</v>
      </c>
      <c r="AB2748" s="205" t="s">
        <v>76</v>
      </c>
      <c r="AC2748" s="205"/>
      <c r="AD2748" s="205"/>
    </row>
    <row r="2749" spans="1:30" ht="29" customHeight="1">
      <c r="A2749" s="19" t="s">
        <v>7462</v>
      </c>
      <c r="B2749" s="19" t="s">
        <v>7550</v>
      </c>
      <c r="C2749" s="205" t="s">
        <v>24</v>
      </c>
      <c r="D2749" s="205" t="s">
        <v>1242</v>
      </c>
      <c r="E2749" s="205" t="s">
        <v>3209</v>
      </c>
      <c r="F2749" s="152" t="s">
        <v>2276</v>
      </c>
      <c r="G2749" s="152" t="s">
        <v>2276</v>
      </c>
      <c r="H2749" s="205" t="s">
        <v>523</v>
      </c>
      <c r="I2749" s="205">
        <v>2009</v>
      </c>
      <c r="J2749" s="205" t="s">
        <v>2276</v>
      </c>
      <c r="K2749" s="205" t="s">
        <v>2276</v>
      </c>
      <c r="L2749" s="205" t="s">
        <v>2276</v>
      </c>
      <c r="M2749" s="205" t="s">
        <v>2276</v>
      </c>
      <c r="N2749" s="205" t="s">
        <v>2276</v>
      </c>
      <c r="O2749" s="205" t="s">
        <v>2276</v>
      </c>
      <c r="P2749" s="205" t="s">
        <v>2276</v>
      </c>
      <c r="Q2749" s="205" t="s">
        <v>2276</v>
      </c>
      <c r="R2749" s="205" t="s">
        <v>2276</v>
      </c>
      <c r="S2749" s="205" t="s">
        <v>2276</v>
      </c>
      <c r="T2749" s="21">
        <f>1020*0.072</f>
        <v>73.44</v>
      </c>
      <c r="U2749" s="205" t="s">
        <v>2276</v>
      </c>
      <c r="V2749" s="205" t="s">
        <v>2276</v>
      </c>
      <c r="W2749" s="205" t="s">
        <v>2276</v>
      </c>
      <c r="X2749" s="21">
        <f>T2749/'Record info'!K$1140</f>
        <v>1.4667465548232474E-2</v>
      </c>
      <c r="Y2749" s="205" t="s">
        <v>2276</v>
      </c>
      <c r="Z2749" s="205" t="s">
        <v>68</v>
      </c>
      <c r="AA2749" s="205" t="s">
        <v>86</v>
      </c>
      <c r="AB2749" s="205" t="s">
        <v>76</v>
      </c>
      <c r="AC2749" s="205"/>
      <c r="AD2749" s="205"/>
    </row>
    <row r="2750" spans="1:30" ht="29" customHeight="1">
      <c r="A2750" s="19" t="s">
        <v>7463</v>
      </c>
      <c r="B2750" s="19" t="s">
        <v>7551</v>
      </c>
      <c r="C2750" s="205" t="s">
        <v>24</v>
      </c>
      <c r="D2750" s="205" t="s">
        <v>1242</v>
      </c>
      <c r="E2750" s="205" t="s">
        <v>3209</v>
      </c>
      <c r="F2750" s="152" t="s">
        <v>2276</v>
      </c>
      <c r="G2750" s="152" t="s">
        <v>2276</v>
      </c>
      <c r="H2750" s="205" t="s">
        <v>523</v>
      </c>
      <c r="I2750" s="205">
        <v>2009</v>
      </c>
      <c r="J2750" s="205" t="s">
        <v>2276</v>
      </c>
      <c r="K2750" s="205" t="s">
        <v>2276</v>
      </c>
      <c r="L2750" s="205" t="s">
        <v>2276</v>
      </c>
      <c r="M2750" s="205" t="s">
        <v>2276</v>
      </c>
      <c r="N2750" s="205" t="s">
        <v>2276</v>
      </c>
      <c r="O2750" s="205" t="s">
        <v>2276</v>
      </c>
      <c r="P2750" s="205" t="s">
        <v>2276</v>
      </c>
      <c r="Q2750" s="205" t="s">
        <v>2276</v>
      </c>
      <c r="R2750" s="205" t="s">
        <v>2276</v>
      </c>
      <c r="S2750" s="205" t="s">
        <v>2276</v>
      </c>
      <c r="T2750" s="21">
        <f>1020*0.068</f>
        <v>69.36</v>
      </c>
      <c r="U2750" s="205" t="s">
        <v>2276</v>
      </c>
      <c r="V2750" s="205" t="s">
        <v>2276</v>
      </c>
      <c r="W2750" s="205" t="s">
        <v>2276</v>
      </c>
      <c r="X2750" s="21">
        <f>T2750/'Record info'!K$1141</f>
        <v>5.908006814310051E-2</v>
      </c>
      <c r="Y2750" s="205" t="s">
        <v>2276</v>
      </c>
      <c r="Z2750" s="205" t="s">
        <v>68</v>
      </c>
      <c r="AA2750" s="205" t="s">
        <v>86</v>
      </c>
      <c r="AB2750" s="205" t="s">
        <v>76</v>
      </c>
      <c r="AC2750" s="205"/>
      <c r="AD2750" s="205"/>
    </row>
    <row r="2751" spans="1:30" ht="29" customHeight="1">
      <c r="A2751" s="19" t="s">
        <v>7464</v>
      </c>
      <c r="B2751" s="19" t="s">
        <v>7552</v>
      </c>
      <c r="C2751" s="205" t="s">
        <v>24</v>
      </c>
      <c r="D2751" s="205" t="s">
        <v>1242</v>
      </c>
      <c r="E2751" s="205" t="s">
        <v>3209</v>
      </c>
      <c r="F2751" s="152" t="s">
        <v>2276</v>
      </c>
      <c r="G2751" s="152" t="s">
        <v>2276</v>
      </c>
      <c r="H2751" s="205" t="s">
        <v>523</v>
      </c>
      <c r="I2751" s="205">
        <v>2009</v>
      </c>
      <c r="J2751" s="205" t="s">
        <v>2276</v>
      </c>
      <c r="K2751" s="205" t="s">
        <v>2276</v>
      </c>
      <c r="L2751" s="205" t="s">
        <v>2276</v>
      </c>
      <c r="M2751" s="205" t="s">
        <v>2276</v>
      </c>
      <c r="N2751" s="205" t="s">
        <v>2276</v>
      </c>
      <c r="O2751" s="205" t="s">
        <v>2276</v>
      </c>
      <c r="P2751" s="205" t="s">
        <v>2276</v>
      </c>
      <c r="Q2751" s="205" t="s">
        <v>2276</v>
      </c>
      <c r="R2751" s="205" t="s">
        <v>2276</v>
      </c>
      <c r="S2751" s="205" t="s">
        <v>2276</v>
      </c>
      <c r="T2751" s="21">
        <f>1020*0.075</f>
        <v>76.5</v>
      </c>
      <c r="U2751" s="205" t="s">
        <v>2276</v>
      </c>
      <c r="V2751" s="205" t="s">
        <v>2276</v>
      </c>
      <c r="W2751" s="205" t="s">
        <v>2276</v>
      </c>
      <c r="X2751" s="21">
        <f>T2751/'Record info'!K$1142</f>
        <v>1.7675600739371536E-2</v>
      </c>
      <c r="Y2751" s="205" t="s">
        <v>2276</v>
      </c>
      <c r="Z2751" s="205" t="s">
        <v>68</v>
      </c>
      <c r="AA2751" s="205" t="s">
        <v>86</v>
      </c>
      <c r="AB2751" s="205" t="s">
        <v>76</v>
      </c>
      <c r="AC2751" s="205"/>
      <c r="AD2751" s="205"/>
    </row>
    <row r="2752" spans="1:30" ht="29" customHeight="1">
      <c r="A2752" s="19" t="s">
        <v>7465</v>
      </c>
      <c r="B2752" s="19" t="s">
        <v>7553</v>
      </c>
      <c r="C2752" s="205" t="s">
        <v>24</v>
      </c>
      <c r="D2752" s="205" t="s">
        <v>1242</v>
      </c>
      <c r="E2752" s="205" t="s">
        <v>3209</v>
      </c>
      <c r="F2752" s="152" t="s">
        <v>2276</v>
      </c>
      <c r="G2752" s="152" t="s">
        <v>2276</v>
      </c>
      <c r="H2752" s="205" t="s">
        <v>523</v>
      </c>
      <c r="I2752" s="205">
        <v>2009</v>
      </c>
      <c r="J2752" s="205" t="s">
        <v>2276</v>
      </c>
      <c r="K2752" s="205" t="s">
        <v>2276</v>
      </c>
      <c r="L2752" s="205" t="s">
        <v>2276</v>
      </c>
      <c r="M2752" s="205" t="s">
        <v>2276</v>
      </c>
      <c r="N2752" s="205" t="s">
        <v>2276</v>
      </c>
      <c r="O2752" s="205" t="s">
        <v>2276</v>
      </c>
      <c r="P2752" s="205" t="s">
        <v>2276</v>
      </c>
      <c r="Q2752" s="205" t="s">
        <v>2276</v>
      </c>
      <c r="R2752" s="205" t="s">
        <v>2276</v>
      </c>
      <c r="S2752" s="205" t="s">
        <v>2276</v>
      </c>
      <c r="T2752" s="21">
        <f>1020*0.111</f>
        <v>113.22</v>
      </c>
      <c r="U2752" s="205" t="s">
        <v>2276</v>
      </c>
      <c r="V2752" s="205" t="s">
        <v>2276</v>
      </c>
      <c r="W2752" s="205" t="s">
        <v>2276</v>
      </c>
      <c r="X2752" s="21">
        <f>T2752/'Record info'!K$1143</f>
        <v>4.7273486430062628E-2</v>
      </c>
      <c r="Y2752" s="205" t="s">
        <v>2276</v>
      </c>
      <c r="Z2752" s="205" t="s">
        <v>68</v>
      </c>
      <c r="AA2752" s="205" t="s">
        <v>86</v>
      </c>
      <c r="AB2752" s="205" t="s">
        <v>76</v>
      </c>
      <c r="AC2752" s="205"/>
      <c r="AD2752" s="205"/>
    </row>
    <row r="2753" spans="1:30" ht="29" customHeight="1">
      <c r="A2753" s="19" t="s">
        <v>7466</v>
      </c>
      <c r="B2753" s="19" t="s">
        <v>7554</v>
      </c>
      <c r="C2753" s="205" t="s">
        <v>24</v>
      </c>
      <c r="D2753" s="205" t="s">
        <v>1242</v>
      </c>
      <c r="E2753" s="205" t="s">
        <v>3209</v>
      </c>
      <c r="F2753" s="152" t="s">
        <v>2276</v>
      </c>
      <c r="G2753" s="152" t="s">
        <v>2276</v>
      </c>
      <c r="H2753" s="205" t="s">
        <v>523</v>
      </c>
      <c r="I2753" s="205">
        <v>2009</v>
      </c>
      <c r="J2753" s="205" t="s">
        <v>2276</v>
      </c>
      <c r="K2753" s="205" t="s">
        <v>2276</v>
      </c>
      <c r="L2753" s="205" t="s">
        <v>2276</v>
      </c>
      <c r="M2753" s="205" t="s">
        <v>2276</v>
      </c>
      <c r="N2753" s="205" t="s">
        <v>2276</v>
      </c>
      <c r="O2753" s="205" t="s">
        <v>2276</v>
      </c>
      <c r="P2753" s="205" t="s">
        <v>2276</v>
      </c>
      <c r="Q2753" s="205" t="s">
        <v>2276</v>
      </c>
      <c r="R2753" s="205" t="s">
        <v>2276</v>
      </c>
      <c r="S2753" s="205" t="s">
        <v>2276</v>
      </c>
      <c r="T2753" s="21">
        <f>1020*0.106</f>
        <v>108.11999999999999</v>
      </c>
      <c r="U2753" s="205" t="s">
        <v>2276</v>
      </c>
      <c r="V2753" s="205" t="s">
        <v>2276</v>
      </c>
      <c r="W2753" s="205" t="s">
        <v>2276</v>
      </c>
      <c r="X2753" s="21">
        <f>T2753/'Record info'!K$1144</f>
        <v>4.0448933782267112E-2</v>
      </c>
      <c r="Y2753" s="205" t="s">
        <v>2276</v>
      </c>
      <c r="Z2753" s="205" t="s">
        <v>68</v>
      </c>
      <c r="AA2753" s="205" t="s">
        <v>86</v>
      </c>
      <c r="AB2753" s="205" t="s">
        <v>76</v>
      </c>
      <c r="AC2753" s="205"/>
      <c r="AD2753" s="205"/>
    </row>
    <row r="2754" spans="1:30" ht="29" customHeight="1">
      <c r="A2754" s="19" t="s">
        <v>7467</v>
      </c>
      <c r="B2754" s="19" t="s">
        <v>7557</v>
      </c>
      <c r="C2754" s="205" t="s">
        <v>24</v>
      </c>
      <c r="D2754" s="205" t="s">
        <v>1242</v>
      </c>
      <c r="E2754" s="205" t="s">
        <v>3209</v>
      </c>
      <c r="F2754" s="152" t="s">
        <v>2276</v>
      </c>
      <c r="G2754" s="152" t="s">
        <v>2276</v>
      </c>
      <c r="H2754" s="205" t="s">
        <v>523</v>
      </c>
      <c r="I2754" s="205">
        <v>2009</v>
      </c>
      <c r="J2754" s="205" t="s">
        <v>2276</v>
      </c>
      <c r="K2754" s="205" t="s">
        <v>2276</v>
      </c>
      <c r="L2754" s="205" t="s">
        <v>2276</v>
      </c>
      <c r="M2754" s="205" t="s">
        <v>2276</v>
      </c>
      <c r="N2754" s="205" t="s">
        <v>2276</v>
      </c>
      <c r="O2754" s="205" t="s">
        <v>2276</v>
      </c>
      <c r="P2754" s="205" t="s">
        <v>2276</v>
      </c>
      <c r="Q2754" s="205" t="s">
        <v>2276</v>
      </c>
      <c r="R2754" s="205" t="s">
        <v>2276</v>
      </c>
      <c r="S2754" s="205" t="s">
        <v>2276</v>
      </c>
      <c r="T2754" s="21">
        <f>1020*0.166</f>
        <v>169.32000000000002</v>
      </c>
      <c r="U2754" s="205" t="s">
        <v>2276</v>
      </c>
      <c r="V2754" s="205" t="s">
        <v>2276</v>
      </c>
      <c r="W2754" s="205" t="s">
        <v>2276</v>
      </c>
      <c r="X2754" s="21">
        <f>T2754/'Record info'!K$1145</f>
        <v>7.5086474501108655E-2</v>
      </c>
      <c r="Y2754" s="205" t="s">
        <v>2276</v>
      </c>
      <c r="Z2754" s="205" t="s">
        <v>68</v>
      </c>
      <c r="AA2754" s="205" t="s">
        <v>86</v>
      </c>
      <c r="AB2754" s="205" t="s">
        <v>76</v>
      </c>
      <c r="AC2754" s="205"/>
      <c r="AD2754" s="205"/>
    </row>
    <row r="2755" spans="1:30" s="122" customFormat="1" ht="29" customHeight="1">
      <c r="A2755" s="19" t="s">
        <v>7365</v>
      </c>
      <c r="B2755" s="19" t="s">
        <v>7555</v>
      </c>
      <c r="C2755" s="205" t="s">
        <v>24</v>
      </c>
      <c r="D2755" s="205" t="s">
        <v>1242</v>
      </c>
      <c r="E2755" s="205" t="s">
        <v>3209</v>
      </c>
      <c r="F2755" s="152" t="s">
        <v>2276</v>
      </c>
      <c r="G2755" s="152" t="s">
        <v>2276</v>
      </c>
      <c r="H2755" s="205" t="s">
        <v>523</v>
      </c>
      <c r="I2755" s="205">
        <v>2010</v>
      </c>
      <c r="J2755" s="205" t="s">
        <v>2276</v>
      </c>
      <c r="K2755" s="205" t="s">
        <v>2276</v>
      </c>
      <c r="L2755" s="205" t="s">
        <v>2276</v>
      </c>
      <c r="M2755" s="205" t="s">
        <v>2276</v>
      </c>
      <c r="N2755" s="205" t="s">
        <v>2276</v>
      </c>
      <c r="O2755" s="205" t="s">
        <v>2276</v>
      </c>
      <c r="P2755" s="205" t="s">
        <v>2276</v>
      </c>
      <c r="Q2755" s="205" t="s">
        <v>2276</v>
      </c>
      <c r="R2755" s="205" t="s">
        <v>2276</v>
      </c>
      <c r="S2755" s="205" t="s">
        <v>2276</v>
      </c>
      <c r="T2755" s="21">
        <f>2500*0.027</f>
        <v>67.5</v>
      </c>
      <c r="U2755" s="205" t="s">
        <v>2276</v>
      </c>
      <c r="V2755" s="205" t="s">
        <v>2276</v>
      </c>
      <c r="W2755" s="205" t="s">
        <v>2276</v>
      </c>
      <c r="X2755" s="21">
        <f>T2755/'Record info'!K$1128</f>
        <v>2.4107142857142858E-2</v>
      </c>
      <c r="Y2755" s="205" t="s">
        <v>2276</v>
      </c>
      <c r="Z2755" s="205" t="s">
        <v>68</v>
      </c>
      <c r="AA2755" s="205" t="s">
        <v>86</v>
      </c>
      <c r="AB2755" s="205" t="s">
        <v>76</v>
      </c>
      <c r="AC2755" s="205"/>
      <c r="AD2755" s="205"/>
    </row>
    <row r="2756" spans="1:30" s="122" customFormat="1" ht="29" customHeight="1">
      <c r="A2756" s="19" t="s">
        <v>7451</v>
      </c>
      <c r="B2756" s="19" t="s">
        <v>7558</v>
      </c>
      <c r="C2756" s="205" t="s">
        <v>24</v>
      </c>
      <c r="D2756" s="205" t="s">
        <v>1242</v>
      </c>
      <c r="E2756" s="205" t="s">
        <v>3209</v>
      </c>
      <c r="F2756" s="152" t="s">
        <v>2276</v>
      </c>
      <c r="G2756" s="152" t="s">
        <v>2276</v>
      </c>
      <c r="H2756" s="205" t="s">
        <v>523</v>
      </c>
      <c r="I2756" s="205">
        <v>2010</v>
      </c>
      <c r="J2756" s="205" t="s">
        <v>2276</v>
      </c>
      <c r="K2756" s="205" t="s">
        <v>2276</v>
      </c>
      <c r="L2756" s="205" t="s">
        <v>2276</v>
      </c>
      <c r="M2756" s="205" t="s">
        <v>2276</v>
      </c>
      <c r="N2756" s="205" t="s">
        <v>2276</v>
      </c>
      <c r="O2756" s="205" t="s">
        <v>2276</v>
      </c>
      <c r="P2756" s="205" t="s">
        <v>2276</v>
      </c>
      <c r="Q2756" s="205" t="s">
        <v>2276</v>
      </c>
      <c r="R2756" s="205" t="s">
        <v>2276</v>
      </c>
      <c r="S2756" s="205" t="s">
        <v>2276</v>
      </c>
      <c r="T2756" s="21">
        <f>2500*0.041</f>
        <v>102.5</v>
      </c>
      <c r="U2756" s="205" t="s">
        <v>2276</v>
      </c>
      <c r="V2756" s="205" t="s">
        <v>2276</v>
      </c>
      <c r="W2756" s="205" t="s">
        <v>2276</v>
      </c>
      <c r="X2756" s="21">
        <f>T2756/'Record info'!K$1129</f>
        <v>2.9160739687055477E-2</v>
      </c>
      <c r="Y2756" s="205" t="s">
        <v>2276</v>
      </c>
      <c r="Z2756" s="205" t="s">
        <v>68</v>
      </c>
      <c r="AA2756" s="205" t="s">
        <v>86</v>
      </c>
      <c r="AB2756" s="205" t="s">
        <v>76</v>
      </c>
      <c r="AC2756" s="205"/>
      <c r="AD2756" s="205"/>
    </row>
    <row r="2757" spans="1:30" s="122" customFormat="1" ht="29" customHeight="1">
      <c r="A2757" s="19" t="s">
        <v>7452</v>
      </c>
      <c r="B2757" s="19" t="s">
        <v>7559</v>
      </c>
      <c r="C2757" s="205" t="s">
        <v>24</v>
      </c>
      <c r="D2757" s="205" t="s">
        <v>1242</v>
      </c>
      <c r="E2757" s="205" t="s">
        <v>3209</v>
      </c>
      <c r="F2757" s="152" t="s">
        <v>2276</v>
      </c>
      <c r="G2757" s="152" t="s">
        <v>2276</v>
      </c>
      <c r="H2757" s="205" t="s">
        <v>523</v>
      </c>
      <c r="I2757" s="205">
        <v>2010</v>
      </c>
      <c r="J2757" s="205" t="s">
        <v>2276</v>
      </c>
      <c r="K2757" s="205" t="s">
        <v>2276</v>
      </c>
      <c r="L2757" s="205" t="s">
        <v>2276</v>
      </c>
      <c r="M2757" s="205" t="s">
        <v>2276</v>
      </c>
      <c r="N2757" s="205" t="s">
        <v>2276</v>
      </c>
      <c r="O2757" s="205" t="s">
        <v>2276</v>
      </c>
      <c r="P2757" s="205" t="s">
        <v>2276</v>
      </c>
      <c r="Q2757" s="205" t="s">
        <v>2276</v>
      </c>
      <c r="R2757" s="205" t="s">
        <v>2276</v>
      </c>
      <c r="S2757" s="205" t="s">
        <v>2276</v>
      </c>
      <c r="T2757" s="21">
        <f>2500*0.004</f>
        <v>10</v>
      </c>
      <c r="U2757" s="205" t="s">
        <v>2276</v>
      </c>
      <c r="V2757" s="205" t="s">
        <v>2276</v>
      </c>
      <c r="W2757" s="205" t="s">
        <v>2276</v>
      </c>
      <c r="X2757" s="21">
        <f>T2757/'Record info'!K$1130</f>
        <v>1.4821402104639098E-3</v>
      </c>
      <c r="Y2757" s="205" t="s">
        <v>2276</v>
      </c>
      <c r="Z2757" s="205" t="s">
        <v>68</v>
      </c>
      <c r="AA2757" s="205" t="s">
        <v>86</v>
      </c>
      <c r="AB2757" s="205" t="s">
        <v>76</v>
      </c>
      <c r="AC2757" s="205"/>
      <c r="AD2757" s="205"/>
    </row>
    <row r="2758" spans="1:30" s="122" customFormat="1" ht="29" customHeight="1">
      <c r="A2758" s="19" t="s">
        <v>7453</v>
      </c>
      <c r="B2758" s="19" t="s">
        <v>7560</v>
      </c>
      <c r="C2758" s="205" t="s">
        <v>24</v>
      </c>
      <c r="D2758" s="205" t="s">
        <v>1242</v>
      </c>
      <c r="E2758" s="205" t="s">
        <v>3209</v>
      </c>
      <c r="F2758" s="152" t="s">
        <v>2276</v>
      </c>
      <c r="G2758" s="152" t="s">
        <v>2276</v>
      </c>
      <c r="H2758" s="205" t="s">
        <v>523</v>
      </c>
      <c r="I2758" s="205">
        <v>2010</v>
      </c>
      <c r="J2758" s="205" t="s">
        <v>2276</v>
      </c>
      <c r="K2758" s="205" t="s">
        <v>2276</v>
      </c>
      <c r="L2758" s="205" t="s">
        <v>2276</v>
      </c>
      <c r="M2758" s="205" t="s">
        <v>2276</v>
      </c>
      <c r="N2758" s="205" t="s">
        <v>2276</v>
      </c>
      <c r="O2758" s="205" t="s">
        <v>2276</v>
      </c>
      <c r="P2758" s="205" t="s">
        <v>2276</v>
      </c>
      <c r="Q2758" s="205" t="s">
        <v>2276</v>
      </c>
      <c r="R2758" s="205" t="s">
        <v>2276</v>
      </c>
      <c r="S2758" s="205" t="s">
        <v>2276</v>
      </c>
      <c r="T2758" s="21">
        <f>2500*0.004</f>
        <v>10</v>
      </c>
      <c r="U2758" s="205" t="s">
        <v>2276</v>
      </c>
      <c r="V2758" s="205" t="s">
        <v>2276</v>
      </c>
      <c r="W2758" s="205" t="s">
        <v>2276</v>
      </c>
      <c r="X2758" s="21">
        <f>T2758/'Record info'!K$1131</f>
        <v>1.9747235387045812E-3</v>
      </c>
      <c r="Y2758" s="205" t="s">
        <v>2276</v>
      </c>
      <c r="Z2758" s="205" t="s">
        <v>68</v>
      </c>
      <c r="AA2758" s="205" t="s">
        <v>86</v>
      </c>
      <c r="AB2758" s="205" t="s">
        <v>76</v>
      </c>
      <c r="AC2758" s="205"/>
      <c r="AD2758" s="205"/>
    </row>
    <row r="2759" spans="1:30" s="122" customFormat="1" ht="29" customHeight="1">
      <c r="A2759" s="19" t="s">
        <v>7454</v>
      </c>
      <c r="B2759" s="19" t="s">
        <v>7561</v>
      </c>
      <c r="C2759" s="205" t="s">
        <v>24</v>
      </c>
      <c r="D2759" s="205" t="s">
        <v>1242</v>
      </c>
      <c r="E2759" s="205" t="s">
        <v>3209</v>
      </c>
      <c r="F2759" s="152" t="s">
        <v>2276</v>
      </c>
      <c r="G2759" s="152" t="s">
        <v>2276</v>
      </c>
      <c r="H2759" s="205" t="s">
        <v>524</v>
      </c>
      <c r="I2759" s="205">
        <v>2010</v>
      </c>
      <c r="J2759" s="21">
        <v>0</v>
      </c>
      <c r="K2759" s="21">
        <v>0</v>
      </c>
      <c r="L2759" s="21">
        <v>0</v>
      </c>
      <c r="M2759" s="21">
        <v>0</v>
      </c>
      <c r="N2759" s="21">
        <v>0</v>
      </c>
      <c r="O2759" s="21">
        <v>0</v>
      </c>
      <c r="P2759" s="21">
        <v>0</v>
      </c>
      <c r="Q2759" s="21">
        <v>0</v>
      </c>
      <c r="R2759" s="21">
        <v>0</v>
      </c>
      <c r="S2759" s="21">
        <v>0</v>
      </c>
      <c r="T2759" s="21">
        <v>0</v>
      </c>
      <c r="U2759" s="21">
        <v>0</v>
      </c>
      <c r="V2759" s="21">
        <v>0</v>
      </c>
      <c r="W2759" s="21">
        <v>0</v>
      </c>
      <c r="X2759" s="21">
        <f>T2759/'Record info'!K$1132</f>
        <v>0</v>
      </c>
      <c r="Y2759" s="205" t="s">
        <v>2276</v>
      </c>
      <c r="Z2759" s="205" t="s">
        <v>68</v>
      </c>
      <c r="AA2759" s="205" t="s">
        <v>86</v>
      </c>
      <c r="AB2759" s="205" t="s">
        <v>76</v>
      </c>
      <c r="AC2759" s="205"/>
      <c r="AD2759" s="205"/>
    </row>
    <row r="2760" spans="1:30" s="122" customFormat="1" ht="29" customHeight="1">
      <c r="A2760" s="19" t="s">
        <v>7455</v>
      </c>
      <c r="B2760" s="19" t="s">
        <v>7562</v>
      </c>
      <c r="C2760" s="205" t="s">
        <v>24</v>
      </c>
      <c r="D2760" s="205" t="s">
        <v>1242</v>
      </c>
      <c r="E2760" s="205" t="s">
        <v>3209</v>
      </c>
      <c r="F2760" s="152" t="s">
        <v>2276</v>
      </c>
      <c r="G2760" s="152" t="s">
        <v>2276</v>
      </c>
      <c r="H2760" s="205" t="s">
        <v>524</v>
      </c>
      <c r="I2760" s="205">
        <v>2010</v>
      </c>
      <c r="J2760" s="21">
        <v>0</v>
      </c>
      <c r="K2760" s="21">
        <v>0</v>
      </c>
      <c r="L2760" s="21">
        <v>0</v>
      </c>
      <c r="M2760" s="21">
        <v>0</v>
      </c>
      <c r="N2760" s="21">
        <v>0</v>
      </c>
      <c r="O2760" s="21">
        <v>0</v>
      </c>
      <c r="P2760" s="21">
        <v>0</v>
      </c>
      <c r="Q2760" s="21">
        <v>0</v>
      </c>
      <c r="R2760" s="21">
        <v>0</v>
      </c>
      <c r="S2760" s="21">
        <v>0</v>
      </c>
      <c r="T2760" s="21">
        <v>0</v>
      </c>
      <c r="U2760" s="21">
        <v>0</v>
      </c>
      <c r="V2760" s="21">
        <v>0</v>
      </c>
      <c r="W2760" s="21">
        <v>0</v>
      </c>
      <c r="X2760" s="21">
        <f>T2760/'Record info'!K$1133</f>
        <v>0</v>
      </c>
      <c r="Y2760" s="205" t="s">
        <v>2276</v>
      </c>
      <c r="Z2760" s="205" t="s">
        <v>68</v>
      </c>
      <c r="AA2760" s="205" t="s">
        <v>86</v>
      </c>
      <c r="AB2760" s="205" t="s">
        <v>76</v>
      </c>
      <c r="AC2760" s="205"/>
      <c r="AD2760" s="205"/>
    </row>
    <row r="2761" spans="1:30" s="122" customFormat="1" ht="29" customHeight="1">
      <c r="A2761" s="19" t="s">
        <v>7456</v>
      </c>
      <c r="B2761" s="19" t="s">
        <v>7563</v>
      </c>
      <c r="C2761" s="205" t="s">
        <v>24</v>
      </c>
      <c r="D2761" s="205" t="s">
        <v>1242</v>
      </c>
      <c r="E2761" s="205" t="s">
        <v>3209</v>
      </c>
      <c r="F2761" s="152" t="s">
        <v>2276</v>
      </c>
      <c r="G2761" s="152" t="s">
        <v>2276</v>
      </c>
      <c r="H2761" s="205" t="s">
        <v>524</v>
      </c>
      <c r="I2761" s="205">
        <v>2010</v>
      </c>
      <c r="J2761" s="21">
        <v>0</v>
      </c>
      <c r="K2761" s="21">
        <v>0</v>
      </c>
      <c r="L2761" s="21">
        <v>0</v>
      </c>
      <c r="M2761" s="21">
        <v>0</v>
      </c>
      <c r="N2761" s="21">
        <v>0</v>
      </c>
      <c r="O2761" s="21">
        <v>0</v>
      </c>
      <c r="P2761" s="21">
        <v>0</v>
      </c>
      <c r="Q2761" s="21">
        <v>0</v>
      </c>
      <c r="R2761" s="21">
        <v>0</v>
      </c>
      <c r="S2761" s="21">
        <v>0</v>
      </c>
      <c r="T2761" s="21">
        <v>0</v>
      </c>
      <c r="U2761" s="21">
        <v>0</v>
      </c>
      <c r="V2761" s="21">
        <v>0</v>
      </c>
      <c r="W2761" s="21">
        <v>0</v>
      </c>
      <c r="X2761" s="21">
        <f>T2761/'Record info'!K$1134</f>
        <v>0</v>
      </c>
      <c r="Y2761" s="205" t="s">
        <v>2276</v>
      </c>
      <c r="Z2761" s="205" t="s">
        <v>68</v>
      </c>
      <c r="AA2761" s="205" t="s">
        <v>86</v>
      </c>
      <c r="AB2761" s="205" t="s">
        <v>76</v>
      </c>
      <c r="AC2761" s="205"/>
      <c r="AD2761" s="205"/>
    </row>
    <row r="2762" spans="1:30" s="122" customFormat="1" ht="29" customHeight="1">
      <c r="A2762" s="19" t="s">
        <v>7457</v>
      </c>
      <c r="B2762" s="19" t="s">
        <v>7564</v>
      </c>
      <c r="C2762" s="205" t="s">
        <v>24</v>
      </c>
      <c r="D2762" s="205" t="s">
        <v>1242</v>
      </c>
      <c r="E2762" s="205" t="s">
        <v>3209</v>
      </c>
      <c r="F2762" s="152" t="s">
        <v>2276</v>
      </c>
      <c r="G2762" s="152" t="s">
        <v>2276</v>
      </c>
      <c r="H2762" s="205" t="s">
        <v>523</v>
      </c>
      <c r="I2762" s="205">
        <v>2010</v>
      </c>
      <c r="J2762" s="205" t="s">
        <v>2276</v>
      </c>
      <c r="K2762" s="205" t="s">
        <v>2276</v>
      </c>
      <c r="L2762" s="205" t="s">
        <v>2276</v>
      </c>
      <c r="M2762" s="205" t="s">
        <v>2276</v>
      </c>
      <c r="N2762" s="205" t="s">
        <v>2276</v>
      </c>
      <c r="O2762" s="205" t="s">
        <v>2276</v>
      </c>
      <c r="P2762" s="205" t="s">
        <v>2276</v>
      </c>
      <c r="Q2762" s="205" t="s">
        <v>2276</v>
      </c>
      <c r="R2762" s="205" t="s">
        <v>2276</v>
      </c>
      <c r="S2762" s="205" t="s">
        <v>2276</v>
      </c>
      <c r="T2762" s="21">
        <f>2500*0.035</f>
        <v>87.500000000000014</v>
      </c>
      <c r="U2762" s="205" t="s">
        <v>2276</v>
      </c>
      <c r="V2762" s="205" t="s">
        <v>2276</v>
      </c>
      <c r="W2762" s="205" t="s">
        <v>2276</v>
      </c>
      <c r="X2762" s="21">
        <f>T2762/'Record info'!K$1135</f>
        <v>1.442704039571311E-2</v>
      </c>
      <c r="Y2762" s="205" t="s">
        <v>2276</v>
      </c>
      <c r="Z2762" s="205" t="s">
        <v>68</v>
      </c>
      <c r="AA2762" s="205" t="s">
        <v>86</v>
      </c>
      <c r="AB2762" s="205" t="s">
        <v>76</v>
      </c>
      <c r="AC2762" s="205"/>
      <c r="AD2762" s="205"/>
    </row>
    <row r="2763" spans="1:30" s="122" customFormat="1" ht="29" customHeight="1">
      <c r="A2763" s="19" t="s">
        <v>7458</v>
      </c>
      <c r="B2763" s="19" t="s">
        <v>7565</v>
      </c>
      <c r="C2763" s="205" t="s">
        <v>24</v>
      </c>
      <c r="D2763" s="205" t="s">
        <v>1242</v>
      </c>
      <c r="E2763" s="205" t="s">
        <v>3209</v>
      </c>
      <c r="F2763" s="152" t="s">
        <v>2276</v>
      </c>
      <c r="G2763" s="152" t="s">
        <v>2276</v>
      </c>
      <c r="H2763" s="205" t="s">
        <v>523</v>
      </c>
      <c r="I2763" s="205">
        <v>2010</v>
      </c>
      <c r="J2763" s="205" t="s">
        <v>2276</v>
      </c>
      <c r="K2763" s="205" t="s">
        <v>2276</v>
      </c>
      <c r="L2763" s="205" t="s">
        <v>2276</v>
      </c>
      <c r="M2763" s="205" t="s">
        <v>2276</v>
      </c>
      <c r="N2763" s="205" t="s">
        <v>2276</v>
      </c>
      <c r="O2763" s="205" t="s">
        <v>2276</v>
      </c>
      <c r="P2763" s="205" t="s">
        <v>2276</v>
      </c>
      <c r="Q2763" s="205" t="s">
        <v>2276</v>
      </c>
      <c r="R2763" s="205" t="s">
        <v>2276</v>
      </c>
      <c r="S2763" s="205" t="s">
        <v>2276</v>
      </c>
      <c r="T2763" s="21">
        <f>2500*0.079</f>
        <v>197.5</v>
      </c>
      <c r="U2763" s="205" t="s">
        <v>2276</v>
      </c>
      <c r="V2763" s="205" t="s">
        <v>2276</v>
      </c>
      <c r="W2763" s="205" t="s">
        <v>2276</v>
      </c>
      <c r="X2763" s="21">
        <f>T2763/'Record info'!K$1136</f>
        <v>2.9588014981273409E-2</v>
      </c>
      <c r="Y2763" s="205" t="s">
        <v>2276</v>
      </c>
      <c r="Z2763" s="205" t="s">
        <v>68</v>
      </c>
      <c r="AA2763" s="205" t="s">
        <v>86</v>
      </c>
      <c r="AB2763" s="205" t="s">
        <v>76</v>
      </c>
      <c r="AC2763" s="205"/>
      <c r="AD2763" s="205"/>
    </row>
    <row r="2764" spans="1:30" s="122" customFormat="1" ht="29" customHeight="1">
      <c r="A2764" s="19" t="s">
        <v>7459</v>
      </c>
      <c r="B2764" s="19" t="s">
        <v>7566</v>
      </c>
      <c r="C2764" s="205" t="s">
        <v>24</v>
      </c>
      <c r="D2764" s="205" t="s">
        <v>1242</v>
      </c>
      <c r="E2764" s="205" t="s">
        <v>3209</v>
      </c>
      <c r="F2764" s="152" t="s">
        <v>2276</v>
      </c>
      <c r="G2764" s="152" t="s">
        <v>2276</v>
      </c>
      <c r="H2764" s="205" t="s">
        <v>523</v>
      </c>
      <c r="I2764" s="205">
        <v>2010</v>
      </c>
      <c r="J2764" s="205" t="s">
        <v>2276</v>
      </c>
      <c r="K2764" s="205" t="s">
        <v>2276</v>
      </c>
      <c r="L2764" s="205" t="s">
        <v>2276</v>
      </c>
      <c r="M2764" s="205" t="s">
        <v>2276</v>
      </c>
      <c r="N2764" s="205" t="s">
        <v>2276</v>
      </c>
      <c r="O2764" s="205" t="s">
        <v>2276</v>
      </c>
      <c r="P2764" s="205" t="s">
        <v>2276</v>
      </c>
      <c r="Q2764" s="205" t="s">
        <v>2276</v>
      </c>
      <c r="R2764" s="205" t="s">
        <v>2276</v>
      </c>
      <c r="S2764" s="205" t="s">
        <v>2276</v>
      </c>
      <c r="T2764" s="21">
        <f>2500*0.132</f>
        <v>330</v>
      </c>
      <c r="U2764" s="205" t="s">
        <v>2276</v>
      </c>
      <c r="V2764" s="205" t="s">
        <v>2276</v>
      </c>
      <c r="W2764" s="205" t="s">
        <v>2276</v>
      </c>
      <c r="X2764" s="21">
        <f>T2764/'Record info'!K$1137</f>
        <v>5.9804276911924609E-2</v>
      </c>
      <c r="Y2764" s="205" t="s">
        <v>2276</v>
      </c>
      <c r="Z2764" s="205" t="s">
        <v>68</v>
      </c>
      <c r="AA2764" s="205" t="s">
        <v>86</v>
      </c>
      <c r="AB2764" s="205" t="s">
        <v>76</v>
      </c>
      <c r="AC2764" s="205"/>
      <c r="AD2764" s="205"/>
    </row>
    <row r="2765" spans="1:30" s="122" customFormat="1" ht="29" customHeight="1">
      <c r="A2765" s="19" t="s">
        <v>7460</v>
      </c>
      <c r="B2765" s="19" t="s">
        <v>7567</v>
      </c>
      <c r="C2765" s="205" t="s">
        <v>24</v>
      </c>
      <c r="D2765" s="205" t="s">
        <v>1242</v>
      </c>
      <c r="E2765" s="205" t="s">
        <v>3209</v>
      </c>
      <c r="F2765" s="152" t="s">
        <v>2276</v>
      </c>
      <c r="G2765" s="152" t="s">
        <v>2276</v>
      </c>
      <c r="H2765" s="205" t="s">
        <v>523</v>
      </c>
      <c r="I2765" s="205">
        <v>2010</v>
      </c>
      <c r="J2765" s="205" t="s">
        <v>2276</v>
      </c>
      <c r="K2765" s="205" t="s">
        <v>2276</v>
      </c>
      <c r="L2765" s="205" t="s">
        <v>2276</v>
      </c>
      <c r="M2765" s="205" t="s">
        <v>2276</v>
      </c>
      <c r="N2765" s="205" t="s">
        <v>2276</v>
      </c>
      <c r="O2765" s="205" t="s">
        <v>2276</v>
      </c>
      <c r="P2765" s="205" t="s">
        <v>2276</v>
      </c>
      <c r="Q2765" s="205" t="s">
        <v>2276</v>
      </c>
      <c r="R2765" s="205" t="s">
        <v>2276</v>
      </c>
      <c r="S2765" s="205" t="s">
        <v>2276</v>
      </c>
      <c r="T2765" s="21">
        <f>2500*0.057</f>
        <v>142.5</v>
      </c>
      <c r="U2765" s="205" t="s">
        <v>2276</v>
      </c>
      <c r="V2765" s="205" t="s">
        <v>2276</v>
      </c>
      <c r="W2765" s="205" t="s">
        <v>2276</v>
      </c>
      <c r="X2765" s="21">
        <f>T2765/'Record info'!K$1138</f>
        <v>3.6103369647833797E-2</v>
      </c>
      <c r="Y2765" s="205" t="s">
        <v>2276</v>
      </c>
      <c r="Z2765" s="205" t="s">
        <v>68</v>
      </c>
      <c r="AA2765" s="205" t="s">
        <v>86</v>
      </c>
      <c r="AB2765" s="205" t="s">
        <v>76</v>
      </c>
      <c r="AC2765" s="205"/>
      <c r="AD2765" s="205"/>
    </row>
    <row r="2766" spans="1:30" s="122" customFormat="1" ht="29" customHeight="1">
      <c r="A2766" s="19" t="s">
        <v>7461</v>
      </c>
      <c r="B2766" s="19" t="s">
        <v>7568</v>
      </c>
      <c r="C2766" s="205" t="s">
        <v>24</v>
      </c>
      <c r="D2766" s="205" t="s">
        <v>1242</v>
      </c>
      <c r="E2766" s="205" t="s">
        <v>3209</v>
      </c>
      <c r="F2766" s="152" t="s">
        <v>2276</v>
      </c>
      <c r="G2766" s="152" t="s">
        <v>2276</v>
      </c>
      <c r="H2766" s="205" t="s">
        <v>523</v>
      </c>
      <c r="I2766" s="205">
        <v>2010</v>
      </c>
      <c r="J2766" s="205" t="s">
        <v>2276</v>
      </c>
      <c r="K2766" s="205" t="s">
        <v>2276</v>
      </c>
      <c r="L2766" s="205" t="s">
        <v>2276</v>
      </c>
      <c r="M2766" s="205" t="s">
        <v>2276</v>
      </c>
      <c r="N2766" s="205" t="s">
        <v>2276</v>
      </c>
      <c r="O2766" s="205" t="s">
        <v>2276</v>
      </c>
      <c r="P2766" s="205" t="s">
        <v>2276</v>
      </c>
      <c r="Q2766" s="205" t="s">
        <v>2276</v>
      </c>
      <c r="R2766" s="205" t="s">
        <v>2276</v>
      </c>
      <c r="S2766" s="205" t="s">
        <v>2276</v>
      </c>
      <c r="T2766" s="21">
        <f>2500*0.024</f>
        <v>60</v>
      </c>
      <c r="U2766" s="205" t="s">
        <v>2276</v>
      </c>
      <c r="V2766" s="205" t="s">
        <v>2276</v>
      </c>
      <c r="W2766" s="205" t="s">
        <v>2276</v>
      </c>
      <c r="X2766" s="21">
        <f>T2766/'Record info'!K$1139</f>
        <v>2.1367521367521368E-2</v>
      </c>
      <c r="Y2766" s="205" t="s">
        <v>2276</v>
      </c>
      <c r="Z2766" s="205" t="s">
        <v>68</v>
      </c>
      <c r="AA2766" s="205" t="s">
        <v>86</v>
      </c>
      <c r="AB2766" s="205" t="s">
        <v>76</v>
      </c>
      <c r="AC2766" s="205"/>
      <c r="AD2766" s="205"/>
    </row>
    <row r="2767" spans="1:30" s="122" customFormat="1" ht="29" customHeight="1">
      <c r="A2767" s="19" t="s">
        <v>7462</v>
      </c>
      <c r="B2767" s="19" t="s">
        <v>7569</v>
      </c>
      <c r="C2767" s="205" t="s">
        <v>24</v>
      </c>
      <c r="D2767" s="205" t="s">
        <v>1242</v>
      </c>
      <c r="E2767" s="205" t="s">
        <v>3209</v>
      </c>
      <c r="F2767" s="152" t="s">
        <v>2276</v>
      </c>
      <c r="G2767" s="152" t="s">
        <v>2276</v>
      </c>
      <c r="H2767" s="205" t="s">
        <v>523</v>
      </c>
      <c r="I2767" s="205">
        <v>2010</v>
      </c>
      <c r="J2767" s="205" t="s">
        <v>2276</v>
      </c>
      <c r="K2767" s="205" t="s">
        <v>2276</v>
      </c>
      <c r="L2767" s="205" t="s">
        <v>2276</v>
      </c>
      <c r="M2767" s="205" t="s">
        <v>2276</v>
      </c>
      <c r="N2767" s="205" t="s">
        <v>2276</v>
      </c>
      <c r="O2767" s="205" t="s">
        <v>2276</v>
      </c>
      <c r="P2767" s="205" t="s">
        <v>2276</v>
      </c>
      <c r="Q2767" s="205" t="s">
        <v>2276</v>
      </c>
      <c r="R2767" s="205" t="s">
        <v>2276</v>
      </c>
      <c r="S2767" s="205" t="s">
        <v>2276</v>
      </c>
      <c r="T2767" s="21">
        <f>2500*0.072</f>
        <v>180</v>
      </c>
      <c r="U2767" s="205" t="s">
        <v>2276</v>
      </c>
      <c r="V2767" s="205" t="s">
        <v>2276</v>
      </c>
      <c r="W2767" s="205" t="s">
        <v>2276</v>
      </c>
      <c r="X2767" s="21">
        <f>T2767/'Record info'!K$1140</f>
        <v>3.5949670461354104E-2</v>
      </c>
      <c r="Y2767" s="205" t="s">
        <v>2276</v>
      </c>
      <c r="Z2767" s="205" t="s">
        <v>68</v>
      </c>
      <c r="AA2767" s="205" t="s">
        <v>86</v>
      </c>
      <c r="AB2767" s="205" t="s">
        <v>76</v>
      </c>
      <c r="AC2767" s="205"/>
      <c r="AD2767" s="205"/>
    </row>
    <row r="2768" spans="1:30" s="122" customFormat="1" ht="29" customHeight="1">
      <c r="A2768" s="19" t="s">
        <v>7463</v>
      </c>
      <c r="B2768" s="19" t="s">
        <v>7570</v>
      </c>
      <c r="C2768" s="205" t="s">
        <v>24</v>
      </c>
      <c r="D2768" s="205" t="s">
        <v>1242</v>
      </c>
      <c r="E2768" s="205" t="s">
        <v>3209</v>
      </c>
      <c r="F2768" s="152" t="s">
        <v>2276</v>
      </c>
      <c r="G2768" s="152" t="s">
        <v>2276</v>
      </c>
      <c r="H2768" s="205" t="s">
        <v>523</v>
      </c>
      <c r="I2768" s="205">
        <v>2010</v>
      </c>
      <c r="J2768" s="205" t="s">
        <v>2276</v>
      </c>
      <c r="K2768" s="205" t="s">
        <v>2276</v>
      </c>
      <c r="L2768" s="205" t="s">
        <v>2276</v>
      </c>
      <c r="M2768" s="205" t="s">
        <v>2276</v>
      </c>
      <c r="N2768" s="205" t="s">
        <v>2276</v>
      </c>
      <c r="O2768" s="205" t="s">
        <v>2276</v>
      </c>
      <c r="P2768" s="205" t="s">
        <v>2276</v>
      </c>
      <c r="Q2768" s="205" t="s">
        <v>2276</v>
      </c>
      <c r="R2768" s="205" t="s">
        <v>2276</v>
      </c>
      <c r="S2768" s="205" t="s">
        <v>2276</v>
      </c>
      <c r="T2768" s="21">
        <f>2500*0.068</f>
        <v>170</v>
      </c>
      <c r="U2768" s="205" t="s">
        <v>2276</v>
      </c>
      <c r="V2768" s="205" t="s">
        <v>2276</v>
      </c>
      <c r="W2768" s="205" t="s">
        <v>2276</v>
      </c>
      <c r="X2768" s="21">
        <f>T2768/'Record info'!K$1141</f>
        <v>0.14480408858603067</v>
      </c>
      <c r="Y2768" s="205" t="s">
        <v>2276</v>
      </c>
      <c r="Z2768" s="205" t="s">
        <v>68</v>
      </c>
      <c r="AA2768" s="205" t="s">
        <v>86</v>
      </c>
      <c r="AB2768" s="205" t="s">
        <v>76</v>
      </c>
      <c r="AC2768" s="205"/>
      <c r="AD2768" s="205"/>
    </row>
    <row r="2769" spans="1:30" s="122" customFormat="1" ht="29" customHeight="1">
      <c r="A2769" s="19" t="s">
        <v>7464</v>
      </c>
      <c r="B2769" s="19" t="s">
        <v>7571</v>
      </c>
      <c r="C2769" s="205" t="s">
        <v>24</v>
      </c>
      <c r="D2769" s="205" t="s">
        <v>1242</v>
      </c>
      <c r="E2769" s="205" t="s">
        <v>3209</v>
      </c>
      <c r="F2769" s="152" t="s">
        <v>2276</v>
      </c>
      <c r="G2769" s="152" t="s">
        <v>2276</v>
      </c>
      <c r="H2769" s="205" t="s">
        <v>523</v>
      </c>
      <c r="I2769" s="205">
        <v>2010</v>
      </c>
      <c r="J2769" s="205" t="s">
        <v>2276</v>
      </c>
      <c r="K2769" s="205" t="s">
        <v>2276</v>
      </c>
      <c r="L2769" s="205" t="s">
        <v>2276</v>
      </c>
      <c r="M2769" s="205" t="s">
        <v>2276</v>
      </c>
      <c r="N2769" s="205" t="s">
        <v>2276</v>
      </c>
      <c r="O2769" s="205" t="s">
        <v>2276</v>
      </c>
      <c r="P2769" s="205" t="s">
        <v>2276</v>
      </c>
      <c r="Q2769" s="205" t="s">
        <v>2276</v>
      </c>
      <c r="R2769" s="205" t="s">
        <v>2276</v>
      </c>
      <c r="S2769" s="205" t="s">
        <v>2276</v>
      </c>
      <c r="T2769" s="21">
        <f>2500*0.075</f>
        <v>187.5</v>
      </c>
      <c r="U2769" s="205" t="s">
        <v>2276</v>
      </c>
      <c r="V2769" s="205" t="s">
        <v>2276</v>
      </c>
      <c r="W2769" s="205" t="s">
        <v>2276</v>
      </c>
      <c r="X2769" s="21">
        <f>T2769/'Record info'!K$1142</f>
        <v>4.3322550831792976E-2</v>
      </c>
      <c r="Y2769" s="205" t="s">
        <v>2276</v>
      </c>
      <c r="Z2769" s="205" t="s">
        <v>68</v>
      </c>
      <c r="AA2769" s="205" t="s">
        <v>86</v>
      </c>
      <c r="AB2769" s="205" t="s">
        <v>76</v>
      </c>
      <c r="AC2769" s="205"/>
      <c r="AD2769" s="205"/>
    </row>
    <row r="2770" spans="1:30" s="122" customFormat="1" ht="29" customHeight="1">
      <c r="A2770" s="19" t="s">
        <v>7465</v>
      </c>
      <c r="B2770" s="19" t="s">
        <v>7572</v>
      </c>
      <c r="C2770" s="205" t="s">
        <v>24</v>
      </c>
      <c r="D2770" s="205" t="s">
        <v>1242</v>
      </c>
      <c r="E2770" s="205" t="s">
        <v>3209</v>
      </c>
      <c r="F2770" s="152" t="s">
        <v>2276</v>
      </c>
      <c r="G2770" s="152" t="s">
        <v>2276</v>
      </c>
      <c r="H2770" s="205" t="s">
        <v>523</v>
      </c>
      <c r="I2770" s="205">
        <v>2010</v>
      </c>
      <c r="J2770" s="205" t="s">
        <v>2276</v>
      </c>
      <c r="K2770" s="205" t="s">
        <v>2276</v>
      </c>
      <c r="L2770" s="205" t="s">
        <v>2276</v>
      </c>
      <c r="M2770" s="205" t="s">
        <v>2276</v>
      </c>
      <c r="N2770" s="205" t="s">
        <v>2276</v>
      </c>
      <c r="O2770" s="205" t="s">
        <v>2276</v>
      </c>
      <c r="P2770" s="205" t="s">
        <v>2276</v>
      </c>
      <c r="Q2770" s="205" t="s">
        <v>2276</v>
      </c>
      <c r="R2770" s="205" t="s">
        <v>2276</v>
      </c>
      <c r="S2770" s="205" t="s">
        <v>2276</v>
      </c>
      <c r="T2770" s="21">
        <f>2500*0.111</f>
        <v>277.5</v>
      </c>
      <c r="U2770" s="205" t="s">
        <v>2276</v>
      </c>
      <c r="V2770" s="205" t="s">
        <v>2276</v>
      </c>
      <c r="W2770" s="205" t="s">
        <v>2276</v>
      </c>
      <c r="X2770" s="21">
        <f>T2770/'Record info'!K$1143</f>
        <v>0.11586638830897704</v>
      </c>
      <c r="Y2770" s="205" t="s">
        <v>2276</v>
      </c>
      <c r="Z2770" s="205" t="s">
        <v>68</v>
      </c>
      <c r="AA2770" s="205" t="s">
        <v>86</v>
      </c>
      <c r="AB2770" s="205" t="s">
        <v>76</v>
      </c>
      <c r="AC2770" s="205"/>
      <c r="AD2770" s="205"/>
    </row>
    <row r="2771" spans="1:30" s="122" customFormat="1" ht="29" customHeight="1">
      <c r="A2771" s="19" t="s">
        <v>7466</v>
      </c>
      <c r="B2771" s="19" t="s">
        <v>7573</v>
      </c>
      <c r="C2771" s="205" t="s">
        <v>24</v>
      </c>
      <c r="D2771" s="205" t="s">
        <v>1242</v>
      </c>
      <c r="E2771" s="205" t="s">
        <v>3209</v>
      </c>
      <c r="F2771" s="152" t="s">
        <v>2276</v>
      </c>
      <c r="G2771" s="152" t="s">
        <v>2276</v>
      </c>
      <c r="H2771" s="205" t="s">
        <v>523</v>
      </c>
      <c r="I2771" s="205">
        <v>2010</v>
      </c>
      <c r="J2771" s="205" t="s">
        <v>2276</v>
      </c>
      <c r="K2771" s="205" t="s">
        <v>2276</v>
      </c>
      <c r="L2771" s="205" t="s">
        <v>2276</v>
      </c>
      <c r="M2771" s="205" t="s">
        <v>2276</v>
      </c>
      <c r="N2771" s="205" t="s">
        <v>2276</v>
      </c>
      <c r="O2771" s="205" t="s">
        <v>2276</v>
      </c>
      <c r="P2771" s="205" t="s">
        <v>2276</v>
      </c>
      <c r="Q2771" s="205" t="s">
        <v>2276</v>
      </c>
      <c r="R2771" s="205" t="s">
        <v>2276</v>
      </c>
      <c r="S2771" s="205" t="s">
        <v>2276</v>
      </c>
      <c r="T2771" s="21">
        <f>2500*0.106</f>
        <v>265</v>
      </c>
      <c r="U2771" s="205" t="s">
        <v>2276</v>
      </c>
      <c r="V2771" s="205" t="s">
        <v>2276</v>
      </c>
      <c r="W2771" s="205" t="s">
        <v>2276</v>
      </c>
      <c r="X2771" s="21">
        <f>T2771/'Record info'!K$1144</f>
        <v>9.9139543583988035E-2</v>
      </c>
      <c r="Y2771" s="205" t="s">
        <v>2276</v>
      </c>
      <c r="Z2771" s="205" t="s">
        <v>68</v>
      </c>
      <c r="AA2771" s="205" t="s">
        <v>86</v>
      </c>
      <c r="AB2771" s="205" t="s">
        <v>76</v>
      </c>
      <c r="AC2771" s="205"/>
      <c r="AD2771" s="205"/>
    </row>
    <row r="2772" spans="1:30" s="122" customFormat="1" ht="32.5" customHeight="1">
      <c r="A2772" s="19" t="s">
        <v>7467</v>
      </c>
      <c r="B2772" s="19" t="s">
        <v>7574</v>
      </c>
      <c r="C2772" s="205" t="s">
        <v>24</v>
      </c>
      <c r="D2772" s="205" t="s">
        <v>1242</v>
      </c>
      <c r="E2772" s="205" t="s">
        <v>3209</v>
      </c>
      <c r="F2772" s="152" t="s">
        <v>2276</v>
      </c>
      <c r="G2772" s="152" t="s">
        <v>2276</v>
      </c>
      <c r="H2772" s="205" t="s">
        <v>523</v>
      </c>
      <c r="I2772" s="205">
        <v>2010</v>
      </c>
      <c r="J2772" s="205" t="s">
        <v>2276</v>
      </c>
      <c r="K2772" s="205" t="s">
        <v>2276</v>
      </c>
      <c r="L2772" s="205" t="s">
        <v>2276</v>
      </c>
      <c r="M2772" s="205" t="s">
        <v>2276</v>
      </c>
      <c r="N2772" s="205" t="s">
        <v>2276</v>
      </c>
      <c r="O2772" s="205" t="s">
        <v>2276</v>
      </c>
      <c r="P2772" s="205" t="s">
        <v>2276</v>
      </c>
      <c r="Q2772" s="205" t="s">
        <v>2276</v>
      </c>
      <c r="R2772" s="205" t="s">
        <v>2276</v>
      </c>
      <c r="S2772" s="205" t="s">
        <v>2276</v>
      </c>
      <c r="T2772" s="21">
        <f>2500*0.166</f>
        <v>415</v>
      </c>
      <c r="U2772" s="205" t="s">
        <v>2276</v>
      </c>
      <c r="V2772" s="205" t="s">
        <v>2276</v>
      </c>
      <c r="W2772" s="205" t="s">
        <v>2276</v>
      </c>
      <c r="X2772" s="21">
        <f>T2772/'Record info'!K$1145</f>
        <v>0.18403547671840353</v>
      </c>
      <c r="Y2772" s="205" t="s">
        <v>2276</v>
      </c>
      <c r="Z2772" s="205" t="s">
        <v>68</v>
      </c>
      <c r="AA2772" s="205" t="s">
        <v>86</v>
      </c>
      <c r="AB2772" s="205" t="s">
        <v>76</v>
      </c>
      <c r="AC2772" s="205"/>
      <c r="AD2772" s="205"/>
    </row>
    <row r="2773" spans="1:30" ht="32.5" customHeight="1">
      <c r="A2773" s="19" t="s">
        <v>7365</v>
      </c>
      <c r="B2773" s="19" t="s">
        <v>7575</v>
      </c>
      <c r="C2773" s="205" t="s">
        <v>24</v>
      </c>
      <c r="D2773" s="205" t="s">
        <v>1242</v>
      </c>
      <c r="E2773" s="205" t="s">
        <v>3209</v>
      </c>
      <c r="F2773" s="152" t="s">
        <v>2276</v>
      </c>
      <c r="G2773" s="152" t="s">
        <v>2276</v>
      </c>
      <c r="H2773" s="205" t="s">
        <v>523</v>
      </c>
      <c r="I2773" s="205">
        <v>2011</v>
      </c>
      <c r="J2773" s="205" t="s">
        <v>2276</v>
      </c>
      <c r="K2773" s="205" t="s">
        <v>2276</v>
      </c>
      <c r="L2773" s="205" t="s">
        <v>2276</v>
      </c>
      <c r="M2773" s="205" t="s">
        <v>2276</v>
      </c>
      <c r="N2773" s="205" t="s">
        <v>2276</v>
      </c>
      <c r="O2773" s="205" t="s">
        <v>2276</v>
      </c>
      <c r="P2773" s="205" t="s">
        <v>2276</v>
      </c>
      <c r="Q2773" s="205" t="s">
        <v>2276</v>
      </c>
      <c r="R2773" s="205" t="s">
        <v>2276</v>
      </c>
      <c r="S2773" s="205" t="s">
        <v>2276</v>
      </c>
      <c r="T2773" s="21">
        <f>1750*0.027</f>
        <v>47.25</v>
      </c>
      <c r="U2773" s="205" t="s">
        <v>2276</v>
      </c>
      <c r="V2773" s="205" t="s">
        <v>2276</v>
      </c>
      <c r="W2773" s="205" t="s">
        <v>2276</v>
      </c>
      <c r="X2773" s="21">
        <f>T2773/'Record info'!K$1128</f>
        <v>1.6875000000000001E-2</v>
      </c>
      <c r="Y2773" s="205" t="s">
        <v>2276</v>
      </c>
      <c r="Z2773" s="205" t="s">
        <v>68</v>
      </c>
      <c r="AA2773" s="205" t="s">
        <v>86</v>
      </c>
      <c r="AB2773" s="205" t="s">
        <v>76</v>
      </c>
      <c r="AC2773" s="205"/>
      <c r="AD2773" s="205"/>
    </row>
    <row r="2774" spans="1:30" ht="32.5" customHeight="1">
      <c r="A2774" s="19" t="s">
        <v>7451</v>
      </c>
      <c r="B2774" s="19" t="s">
        <v>7576</v>
      </c>
      <c r="C2774" s="205" t="s">
        <v>24</v>
      </c>
      <c r="D2774" s="205" t="s">
        <v>1242</v>
      </c>
      <c r="E2774" s="205" t="s">
        <v>3209</v>
      </c>
      <c r="F2774" s="152" t="s">
        <v>2276</v>
      </c>
      <c r="G2774" s="152" t="s">
        <v>2276</v>
      </c>
      <c r="H2774" s="205" t="s">
        <v>523</v>
      </c>
      <c r="I2774" s="205">
        <v>2011</v>
      </c>
      <c r="J2774" s="205" t="s">
        <v>2276</v>
      </c>
      <c r="K2774" s="205" t="s">
        <v>2276</v>
      </c>
      <c r="L2774" s="205" t="s">
        <v>2276</v>
      </c>
      <c r="M2774" s="205" t="s">
        <v>2276</v>
      </c>
      <c r="N2774" s="205" t="s">
        <v>2276</v>
      </c>
      <c r="O2774" s="205" t="s">
        <v>2276</v>
      </c>
      <c r="P2774" s="205" t="s">
        <v>2276</v>
      </c>
      <c r="Q2774" s="205" t="s">
        <v>2276</v>
      </c>
      <c r="R2774" s="205" t="s">
        <v>2276</v>
      </c>
      <c r="S2774" s="205" t="s">
        <v>2276</v>
      </c>
      <c r="T2774" s="21">
        <f>1750*0.041</f>
        <v>71.75</v>
      </c>
      <c r="U2774" s="205" t="s">
        <v>2276</v>
      </c>
      <c r="V2774" s="205" t="s">
        <v>2276</v>
      </c>
      <c r="W2774" s="205" t="s">
        <v>2276</v>
      </c>
      <c r="X2774" s="21">
        <f>T2774/'Record info'!K$1129</f>
        <v>2.0412517780938833E-2</v>
      </c>
      <c r="Y2774" s="205" t="s">
        <v>2276</v>
      </c>
      <c r="Z2774" s="205" t="s">
        <v>68</v>
      </c>
      <c r="AA2774" s="205" t="s">
        <v>86</v>
      </c>
      <c r="AB2774" s="205" t="s">
        <v>76</v>
      </c>
      <c r="AC2774" s="205"/>
      <c r="AD2774" s="205"/>
    </row>
    <row r="2775" spans="1:30" ht="32.5" customHeight="1">
      <c r="A2775" s="19" t="s">
        <v>7452</v>
      </c>
      <c r="B2775" s="19" t="s">
        <v>7577</v>
      </c>
      <c r="C2775" s="205" t="s">
        <v>24</v>
      </c>
      <c r="D2775" s="205" t="s">
        <v>1242</v>
      </c>
      <c r="E2775" s="205" t="s">
        <v>3209</v>
      </c>
      <c r="F2775" s="152" t="s">
        <v>2276</v>
      </c>
      <c r="G2775" s="152" t="s">
        <v>2276</v>
      </c>
      <c r="H2775" s="205" t="s">
        <v>523</v>
      </c>
      <c r="I2775" s="205">
        <v>2011</v>
      </c>
      <c r="J2775" s="205" t="s">
        <v>2276</v>
      </c>
      <c r="K2775" s="205" t="s">
        <v>2276</v>
      </c>
      <c r="L2775" s="205" t="s">
        <v>2276</v>
      </c>
      <c r="M2775" s="205" t="s">
        <v>2276</v>
      </c>
      <c r="N2775" s="205" t="s">
        <v>2276</v>
      </c>
      <c r="O2775" s="205" t="s">
        <v>2276</v>
      </c>
      <c r="P2775" s="205" t="s">
        <v>2276</v>
      </c>
      <c r="Q2775" s="205" t="s">
        <v>2276</v>
      </c>
      <c r="R2775" s="205" t="s">
        <v>2276</v>
      </c>
      <c r="S2775" s="205" t="s">
        <v>2276</v>
      </c>
      <c r="T2775" s="21">
        <f>1750*0.004</f>
        <v>7</v>
      </c>
      <c r="U2775" s="205" t="s">
        <v>2276</v>
      </c>
      <c r="V2775" s="205" t="s">
        <v>2276</v>
      </c>
      <c r="W2775" s="205" t="s">
        <v>2276</v>
      </c>
      <c r="X2775" s="21">
        <f>T2775/'Record info'!K$1130</f>
        <v>1.037498147324737E-3</v>
      </c>
      <c r="Y2775" s="205" t="s">
        <v>2276</v>
      </c>
      <c r="Z2775" s="205" t="s">
        <v>68</v>
      </c>
      <c r="AA2775" s="205" t="s">
        <v>86</v>
      </c>
      <c r="AB2775" s="205" t="s">
        <v>76</v>
      </c>
      <c r="AC2775" s="205"/>
      <c r="AD2775" s="205"/>
    </row>
    <row r="2776" spans="1:30" ht="32.5" customHeight="1">
      <c r="A2776" s="19" t="s">
        <v>7453</v>
      </c>
      <c r="B2776" s="19" t="s">
        <v>7578</v>
      </c>
      <c r="C2776" s="205" t="s">
        <v>24</v>
      </c>
      <c r="D2776" s="205" t="s">
        <v>1242</v>
      </c>
      <c r="E2776" s="205" t="s">
        <v>3209</v>
      </c>
      <c r="F2776" s="152" t="s">
        <v>2276</v>
      </c>
      <c r="G2776" s="152" t="s">
        <v>2276</v>
      </c>
      <c r="H2776" s="205" t="s">
        <v>523</v>
      </c>
      <c r="I2776" s="205">
        <v>2011</v>
      </c>
      <c r="J2776" s="205" t="s">
        <v>2276</v>
      </c>
      <c r="K2776" s="205" t="s">
        <v>2276</v>
      </c>
      <c r="L2776" s="205" t="s">
        <v>2276</v>
      </c>
      <c r="M2776" s="205" t="s">
        <v>2276</v>
      </c>
      <c r="N2776" s="205" t="s">
        <v>2276</v>
      </c>
      <c r="O2776" s="205" t="s">
        <v>2276</v>
      </c>
      <c r="P2776" s="205" t="s">
        <v>2276</v>
      </c>
      <c r="Q2776" s="205" t="s">
        <v>2276</v>
      </c>
      <c r="R2776" s="205" t="s">
        <v>2276</v>
      </c>
      <c r="S2776" s="205" t="s">
        <v>2276</v>
      </c>
      <c r="T2776" s="21">
        <f>1750*0.004</f>
        <v>7</v>
      </c>
      <c r="U2776" s="205" t="s">
        <v>2276</v>
      </c>
      <c r="V2776" s="205" t="s">
        <v>2276</v>
      </c>
      <c r="W2776" s="205" t="s">
        <v>2276</v>
      </c>
      <c r="X2776" s="21">
        <f>T2776/'Record info'!K$1131</f>
        <v>1.382306477093207E-3</v>
      </c>
      <c r="Y2776" s="205" t="s">
        <v>2276</v>
      </c>
      <c r="Z2776" s="205" t="s">
        <v>68</v>
      </c>
      <c r="AA2776" s="205" t="s">
        <v>86</v>
      </c>
      <c r="AB2776" s="205" t="s">
        <v>76</v>
      </c>
      <c r="AC2776" s="205"/>
      <c r="AD2776" s="205"/>
    </row>
    <row r="2777" spans="1:30" ht="32.5" customHeight="1">
      <c r="A2777" s="19" t="s">
        <v>7454</v>
      </c>
      <c r="B2777" s="19" t="s">
        <v>7579</v>
      </c>
      <c r="C2777" s="205" t="s">
        <v>24</v>
      </c>
      <c r="D2777" s="205" t="s">
        <v>1242</v>
      </c>
      <c r="E2777" s="205" t="s">
        <v>3209</v>
      </c>
      <c r="F2777" s="152" t="s">
        <v>2276</v>
      </c>
      <c r="G2777" s="152" t="s">
        <v>2276</v>
      </c>
      <c r="H2777" s="205" t="s">
        <v>524</v>
      </c>
      <c r="I2777" s="205">
        <v>2011</v>
      </c>
      <c r="J2777" s="21">
        <v>0</v>
      </c>
      <c r="K2777" s="21">
        <v>0</v>
      </c>
      <c r="L2777" s="21">
        <v>0</v>
      </c>
      <c r="M2777" s="21">
        <v>0</v>
      </c>
      <c r="N2777" s="21">
        <v>0</v>
      </c>
      <c r="O2777" s="21">
        <v>0</v>
      </c>
      <c r="P2777" s="21">
        <v>0</v>
      </c>
      <c r="Q2777" s="21">
        <v>0</v>
      </c>
      <c r="R2777" s="21">
        <v>0</v>
      </c>
      <c r="S2777" s="21">
        <v>0</v>
      </c>
      <c r="T2777" s="21">
        <v>0</v>
      </c>
      <c r="U2777" s="21">
        <v>0</v>
      </c>
      <c r="V2777" s="21">
        <v>0</v>
      </c>
      <c r="W2777" s="21">
        <v>0</v>
      </c>
      <c r="X2777" s="21">
        <f>T2777/'Record info'!K$1132</f>
        <v>0</v>
      </c>
      <c r="Y2777" s="205" t="s">
        <v>2276</v>
      </c>
      <c r="Z2777" s="205" t="s">
        <v>68</v>
      </c>
      <c r="AA2777" s="205" t="s">
        <v>86</v>
      </c>
      <c r="AB2777" s="205" t="s">
        <v>76</v>
      </c>
      <c r="AC2777" s="205"/>
      <c r="AD2777" s="205"/>
    </row>
    <row r="2778" spans="1:30" ht="32.5" customHeight="1">
      <c r="A2778" s="19" t="s">
        <v>7455</v>
      </c>
      <c r="B2778" s="19" t="s">
        <v>7580</v>
      </c>
      <c r="C2778" s="205" t="s">
        <v>24</v>
      </c>
      <c r="D2778" s="205" t="s">
        <v>1242</v>
      </c>
      <c r="E2778" s="205" t="s">
        <v>3209</v>
      </c>
      <c r="F2778" s="152" t="s">
        <v>2276</v>
      </c>
      <c r="G2778" s="152" t="s">
        <v>2276</v>
      </c>
      <c r="H2778" s="205" t="s">
        <v>524</v>
      </c>
      <c r="I2778" s="205">
        <v>2011</v>
      </c>
      <c r="J2778" s="21">
        <v>0</v>
      </c>
      <c r="K2778" s="21">
        <v>0</v>
      </c>
      <c r="L2778" s="21">
        <v>0</v>
      </c>
      <c r="M2778" s="21">
        <v>0</v>
      </c>
      <c r="N2778" s="21">
        <v>0</v>
      </c>
      <c r="O2778" s="21">
        <v>0</v>
      </c>
      <c r="P2778" s="21">
        <v>0</v>
      </c>
      <c r="Q2778" s="21">
        <v>0</v>
      </c>
      <c r="R2778" s="21">
        <v>0</v>
      </c>
      <c r="S2778" s="21">
        <v>0</v>
      </c>
      <c r="T2778" s="21">
        <v>0</v>
      </c>
      <c r="U2778" s="21">
        <v>0</v>
      </c>
      <c r="V2778" s="21">
        <v>0</v>
      </c>
      <c r="W2778" s="21">
        <v>0</v>
      </c>
      <c r="X2778" s="21">
        <f>T2778/'Record info'!K$1133</f>
        <v>0</v>
      </c>
      <c r="Y2778" s="205" t="s">
        <v>2276</v>
      </c>
      <c r="Z2778" s="205" t="s">
        <v>68</v>
      </c>
      <c r="AA2778" s="205" t="s">
        <v>86</v>
      </c>
      <c r="AB2778" s="205" t="s">
        <v>76</v>
      </c>
      <c r="AC2778" s="205"/>
      <c r="AD2778" s="205"/>
    </row>
    <row r="2779" spans="1:30" ht="32.5" customHeight="1">
      <c r="A2779" s="19" t="s">
        <v>7456</v>
      </c>
      <c r="B2779" s="19" t="s">
        <v>7581</v>
      </c>
      <c r="C2779" s="205" t="s">
        <v>24</v>
      </c>
      <c r="D2779" s="205" t="s">
        <v>1242</v>
      </c>
      <c r="E2779" s="205" t="s">
        <v>3209</v>
      </c>
      <c r="F2779" s="152" t="s">
        <v>2276</v>
      </c>
      <c r="G2779" s="152" t="s">
        <v>2276</v>
      </c>
      <c r="H2779" s="205" t="s">
        <v>524</v>
      </c>
      <c r="I2779" s="205">
        <v>2011</v>
      </c>
      <c r="J2779" s="21">
        <v>0</v>
      </c>
      <c r="K2779" s="21">
        <v>0</v>
      </c>
      <c r="L2779" s="21">
        <v>0</v>
      </c>
      <c r="M2779" s="21">
        <v>0</v>
      </c>
      <c r="N2779" s="21">
        <v>0</v>
      </c>
      <c r="O2779" s="21">
        <v>0</v>
      </c>
      <c r="P2779" s="21">
        <v>0</v>
      </c>
      <c r="Q2779" s="21">
        <v>0</v>
      </c>
      <c r="R2779" s="21">
        <v>0</v>
      </c>
      <c r="S2779" s="21">
        <v>0</v>
      </c>
      <c r="T2779" s="21">
        <v>0</v>
      </c>
      <c r="U2779" s="21">
        <v>0</v>
      </c>
      <c r="V2779" s="21">
        <v>0</v>
      </c>
      <c r="W2779" s="21">
        <v>0</v>
      </c>
      <c r="X2779" s="21">
        <f>T2779/'Record info'!K$1134</f>
        <v>0</v>
      </c>
      <c r="Y2779" s="205" t="s">
        <v>2276</v>
      </c>
      <c r="Z2779" s="205" t="s">
        <v>68</v>
      </c>
      <c r="AA2779" s="205" t="s">
        <v>86</v>
      </c>
      <c r="AB2779" s="205" t="s">
        <v>76</v>
      </c>
      <c r="AC2779" s="205"/>
      <c r="AD2779" s="205"/>
    </row>
    <row r="2780" spans="1:30" ht="32.5" customHeight="1">
      <c r="A2780" s="19" t="s">
        <v>7457</v>
      </c>
      <c r="B2780" s="19" t="s">
        <v>7582</v>
      </c>
      <c r="C2780" s="205" t="s">
        <v>24</v>
      </c>
      <c r="D2780" s="205" t="s">
        <v>1242</v>
      </c>
      <c r="E2780" s="205" t="s">
        <v>3209</v>
      </c>
      <c r="F2780" s="152" t="s">
        <v>2276</v>
      </c>
      <c r="G2780" s="152" t="s">
        <v>2276</v>
      </c>
      <c r="H2780" s="205" t="s">
        <v>523</v>
      </c>
      <c r="I2780" s="205">
        <v>2011</v>
      </c>
      <c r="J2780" s="205" t="s">
        <v>2276</v>
      </c>
      <c r="K2780" s="205" t="s">
        <v>2276</v>
      </c>
      <c r="L2780" s="205" t="s">
        <v>2276</v>
      </c>
      <c r="M2780" s="205" t="s">
        <v>2276</v>
      </c>
      <c r="N2780" s="205" t="s">
        <v>2276</v>
      </c>
      <c r="O2780" s="205" t="s">
        <v>2276</v>
      </c>
      <c r="P2780" s="205" t="s">
        <v>2276</v>
      </c>
      <c r="Q2780" s="205" t="s">
        <v>2276</v>
      </c>
      <c r="R2780" s="205" t="s">
        <v>2276</v>
      </c>
      <c r="S2780" s="205" t="s">
        <v>2276</v>
      </c>
      <c r="T2780" s="21">
        <f>1750*0.035</f>
        <v>61.250000000000007</v>
      </c>
      <c r="U2780" s="205" t="s">
        <v>2276</v>
      </c>
      <c r="V2780" s="205" t="s">
        <v>2276</v>
      </c>
      <c r="W2780" s="205" t="s">
        <v>2276</v>
      </c>
      <c r="X2780" s="21">
        <f>T2780/'Record info'!K$1135</f>
        <v>1.0098928276999177E-2</v>
      </c>
      <c r="Y2780" s="205" t="s">
        <v>2276</v>
      </c>
      <c r="Z2780" s="205" t="s">
        <v>68</v>
      </c>
      <c r="AA2780" s="205" t="s">
        <v>86</v>
      </c>
      <c r="AB2780" s="205" t="s">
        <v>76</v>
      </c>
      <c r="AC2780" s="205"/>
      <c r="AD2780" s="205"/>
    </row>
    <row r="2781" spans="1:30" ht="32.5" customHeight="1">
      <c r="A2781" s="19" t="s">
        <v>7458</v>
      </c>
      <c r="B2781" s="19" t="s">
        <v>7583</v>
      </c>
      <c r="C2781" s="205" t="s">
        <v>24</v>
      </c>
      <c r="D2781" s="205" t="s">
        <v>1242</v>
      </c>
      <c r="E2781" s="205" t="s">
        <v>3209</v>
      </c>
      <c r="F2781" s="152" t="s">
        <v>2276</v>
      </c>
      <c r="G2781" s="152" t="s">
        <v>2276</v>
      </c>
      <c r="H2781" s="205" t="s">
        <v>523</v>
      </c>
      <c r="I2781" s="205">
        <v>2011</v>
      </c>
      <c r="J2781" s="205" t="s">
        <v>2276</v>
      </c>
      <c r="K2781" s="205" t="s">
        <v>2276</v>
      </c>
      <c r="L2781" s="205" t="s">
        <v>2276</v>
      </c>
      <c r="M2781" s="205" t="s">
        <v>2276</v>
      </c>
      <c r="N2781" s="205" t="s">
        <v>2276</v>
      </c>
      <c r="O2781" s="205" t="s">
        <v>2276</v>
      </c>
      <c r="P2781" s="205" t="s">
        <v>2276</v>
      </c>
      <c r="Q2781" s="205" t="s">
        <v>2276</v>
      </c>
      <c r="R2781" s="205" t="s">
        <v>2276</v>
      </c>
      <c r="S2781" s="205" t="s">
        <v>2276</v>
      </c>
      <c r="T2781" s="21">
        <f>1750*0.079</f>
        <v>138.25</v>
      </c>
      <c r="U2781" s="205" t="s">
        <v>2276</v>
      </c>
      <c r="V2781" s="205" t="s">
        <v>2276</v>
      </c>
      <c r="W2781" s="205" t="s">
        <v>2276</v>
      </c>
      <c r="X2781" s="21">
        <f>T2781/'Record info'!K$1136</f>
        <v>2.0711610486891387E-2</v>
      </c>
      <c r="Y2781" s="205" t="s">
        <v>2276</v>
      </c>
      <c r="Z2781" s="205" t="s">
        <v>68</v>
      </c>
      <c r="AA2781" s="205" t="s">
        <v>86</v>
      </c>
      <c r="AB2781" s="205" t="s">
        <v>76</v>
      </c>
      <c r="AC2781" s="205"/>
      <c r="AD2781" s="205"/>
    </row>
    <row r="2782" spans="1:30" ht="32.5" customHeight="1">
      <c r="A2782" s="19" t="s">
        <v>7459</v>
      </c>
      <c r="B2782" s="19" t="s">
        <v>7584</v>
      </c>
      <c r="C2782" s="205" t="s">
        <v>24</v>
      </c>
      <c r="D2782" s="205" t="s">
        <v>1242</v>
      </c>
      <c r="E2782" s="205" t="s">
        <v>3209</v>
      </c>
      <c r="F2782" s="152" t="s">
        <v>2276</v>
      </c>
      <c r="G2782" s="152" t="s">
        <v>2276</v>
      </c>
      <c r="H2782" s="205" t="s">
        <v>523</v>
      </c>
      <c r="I2782" s="205">
        <v>2011</v>
      </c>
      <c r="J2782" s="205" t="s">
        <v>2276</v>
      </c>
      <c r="K2782" s="205" t="s">
        <v>2276</v>
      </c>
      <c r="L2782" s="205" t="s">
        <v>2276</v>
      </c>
      <c r="M2782" s="205" t="s">
        <v>2276</v>
      </c>
      <c r="N2782" s="205" t="s">
        <v>2276</v>
      </c>
      <c r="O2782" s="205" t="s">
        <v>2276</v>
      </c>
      <c r="P2782" s="205" t="s">
        <v>2276</v>
      </c>
      <c r="Q2782" s="205" t="s">
        <v>2276</v>
      </c>
      <c r="R2782" s="205" t="s">
        <v>2276</v>
      </c>
      <c r="S2782" s="205" t="s">
        <v>2276</v>
      </c>
      <c r="T2782" s="21">
        <f>1750*0.132</f>
        <v>231</v>
      </c>
      <c r="U2782" s="205" t="s">
        <v>2276</v>
      </c>
      <c r="V2782" s="205" t="s">
        <v>2276</v>
      </c>
      <c r="W2782" s="205" t="s">
        <v>2276</v>
      </c>
      <c r="X2782" s="21">
        <f>T2782/'Record info'!K$1137</f>
        <v>4.1862993838347226E-2</v>
      </c>
      <c r="Y2782" s="205" t="s">
        <v>2276</v>
      </c>
      <c r="Z2782" s="205" t="s">
        <v>68</v>
      </c>
      <c r="AA2782" s="205" t="s">
        <v>86</v>
      </c>
      <c r="AB2782" s="205" t="s">
        <v>76</v>
      </c>
      <c r="AC2782" s="205"/>
      <c r="AD2782" s="205"/>
    </row>
    <row r="2783" spans="1:30" ht="32.5" customHeight="1">
      <c r="A2783" s="19" t="s">
        <v>7460</v>
      </c>
      <c r="B2783" s="19" t="s">
        <v>7585</v>
      </c>
      <c r="C2783" s="205" t="s">
        <v>24</v>
      </c>
      <c r="D2783" s="205" t="s">
        <v>1242</v>
      </c>
      <c r="E2783" s="205" t="s">
        <v>3209</v>
      </c>
      <c r="F2783" s="152" t="s">
        <v>2276</v>
      </c>
      <c r="G2783" s="152" t="s">
        <v>2276</v>
      </c>
      <c r="H2783" s="205" t="s">
        <v>523</v>
      </c>
      <c r="I2783" s="205">
        <v>2011</v>
      </c>
      <c r="J2783" s="205" t="s">
        <v>2276</v>
      </c>
      <c r="K2783" s="205" t="s">
        <v>2276</v>
      </c>
      <c r="L2783" s="205" t="s">
        <v>2276</v>
      </c>
      <c r="M2783" s="205" t="s">
        <v>2276</v>
      </c>
      <c r="N2783" s="205" t="s">
        <v>2276</v>
      </c>
      <c r="O2783" s="205" t="s">
        <v>2276</v>
      </c>
      <c r="P2783" s="205" t="s">
        <v>2276</v>
      </c>
      <c r="Q2783" s="205" t="s">
        <v>2276</v>
      </c>
      <c r="R2783" s="205" t="s">
        <v>2276</v>
      </c>
      <c r="S2783" s="205" t="s">
        <v>2276</v>
      </c>
      <c r="T2783" s="21">
        <f>1750*0.057</f>
        <v>99.75</v>
      </c>
      <c r="U2783" s="205" t="s">
        <v>2276</v>
      </c>
      <c r="V2783" s="205" t="s">
        <v>2276</v>
      </c>
      <c r="W2783" s="205" t="s">
        <v>2276</v>
      </c>
      <c r="X2783" s="21">
        <f>T2783/'Record info'!K$1138</f>
        <v>2.5272358753483659E-2</v>
      </c>
      <c r="Y2783" s="205" t="s">
        <v>2276</v>
      </c>
      <c r="Z2783" s="205" t="s">
        <v>68</v>
      </c>
      <c r="AA2783" s="205" t="s">
        <v>86</v>
      </c>
      <c r="AB2783" s="205" t="s">
        <v>76</v>
      </c>
      <c r="AC2783" s="205"/>
      <c r="AD2783" s="205"/>
    </row>
    <row r="2784" spans="1:30" ht="32.5" customHeight="1">
      <c r="A2784" s="19" t="s">
        <v>7461</v>
      </c>
      <c r="B2784" s="19" t="s">
        <v>7586</v>
      </c>
      <c r="C2784" s="205" t="s">
        <v>24</v>
      </c>
      <c r="D2784" s="205" t="s">
        <v>1242</v>
      </c>
      <c r="E2784" s="205" t="s">
        <v>3209</v>
      </c>
      <c r="F2784" s="152" t="s">
        <v>2276</v>
      </c>
      <c r="G2784" s="152" t="s">
        <v>2276</v>
      </c>
      <c r="H2784" s="205" t="s">
        <v>523</v>
      </c>
      <c r="I2784" s="205">
        <v>2011</v>
      </c>
      <c r="J2784" s="205" t="s">
        <v>2276</v>
      </c>
      <c r="K2784" s="205" t="s">
        <v>2276</v>
      </c>
      <c r="L2784" s="205" t="s">
        <v>2276</v>
      </c>
      <c r="M2784" s="205" t="s">
        <v>2276</v>
      </c>
      <c r="N2784" s="205" t="s">
        <v>2276</v>
      </c>
      <c r="O2784" s="205" t="s">
        <v>2276</v>
      </c>
      <c r="P2784" s="205" t="s">
        <v>2276</v>
      </c>
      <c r="Q2784" s="205" t="s">
        <v>2276</v>
      </c>
      <c r="R2784" s="205" t="s">
        <v>2276</v>
      </c>
      <c r="S2784" s="205" t="s">
        <v>2276</v>
      </c>
      <c r="T2784" s="21">
        <f>1750*0.024</f>
        <v>42</v>
      </c>
      <c r="U2784" s="205" t="s">
        <v>2276</v>
      </c>
      <c r="V2784" s="205" t="s">
        <v>2276</v>
      </c>
      <c r="W2784" s="205" t="s">
        <v>2276</v>
      </c>
      <c r="X2784" s="21">
        <f>T2784/'Record info'!K$1139</f>
        <v>1.4957264957264958E-2</v>
      </c>
      <c r="Y2784" s="205" t="s">
        <v>2276</v>
      </c>
      <c r="Z2784" s="205" t="s">
        <v>68</v>
      </c>
      <c r="AA2784" s="205" t="s">
        <v>86</v>
      </c>
      <c r="AB2784" s="205" t="s">
        <v>76</v>
      </c>
      <c r="AC2784" s="205"/>
      <c r="AD2784" s="205"/>
    </row>
    <row r="2785" spans="1:30" ht="32.5" customHeight="1">
      <c r="A2785" s="19" t="s">
        <v>7462</v>
      </c>
      <c r="B2785" s="19" t="s">
        <v>7587</v>
      </c>
      <c r="C2785" s="205" t="s">
        <v>24</v>
      </c>
      <c r="D2785" s="205" t="s">
        <v>1242</v>
      </c>
      <c r="E2785" s="205" t="s">
        <v>3209</v>
      </c>
      <c r="F2785" s="152" t="s">
        <v>2276</v>
      </c>
      <c r="G2785" s="152" t="s">
        <v>2276</v>
      </c>
      <c r="H2785" s="205" t="s">
        <v>523</v>
      </c>
      <c r="I2785" s="205">
        <v>2011</v>
      </c>
      <c r="J2785" s="205" t="s">
        <v>2276</v>
      </c>
      <c r="K2785" s="205" t="s">
        <v>2276</v>
      </c>
      <c r="L2785" s="205" t="s">
        <v>2276</v>
      </c>
      <c r="M2785" s="205" t="s">
        <v>2276</v>
      </c>
      <c r="N2785" s="205" t="s">
        <v>2276</v>
      </c>
      <c r="O2785" s="205" t="s">
        <v>2276</v>
      </c>
      <c r="P2785" s="205" t="s">
        <v>2276</v>
      </c>
      <c r="Q2785" s="205" t="s">
        <v>2276</v>
      </c>
      <c r="R2785" s="205" t="s">
        <v>2276</v>
      </c>
      <c r="S2785" s="205" t="s">
        <v>2276</v>
      </c>
      <c r="T2785" s="21">
        <f>1750*0.072</f>
        <v>125.99999999999999</v>
      </c>
      <c r="U2785" s="205" t="s">
        <v>2276</v>
      </c>
      <c r="V2785" s="205" t="s">
        <v>2276</v>
      </c>
      <c r="W2785" s="205" t="s">
        <v>2276</v>
      </c>
      <c r="X2785" s="21">
        <f>T2785/'Record info'!K$1140</f>
        <v>2.516476932294787E-2</v>
      </c>
      <c r="Y2785" s="205" t="s">
        <v>2276</v>
      </c>
      <c r="Z2785" s="205" t="s">
        <v>68</v>
      </c>
      <c r="AA2785" s="205" t="s">
        <v>86</v>
      </c>
      <c r="AB2785" s="205" t="s">
        <v>76</v>
      </c>
      <c r="AC2785" s="205"/>
      <c r="AD2785" s="205"/>
    </row>
    <row r="2786" spans="1:30" ht="32.5" customHeight="1">
      <c r="A2786" s="19" t="s">
        <v>7463</v>
      </c>
      <c r="B2786" s="19" t="s">
        <v>7588</v>
      </c>
      <c r="C2786" s="205" t="s">
        <v>24</v>
      </c>
      <c r="D2786" s="205" t="s">
        <v>1242</v>
      </c>
      <c r="E2786" s="205" t="s">
        <v>3209</v>
      </c>
      <c r="F2786" s="152" t="s">
        <v>2276</v>
      </c>
      <c r="G2786" s="152" t="s">
        <v>2276</v>
      </c>
      <c r="H2786" s="205" t="s">
        <v>523</v>
      </c>
      <c r="I2786" s="205">
        <v>2011</v>
      </c>
      <c r="J2786" s="205" t="s">
        <v>2276</v>
      </c>
      <c r="K2786" s="205" t="s">
        <v>2276</v>
      </c>
      <c r="L2786" s="205" t="s">
        <v>2276</v>
      </c>
      <c r="M2786" s="205" t="s">
        <v>2276</v>
      </c>
      <c r="N2786" s="205" t="s">
        <v>2276</v>
      </c>
      <c r="O2786" s="205" t="s">
        <v>2276</v>
      </c>
      <c r="P2786" s="205" t="s">
        <v>2276</v>
      </c>
      <c r="Q2786" s="205" t="s">
        <v>2276</v>
      </c>
      <c r="R2786" s="205" t="s">
        <v>2276</v>
      </c>
      <c r="S2786" s="205" t="s">
        <v>2276</v>
      </c>
      <c r="T2786" s="21">
        <f>1750*0.068</f>
        <v>119.00000000000001</v>
      </c>
      <c r="U2786" s="205" t="s">
        <v>2276</v>
      </c>
      <c r="V2786" s="205" t="s">
        <v>2276</v>
      </c>
      <c r="W2786" s="205" t="s">
        <v>2276</v>
      </c>
      <c r="X2786" s="21">
        <f>T2786/'Record info'!K$1141</f>
        <v>0.10136286201022147</v>
      </c>
      <c r="Y2786" s="205" t="s">
        <v>2276</v>
      </c>
      <c r="Z2786" s="205" t="s">
        <v>68</v>
      </c>
      <c r="AA2786" s="205" t="s">
        <v>86</v>
      </c>
      <c r="AB2786" s="205" t="s">
        <v>76</v>
      </c>
      <c r="AC2786" s="205"/>
      <c r="AD2786" s="205"/>
    </row>
    <row r="2787" spans="1:30" ht="32.5" customHeight="1">
      <c r="A2787" s="19" t="s">
        <v>7464</v>
      </c>
      <c r="B2787" s="19" t="s">
        <v>7589</v>
      </c>
      <c r="C2787" s="205" t="s">
        <v>24</v>
      </c>
      <c r="D2787" s="205" t="s">
        <v>1242</v>
      </c>
      <c r="E2787" s="205" t="s">
        <v>3209</v>
      </c>
      <c r="F2787" s="152" t="s">
        <v>2276</v>
      </c>
      <c r="G2787" s="152" t="s">
        <v>2276</v>
      </c>
      <c r="H2787" s="205" t="s">
        <v>523</v>
      </c>
      <c r="I2787" s="205">
        <v>2011</v>
      </c>
      <c r="J2787" s="205" t="s">
        <v>2276</v>
      </c>
      <c r="K2787" s="205" t="s">
        <v>2276</v>
      </c>
      <c r="L2787" s="205" t="s">
        <v>2276</v>
      </c>
      <c r="M2787" s="205" t="s">
        <v>2276</v>
      </c>
      <c r="N2787" s="205" t="s">
        <v>2276</v>
      </c>
      <c r="O2787" s="205" t="s">
        <v>2276</v>
      </c>
      <c r="P2787" s="205" t="s">
        <v>2276</v>
      </c>
      <c r="Q2787" s="205" t="s">
        <v>2276</v>
      </c>
      <c r="R2787" s="205" t="s">
        <v>2276</v>
      </c>
      <c r="S2787" s="205" t="s">
        <v>2276</v>
      </c>
      <c r="T2787" s="21">
        <f>1750*0.075</f>
        <v>131.25</v>
      </c>
      <c r="U2787" s="205" t="s">
        <v>2276</v>
      </c>
      <c r="V2787" s="205" t="s">
        <v>2276</v>
      </c>
      <c r="W2787" s="205" t="s">
        <v>2276</v>
      </c>
      <c r="X2787" s="21">
        <f>T2787/'Record info'!K$1142</f>
        <v>3.0325785582255082E-2</v>
      </c>
      <c r="Y2787" s="205" t="s">
        <v>2276</v>
      </c>
      <c r="Z2787" s="205" t="s">
        <v>68</v>
      </c>
      <c r="AA2787" s="205" t="s">
        <v>86</v>
      </c>
      <c r="AB2787" s="205" t="s">
        <v>76</v>
      </c>
      <c r="AC2787" s="205"/>
      <c r="AD2787" s="205"/>
    </row>
    <row r="2788" spans="1:30" ht="32.5" customHeight="1">
      <c r="A2788" s="19" t="s">
        <v>7465</v>
      </c>
      <c r="B2788" s="19" t="s">
        <v>7590</v>
      </c>
      <c r="C2788" s="205" t="s">
        <v>24</v>
      </c>
      <c r="D2788" s="205" t="s">
        <v>1242</v>
      </c>
      <c r="E2788" s="205" t="s">
        <v>3209</v>
      </c>
      <c r="F2788" s="152" t="s">
        <v>2276</v>
      </c>
      <c r="G2788" s="152" t="s">
        <v>2276</v>
      </c>
      <c r="H2788" s="205" t="s">
        <v>523</v>
      </c>
      <c r="I2788" s="205">
        <v>2011</v>
      </c>
      <c r="J2788" s="205" t="s">
        <v>2276</v>
      </c>
      <c r="K2788" s="205" t="s">
        <v>2276</v>
      </c>
      <c r="L2788" s="205" t="s">
        <v>2276</v>
      </c>
      <c r="M2788" s="205" t="s">
        <v>2276</v>
      </c>
      <c r="N2788" s="205" t="s">
        <v>2276</v>
      </c>
      <c r="O2788" s="205" t="s">
        <v>2276</v>
      </c>
      <c r="P2788" s="205" t="s">
        <v>2276</v>
      </c>
      <c r="Q2788" s="205" t="s">
        <v>2276</v>
      </c>
      <c r="R2788" s="205" t="s">
        <v>2276</v>
      </c>
      <c r="S2788" s="205" t="s">
        <v>2276</v>
      </c>
      <c r="T2788" s="21">
        <f>1750*0.111</f>
        <v>194.25</v>
      </c>
      <c r="U2788" s="205" t="s">
        <v>2276</v>
      </c>
      <c r="V2788" s="205" t="s">
        <v>2276</v>
      </c>
      <c r="W2788" s="205" t="s">
        <v>2276</v>
      </c>
      <c r="X2788" s="21">
        <f>T2788/'Record info'!K$1143</f>
        <v>8.1106471816283929E-2</v>
      </c>
      <c r="Y2788" s="205" t="s">
        <v>2276</v>
      </c>
      <c r="Z2788" s="205" t="s">
        <v>68</v>
      </c>
      <c r="AA2788" s="205" t="s">
        <v>86</v>
      </c>
      <c r="AB2788" s="205" t="s">
        <v>76</v>
      </c>
      <c r="AC2788" s="205"/>
      <c r="AD2788" s="205"/>
    </row>
    <row r="2789" spans="1:30" ht="32.5" customHeight="1">
      <c r="A2789" s="19" t="s">
        <v>7466</v>
      </c>
      <c r="B2789" s="19" t="s">
        <v>7591</v>
      </c>
      <c r="C2789" s="205" t="s">
        <v>24</v>
      </c>
      <c r="D2789" s="205" t="s">
        <v>1242</v>
      </c>
      <c r="E2789" s="205" t="s">
        <v>3209</v>
      </c>
      <c r="F2789" s="152" t="s">
        <v>2276</v>
      </c>
      <c r="G2789" s="152" t="s">
        <v>2276</v>
      </c>
      <c r="H2789" s="205" t="s">
        <v>523</v>
      </c>
      <c r="I2789" s="205">
        <v>2011</v>
      </c>
      <c r="J2789" s="205" t="s">
        <v>2276</v>
      </c>
      <c r="K2789" s="205" t="s">
        <v>2276</v>
      </c>
      <c r="L2789" s="205" t="s">
        <v>2276</v>
      </c>
      <c r="M2789" s="205" t="s">
        <v>2276</v>
      </c>
      <c r="N2789" s="205" t="s">
        <v>2276</v>
      </c>
      <c r="O2789" s="205" t="s">
        <v>2276</v>
      </c>
      <c r="P2789" s="205" t="s">
        <v>2276</v>
      </c>
      <c r="Q2789" s="205" t="s">
        <v>2276</v>
      </c>
      <c r="R2789" s="205" t="s">
        <v>2276</v>
      </c>
      <c r="S2789" s="205" t="s">
        <v>2276</v>
      </c>
      <c r="T2789" s="21">
        <f>1750*0.106</f>
        <v>185.5</v>
      </c>
      <c r="U2789" s="205" t="s">
        <v>2276</v>
      </c>
      <c r="V2789" s="205" t="s">
        <v>2276</v>
      </c>
      <c r="W2789" s="205" t="s">
        <v>2276</v>
      </c>
      <c r="X2789" s="21">
        <f>T2789/'Record info'!K$1144</f>
        <v>6.9397680508791623E-2</v>
      </c>
      <c r="Y2789" s="205" t="s">
        <v>2276</v>
      </c>
      <c r="Z2789" s="205" t="s">
        <v>68</v>
      </c>
      <c r="AA2789" s="205" t="s">
        <v>86</v>
      </c>
      <c r="AB2789" s="205" t="s">
        <v>76</v>
      </c>
      <c r="AC2789" s="205"/>
      <c r="AD2789" s="205"/>
    </row>
    <row r="2790" spans="1:30" ht="32.5" customHeight="1">
      <c r="A2790" s="19" t="s">
        <v>7467</v>
      </c>
      <c r="B2790" s="19" t="s">
        <v>7592</v>
      </c>
      <c r="C2790" s="205" t="s">
        <v>24</v>
      </c>
      <c r="D2790" s="205" t="s">
        <v>1242</v>
      </c>
      <c r="E2790" s="205" t="s">
        <v>3209</v>
      </c>
      <c r="F2790" s="152" t="s">
        <v>2276</v>
      </c>
      <c r="G2790" s="152" t="s">
        <v>2276</v>
      </c>
      <c r="H2790" s="205" t="s">
        <v>523</v>
      </c>
      <c r="I2790" s="205">
        <v>2011</v>
      </c>
      <c r="J2790" s="205" t="s">
        <v>2276</v>
      </c>
      <c r="K2790" s="205" t="s">
        <v>2276</v>
      </c>
      <c r="L2790" s="205" t="s">
        <v>2276</v>
      </c>
      <c r="M2790" s="205" t="s">
        <v>2276</v>
      </c>
      <c r="N2790" s="205" t="s">
        <v>2276</v>
      </c>
      <c r="O2790" s="205" t="s">
        <v>2276</v>
      </c>
      <c r="P2790" s="205" t="s">
        <v>2276</v>
      </c>
      <c r="Q2790" s="205" t="s">
        <v>2276</v>
      </c>
      <c r="R2790" s="205" t="s">
        <v>2276</v>
      </c>
      <c r="S2790" s="205" t="s">
        <v>2276</v>
      </c>
      <c r="T2790" s="21">
        <f>1750*0.166</f>
        <v>290.5</v>
      </c>
      <c r="U2790" s="205" t="s">
        <v>2276</v>
      </c>
      <c r="V2790" s="205" t="s">
        <v>2276</v>
      </c>
      <c r="W2790" s="205" t="s">
        <v>2276</v>
      </c>
      <c r="X2790" s="21">
        <f>T2790/'Record info'!K$1145</f>
        <v>0.12882483370288247</v>
      </c>
      <c r="Y2790" s="205" t="s">
        <v>2276</v>
      </c>
      <c r="Z2790" s="205" t="s">
        <v>68</v>
      </c>
      <c r="AA2790" s="205" t="s">
        <v>86</v>
      </c>
      <c r="AB2790" s="205" t="s">
        <v>76</v>
      </c>
      <c r="AC2790" s="205"/>
      <c r="AD2790" s="205"/>
    </row>
    <row r="2791" spans="1:30" ht="32.5" customHeight="1">
      <c r="A2791" s="19" t="s">
        <v>7365</v>
      </c>
      <c r="B2791" s="19" t="s">
        <v>7593</v>
      </c>
      <c r="C2791" s="205" t="s">
        <v>24</v>
      </c>
      <c r="D2791" s="205" t="s">
        <v>1242</v>
      </c>
      <c r="E2791" s="205" t="s">
        <v>3209</v>
      </c>
      <c r="F2791" s="152" t="s">
        <v>2276</v>
      </c>
      <c r="G2791" s="152" t="s">
        <v>2276</v>
      </c>
      <c r="H2791" s="205" t="s">
        <v>523</v>
      </c>
      <c r="I2791" s="205">
        <v>2012</v>
      </c>
      <c r="J2791" s="205" t="s">
        <v>2276</v>
      </c>
      <c r="K2791" s="205" t="s">
        <v>2276</v>
      </c>
      <c r="L2791" s="205" t="s">
        <v>2276</v>
      </c>
      <c r="M2791" s="205" t="s">
        <v>2276</v>
      </c>
      <c r="N2791" s="205" t="s">
        <v>2276</v>
      </c>
      <c r="O2791" s="205" t="s">
        <v>2276</v>
      </c>
      <c r="P2791" s="205" t="s">
        <v>2276</v>
      </c>
      <c r="Q2791" s="205" t="s">
        <v>2276</v>
      </c>
      <c r="R2791" s="205" t="s">
        <v>2276</v>
      </c>
      <c r="S2791" s="205" t="s">
        <v>2276</v>
      </c>
      <c r="T2791" s="21">
        <f>450*0.027</f>
        <v>12.15</v>
      </c>
      <c r="U2791" s="205" t="s">
        <v>2276</v>
      </c>
      <c r="V2791" s="205" t="s">
        <v>2276</v>
      </c>
      <c r="W2791" s="205" t="s">
        <v>2276</v>
      </c>
      <c r="X2791" s="21">
        <f>T2791/'Record info'!K$1128</f>
        <v>4.3392857142857148E-3</v>
      </c>
      <c r="Y2791" s="205" t="s">
        <v>2276</v>
      </c>
      <c r="Z2791" s="205" t="s">
        <v>68</v>
      </c>
      <c r="AA2791" s="205" t="s">
        <v>86</v>
      </c>
      <c r="AB2791" s="205" t="s">
        <v>76</v>
      </c>
      <c r="AC2791" s="205"/>
      <c r="AD2791" s="205"/>
    </row>
    <row r="2792" spans="1:30" ht="32.5" customHeight="1">
      <c r="A2792" s="19" t="s">
        <v>7451</v>
      </c>
      <c r="B2792" s="19" t="s">
        <v>7594</v>
      </c>
      <c r="C2792" s="205" t="s">
        <v>24</v>
      </c>
      <c r="D2792" s="205" t="s">
        <v>1242</v>
      </c>
      <c r="E2792" s="205" t="s">
        <v>3209</v>
      </c>
      <c r="F2792" s="152" t="s">
        <v>2276</v>
      </c>
      <c r="G2792" s="152" t="s">
        <v>2276</v>
      </c>
      <c r="H2792" s="205" t="s">
        <v>523</v>
      </c>
      <c r="I2792" s="205">
        <v>2012</v>
      </c>
      <c r="J2792" s="205" t="s">
        <v>2276</v>
      </c>
      <c r="K2792" s="205" t="s">
        <v>2276</v>
      </c>
      <c r="L2792" s="205" t="s">
        <v>2276</v>
      </c>
      <c r="M2792" s="205" t="s">
        <v>2276</v>
      </c>
      <c r="N2792" s="205" t="s">
        <v>2276</v>
      </c>
      <c r="O2792" s="205" t="s">
        <v>2276</v>
      </c>
      <c r="P2792" s="205" t="s">
        <v>2276</v>
      </c>
      <c r="Q2792" s="205" t="s">
        <v>2276</v>
      </c>
      <c r="R2792" s="205" t="s">
        <v>2276</v>
      </c>
      <c r="S2792" s="205" t="s">
        <v>2276</v>
      </c>
      <c r="T2792" s="21">
        <f>450*0.041</f>
        <v>18.45</v>
      </c>
      <c r="U2792" s="205" t="s">
        <v>2276</v>
      </c>
      <c r="V2792" s="205" t="s">
        <v>2276</v>
      </c>
      <c r="W2792" s="205" t="s">
        <v>2276</v>
      </c>
      <c r="X2792" s="21">
        <f>T2792/'Record info'!K$1129</f>
        <v>5.2489331436699855E-3</v>
      </c>
      <c r="Y2792" s="205" t="s">
        <v>2276</v>
      </c>
      <c r="Z2792" s="205" t="s">
        <v>68</v>
      </c>
      <c r="AA2792" s="205" t="s">
        <v>86</v>
      </c>
      <c r="AB2792" s="205" t="s">
        <v>76</v>
      </c>
      <c r="AC2792" s="205"/>
      <c r="AD2792" s="205"/>
    </row>
    <row r="2793" spans="1:30" ht="32.5" customHeight="1">
      <c r="A2793" s="19" t="s">
        <v>7452</v>
      </c>
      <c r="B2793" s="19" t="s">
        <v>7595</v>
      </c>
      <c r="C2793" s="205" t="s">
        <v>24</v>
      </c>
      <c r="D2793" s="205" t="s">
        <v>1242</v>
      </c>
      <c r="E2793" s="205" t="s">
        <v>3209</v>
      </c>
      <c r="F2793" s="152" t="s">
        <v>2276</v>
      </c>
      <c r="G2793" s="152" t="s">
        <v>2276</v>
      </c>
      <c r="H2793" s="205" t="s">
        <v>523</v>
      </c>
      <c r="I2793" s="205">
        <v>2012</v>
      </c>
      <c r="J2793" s="205" t="s">
        <v>2276</v>
      </c>
      <c r="K2793" s="205" t="s">
        <v>2276</v>
      </c>
      <c r="L2793" s="205" t="s">
        <v>2276</v>
      </c>
      <c r="M2793" s="205" t="s">
        <v>2276</v>
      </c>
      <c r="N2793" s="205" t="s">
        <v>2276</v>
      </c>
      <c r="O2793" s="205" t="s">
        <v>2276</v>
      </c>
      <c r="P2793" s="205" t="s">
        <v>2276</v>
      </c>
      <c r="Q2793" s="205" t="s">
        <v>2276</v>
      </c>
      <c r="R2793" s="205" t="s">
        <v>2276</v>
      </c>
      <c r="S2793" s="205" t="s">
        <v>2276</v>
      </c>
      <c r="T2793" s="21">
        <f>450*0.004</f>
        <v>1.8</v>
      </c>
      <c r="U2793" s="205" t="s">
        <v>2276</v>
      </c>
      <c r="V2793" s="205" t="s">
        <v>2276</v>
      </c>
      <c r="W2793" s="205" t="s">
        <v>2276</v>
      </c>
      <c r="X2793" s="21">
        <f>T2793/'Record info'!K$1130</f>
        <v>2.6678523788350376E-4</v>
      </c>
      <c r="Y2793" s="205" t="s">
        <v>2276</v>
      </c>
      <c r="Z2793" s="205" t="s">
        <v>68</v>
      </c>
      <c r="AA2793" s="205" t="s">
        <v>86</v>
      </c>
      <c r="AB2793" s="205" t="s">
        <v>76</v>
      </c>
      <c r="AC2793" s="205"/>
      <c r="AD2793" s="205"/>
    </row>
    <row r="2794" spans="1:30" ht="32.5" customHeight="1">
      <c r="A2794" s="19" t="s">
        <v>7453</v>
      </c>
      <c r="B2794" s="19" t="s">
        <v>7596</v>
      </c>
      <c r="C2794" s="205" t="s">
        <v>24</v>
      </c>
      <c r="D2794" s="205" t="s">
        <v>1242</v>
      </c>
      <c r="E2794" s="205" t="s">
        <v>3209</v>
      </c>
      <c r="F2794" s="152" t="s">
        <v>2276</v>
      </c>
      <c r="G2794" s="152" t="s">
        <v>2276</v>
      </c>
      <c r="H2794" s="205" t="s">
        <v>523</v>
      </c>
      <c r="I2794" s="205">
        <v>2012</v>
      </c>
      <c r="J2794" s="205" t="s">
        <v>2276</v>
      </c>
      <c r="K2794" s="205" t="s">
        <v>2276</v>
      </c>
      <c r="L2794" s="205" t="s">
        <v>2276</v>
      </c>
      <c r="M2794" s="205" t="s">
        <v>2276</v>
      </c>
      <c r="N2794" s="205" t="s">
        <v>2276</v>
      </c>
      <c r="O2794" s="205" t="s">
        <v>2276</v>
      </c>
      <c r="P2794" s="205" t="s">
        <v>2276</v>
      </c>
      <c r="Q2794" s="205" t="s">
        <v>2276</v>
      </c>
      <c r="R2794" s="205" t="s">
        <v>2276</v>
      </c>
      <c r="S2794" s="205" t="s">
        <v>2276</v>
      </c>
      <c r="T2794" s="21">
        <f>450*0.004</f>
        <v>1.8</v>
      </c>
      <c r="U2794" s="205" t="s">
        <v>2276</v>
      </c>
      <c r="V2794" s="205" t="s">
        <v>2276</v>
      </c>
      <c r="W2794" s="205" t="s">
        <v>2276</v>
      </c>
      <c r="X2794" s="21">
        <f>T2794/'Record info'!K$1131</f>
        <v>3.5545023696682463E-4</v>
      </c>
      <c r="Y2794" s="205" t="s">
        <v>2276</v>
      </c>
      <c r="Z2794" s="205" t="s">
        <v>68</v>
      </c>
      <c r="AA2794" s="205" t="s">
        <v>86</v>
      </c>
      <c r="AB2794" s="205" t="s">
        <v>76</v>
      </c>
      <c r="AC2794" s="205"/>
      <c r="AD2794" s="205"/>
    </row>
    <row r="2795" spans="1:30" ht="32.5" customHeight="1">
      <c r="A2795" s="19" t="s">
        <v>7454</v>
      </c>
      <c r="B2795" s="19" t="s">
        <v>7597</v>
      </c>
      <c r="C2795" s="205" t="s">
        <v>24</v>
      </c>
      <c r="D2795" s="205" t="s">
        <v>1242</v>
      </c>
      <c r="E2795" s="205" t="s">
        <v>3209</v>
      </c>
      <c r="F2795" s="152" t="s">
        <v>2276</v>
      </c>
      <c r="G2795" s="152" t="s">
        <v>2276</v>
      </c>
      <c r="H2795" s="205" t="s">
        <v>524</v>
      </c>
      <c r="I2795" s="205">
        <v>2012</v>
      </c>
      <c r="J2795" s="21">
        <v>0</v>
      </c>
      <c r="K2795" s="21">
        <v>0</v>
      </c>
      <c r="L2795" s="21">
        <v>0</v>
      </c>
      <c r="M2795" s="21">
        <v>0</v>
      </c>
      <c r="N2795" s="21">
        <v>0</v>
      </c>
      <c r="O2795" s="21">
        <v>0</v>
      </c>
      <c r="P2795" s="21">
        <v>0</v>
      </c>
      <c r="Q2795" s="21">
        <v>0</v>
      </c>
      <c r="R2795" s="21">
        <v>0</v>
      </c>
      <c r="S2795" s="21">
        <v>0</v>
      </c>
      <c r="T2795" s="21">
        <v>0</v>
      </c>
      <c r="U2795" s="21">
        <v>0</v>
      </c>
      <c r="V2795" s="21">
        <v>0</v>
      </c>
      <c r="W2795" s="21">
        <v>0</v>
      </c>
      <c r="X2795" s="21">
        <f>T2795/'Record info'!K$1132</f>
        <v>0</v>
      </c>
      <c r="Y2795" s="205" t="s">
        <v>2276</v>
      </c>
      <c r="Z2795" s="205" t="s">
        <v>68</v>
      </c>
      <c r="AA2795" s="205" t="s">
        <v>86</v>
      </c>
      <c r="AB2795" s="205" t="s">
        <v>76</v>
      </c>
      <c r="AC2795" s="205"/>
      <c r="AD2795" s="205"/>
    </row>
    <row r="2796" spans="1:30" ht="32.5" customHeight="1">
      <c r="A2796" s="19" t="s">
        <v>7455</v>
      </c>
      <c r="B2796" s="19" t="s">
        <v>7598</v>
      </c>
      <c r="C2796" s="205" t="s">
        <v>24</v>
      </c>
      <c r="D2796" s="205" t="s">
        <v>1242</v>
      </c>
      <c r="E2796" s="205" t="s">
        <v>3209</v>
      </c>
      <c r="F2796" s="152" t="s">
        <v>2276</v>
      </c>
      <c r="G2796" s="152" t="s">
        <v>2276</v>
      </c>
      <c r="H2796" s="205" t="s">
        <v>524</v>
      </c>
      <c r="I2796" s="205">
        <v>2012</v>
      </c>
      <c r="J2796" s="21">
        <v>0</v>
      </c>
      <c r="K2796" s="21">
        <v>0</v>
      </c>
      <c r="L2796" s="21">
        <v>0</v>
      </c>
      <c r="M2796" s="21">
        <v>0</v>
      </c>
      <c r="N2796" s="21">
        <v>0</v>
      </c>
      <c r="O2796" s="21">
        <v>0</v>
      </c>
      <c r="P2796" s="21">
        <v>0</v>
      </c>
      <c r="Q2796" s="21">
        <v>0</v>
      </c>
      <c r="R2796" s="21">
        <v>0</v>
      </c>
      <c r="S2796" s="21">
        <v>0</v>
      </c>
      <c r="T2796" s="21">
        <v>0</v>
      </c>
      <c r="U2796" s="21">
        <v>0</v>
      </c>
      <c r="V2796" s="21">
        <v>0</v>
      </c>
      <c r="W2796" s="21">
        <v>0</v>
      </c>
      <c r="X2796" s="21">
        <f>T2796/'Record info'!K$1133</f>
        <v>0</v>
      </c>
      <c r="Y2796" s="205" t="s">
        <v>2276</v>
      </c>
      <c r="Z2796" s="205" t="s">
        <v>68</v>
      </c>
      <c r="AA2796" s="205" t="s">
        <v>86</v>
      </c>
      <c r="AB2796" s="205" t="s">
        <v>76</v>
      </c>
      <c r="AC2796" s="205"/>
      <c r="AD2796" s="205"/>
    </row>
    <row r="2797" spans="1:30" ht="32.5" customHeight="1">
      <c r="A2797" s="19" t="s">
        <v>7456</v>
      </c>
      <c r="B2797" s="19" t="s">
        <v>7599</v>
      </c>
      <c r="C2797" s="205" t="s">
        <v>24</v>
      </c>
      <c r="D2797" s="205" t="s">
        <v>1242</v>
      </c>
      <c r="E2797" s="205" t="s">
        <v>3209</v>
      </c>
      <c r="F2797" s="152" t="s">
        <v>2276</v>
      </c>
      <c r="G2797" s="152" t="s">
        <v>2276</v>
      </c>
      <c r="H2797" s="205" t="s">
        <v>524</v>
      </c>
      <c r="I2797" s="205">
        <v>2012</v>
      </c>
      <c r="J2797" s="21">
        <v>0</v>
      </c>
      <c r="K2797" s="21">
        <v>0</v>
      </c>
      <c r="L2797" s="21">
        <v>0</v>
      </c>
      <c r="M2797" s="21">
        <v>0</v>
      </c>
      <c r="N2797" s="21">
        <v>0</v>
      </c>
      <c r="O2797" s="21">
        <v>0</v>
      </c>
      <c r="P2797" s="21">
        <v>0</v>
      </c>
      <c r="Q2797" s="21">
        <v>0</v>
      </c>
      <c r="R2797" s="21">
        <v>0</v>
      </c>
      <c r="S2797" s="21">
        <v>0</v>
      </c>
      <c r="T2797" s="21">
        <v>0</v>
      </c>
      <c r="U2797" s="21">
        <v>0</v>
      </c>
      <c r="V2797" s="21">
        <v>0</v>
      </c>
      <c r="W2797" s="21">
        <v>0</v>
      </c>
      <c r="X2797" s="21">
        <f>T2797/'Record info'!K$1134</f>
        <v>0</v>
      </c>
      <c r="Y2797" s="205" t="s">
        <v>2276</v>
      </c>
      <c r="Z2797" s="205" t="s">
        <v>68</v>
      </c>
      <c r="AA2797" s="205" t="s">
        <v>86</v>
      </c>
      <c r="AB2797" s="205" t="s">
        <v>76</v>
      </c>
      <c r="AC2797" s="205"/>
      <c r="AD2797" s="205"/>
    </row>
    <row r="2798" spans="1:30" ht="32.5" customHeight="1">
      <c r="A2798" s="19" t="s">
        <v>7457</v>
      </c>
      <c r="B2798" s="19" t="s">
        <v>7600</v>
      </c>
      <c r="C2798" s="205" t="s">
        <v>24</v>
      </c>
      <c r="D2798" s="205" t="s">
        <v>1242</v>
      </c>
      <c r="E2798" s="205" t="s">
        <v>3209</v>
      </c>
      <c r="F2798" s="152" t="s">
        <v>2276</v>
      </c>
      <c r="G2798" s="152" t="s">
        <v>2276</v>
      </c>
      <c r="H2798" s="205" t="s">
        <v>523</v>
      </c>
      <c r="I2798" s="205">
        <v>2012</v>
      </c>
      <c r="J2798" s="205" t="s">
        <v>2276</v>
      </c>
      <c r="K2798" s="205" t="s">
        <v>2276</v>
      </c>
      <c r="L2798" s="205" t="s">
        <v>2276</v>
      </c>
      <c r="M2798" s="205" t="s">
        <v>2276</v>
      </c>
      <c r="N2798" s="205" t="s">
        <v>2276</v>
      </c>
      <c r="O2798" s="205" t="s">
        <v>2276</v>
      </c>
      <c r="P2798" s="205" t="s">
        <v>2276</v>
      </c>
      <c r="Q2798" s="205" t="s">
        <v>2276</v>
      </c>
      <c r="R2798" s="205" t="s">
        <v>2276</v>
      </c>
      <c r="S2798" s="205" t="s">
        <v>2276</v>
      </c>
      <c r="T2798" s="21">
        <f>450*0.035</f>
        <v>15.750000000000002</v>
      </c>
      <c r="U2798" s="205" t="s">
        <v>2276</v>
      </c>
      <c r="V2798" s="205" t="s">
        <v>2276</v>
      </c>
      <c r="W2798" s="205" t="s">
        <v>2276</v>
      </c>
      <c r="X2798" s="21">
        <f>T2798/'Record info'!K$1135</f>
        <v>2.5968672712283597E-3</v>
      </c>
      <c r="Y2798" s="205" t="s">
        <v>2276</v>
      </c>
      <c r="Z2798" s="205" t="s">
        <v>68</v>
      </c>
      <c r="AA2798" s="205" t="s">
        <v>86</v>
      </c>
      <c r="AB2798" s="205" t="s">
        <v>76</v>
      </c>
      <c r="AC2798" s="205"/>
      <c r="AD2798" s="205"/>
    </row>
    <row r="2799" spans="1:30" ht="32.5" customHeight="1">
      <c r="A2799" s="19" t="s">
        <v>7458</v>
      </c>
      <c r="B2799" s="19" t="s">
        <v>7601</v>
      </c>
      <c r="C2799" s="205" t="s">
        <v>24</v>
      </c>
      <c r="D2799" s="205" t="s">
        <v>1242</v>
      </c>
      <c r="E2799" s="205" t="s">
        <v>3209</v>
      </c>
      <c r="F2799" s="152" t="s">
        <v>2276</v>
      </c>
      <c r="G2799" s="152" t="s">
        <v>2276</v>
      </c>
      <c r="H2799" s="205" t="s">
        <v>523</v>
      </c>
      <c r="I2799" s="205">
        <v>2012</v>
      </c>
      <c r="J2799" s="205" t="s">
        <v>2276</v>
      </c>
      <c r="K2799" s="205" t="s">
        <v>2276</v>
      </c>
      <c r="L2799" s="205" t="s">
        <v>2276</v>
      </c>
      <c r="M2799" s="205" t="s">
        <v>2276</v>
      </c>
      <c r="N2799" s="205" t="s">
        <v>2276</v>
      </c>
      <c r="O2799" s="205" t="s">
        <v>2276</v>
      </c>
      <c r="P2799" s="205" t="s">
        <v>2276</v>
      </c>
      <c r="Q2799" s="205" t="s">
        <v>2276</v>
      </c>
      <c r="R2799" s="205" t="s">
        <v>2276</v>
      </c>
      <c r="S2799" s="205" t="s">
        <v>2276</v>
      </c>
      <c r="T2799" s="21">
        <f>450*0.079</f>
        <v>35.549999999999997</v>
      </c>
      <c r="U2799" s="205" t="s">
        <v>2276</v>
      </c>
      <c r="V2799" s="205" t="s">
        <v>2276</v>
      </c>
      <c r="W2799" s="205" t="s">
        <v>2276</v>
      </c>
      <c r="X2799" s="21">
        <f>T2799/'Record info'!K$1136</f>
        <v>5.3258426966292134E-3</v>
      </c>
      <c r="Y2799" s="205" t="s">
        <v>2276</v>
      </c>
      <c r="Z2799" s="205" t="s">
        <v>68</v>
      </c>
      <c r="AA2799" s="205" t="s">
        <v>86</v>
      </c>
      <c r="AB2799" s="205" t="s">
        <v>76</v>
      </c>
      <c r="AC2799" s="205"/>
      <c r="AD2799" s="205"/>
    </row>
    <row r="2800" spans="1:30" ht="32.5" customHeight="1">
      <c r="A2800" s="19" t="s">
        <v>7459</v>
      </c>
      <c r="B2800" s="19" t="s">
        <v>7602</v>
      </c>
      <c r="C2800" s="205" t="s">
        <v>24</v>
      </c>
      <c r="D2800" s="205" t="s">
        <v>1242</v>
      </c>
      <c r="E2800" s="205" t="s">
        <v>3209</v>
      </c>
      <c r="F2800" s="152" t="s">
        <v>2276</v>
      </c>
      <c r="G2800" s="152" t="s">
        <v>2276</v>
      </c>
      <c r="H2800" s="205" t="s">
        <v>523</v>
      </c>
      <c r="I2800" s="205">
        <v>2012</v>
      </c>
      <c r="J2800" s="205" t="s">
        <v>2276</v>
      </c>
      <c r="K2800" s="205" t="s">
        <v>2276</v>
      </c>
      <c r="L2800" s="205" t="s">
        <v>2276</v>
      </c>
      <c r="M2800" s="205" t="s">
        <v>2276</v>
      </c>
      <c r="N2800" s="205" t="s">
        <v>2276</v>
      </c>
      <c r="O2800" s="205" t="s">
        <v>2276</v>
      </c>
      <c r="P2800" s="205" t="s">
        <v>2276</v>
      </c>
      <c r="Q2800" s="205" t="s">
        <v>2276</v>
      </c>
      <c r="R2800" s="205" t="s">
        <v>2276</v>
      </c>
      <c r="S2800" s="205" t="s">
        <v>2276</v>
      </c>
      <c r="T2800" s="21">
        <f>450*0.132</f>
        <v>59.400000000000006</v>
      </c>
      <c r="U2800" s="205" t="s">
        <v>2276</v>
      </c>
      <c r="V2800" s="205" t="s">
        <v>2276</v>
      </c>
      <c r="W2800" s="205" t="s">
        <v>2276</v>
      </c>
      <c r="X2800" s="21">
        <f>T2800/'Record info'!K$1137</f>
        <v>1.076476984414643E-2</v>
      </c>
      <c r="Y2800" s="205" t="s">
        <v>2276</v>
      </c>
      <c r="Z2800" s="205" t="s">
        <v>68</v>
      </c>
      <c r="AA2800" s="205" t="s">
        <v>86</v>
      </c>
      <c r="AB2800" s="205" t="s">
        <v>76</v>
      </c>
      <c r="AC2800" s="205"/>
      <c r="AD2800" s="205"/>
    </row>
    <row r="2801" spans="1:30" ht="32.5" customHeight="1">
      <c r="A2801" s="19" t="s">
        <v>7460</v>
      </c>
      <c r="B2801" s="19" t="s">
        <v>7603</v>
      </c>
      <c r="C2801" s="205" t="s">
        <v>24</v>
      </c>
      <c r="D2801" s="205" t="s">
        <v>1242</v>
      </c>
      <c r="E2801" s="205" t="s">
        <v>3209</v>
      </c>
      <c r="F2801" s="152" t="s">
        <v>2276</v>
      </c>
      <c r="G2801" s="152" t="s">
        <v>2276</v>
      </c>
      <c r="H2801" s="205" t="s">
        <v>523</v>
      </c>
      <c r="I2801" s="205">
        <v>2012</v>
      </c>
      <c r="J2801" s="205" t="s">
        <v>2276</v>
      </c>
      <c r="K2801" s="205" t="s">
        <v>2276</v>
      </c>
      <c r="L2801" s="205" t="s">
        <v>2276</v>
      </c>
      <c r="M2801" s="205" t="s">
        <v>2276</v>
      </c>
      <c r="N2801" s="205" t="s">
        <v>2276</v>
      </c>
      <c r="O2801" s="205" t="s">
        <v>2276</v>
      </c>
      <c r="P2801" s="205" t="s">
        <v>2276</v>
      </c>
      <c r="Q2801" s="205" t="s">
        <v>2276</v>
      </c>
      <c r="R2801" s="205" t="s">
        <v>2276</v>
      </c>
      <c r="S2801" s="205" t="s">
        <v>2276</v>
      </c>
      <c r="T2801" s="21">
        <f>450*0.057</f>
        <v>25.650000000000002</v>
      </c>
      <c r="U2801" s="205" t="s">
        <v>2276</v>
      </c>
      <c r="V2801" s="205" t="s">
        <v>2276</v>
      </c>
      <c r="W2801" s="205" t="s">
        <v>2276</v>
      </c>
      <c r="X2801" s="21">
        <f>T2801/'Record info'!K$1138</f>
        <v>6.4986065366100841E-3</v>
      </c>
      <c r="Y2801" s="205" t="s">
        <v>2276</v>
      </c>
      <c r="Z2801" s="205" t="s">
        <v>68</v>
      </c>
      <c r="AA2801" s="205" t="s">
        <v>86</v>
      </c>
      <c r="AB2801" s="205" t="s">
        <v>76</v>
      </c>
      <c r="AC2801" s="205"/>
      <c r="AD2801" s="205"/>
    </row>
    <row r="2802" spans="1:30" ht="32.5" customHeight="1">
      <c r="A2802" s="19" t="s">
        <v>7461</v>
      </c>
      <c r="B2802" s="19" t="s">
        <v>7604</v>
      </c>
      <c r="C2802" s="205" t="s">
        <v>24</v>
      </c>
      <c r="D2802" s="205" t="s">
        <v>1242</v>
      </c>
      <c r="E2802" s="205" t="s">
        <v>3209</v>
      </c>
      <c r="F2802" s="152" t="s">
        <v>2276</v>
      </c>
      <c r="G2802" s="152" t="s">
        <v>2276</v>
      </c>
      <c r="H2802" s="205" t="s">
        <v>523</v>
      </c>
      <c r="I2802" s="205">
        <v>2012</v>
      </c>
      <c r="J2802" s="205" t="s">
        <v>2276</v>
      </c>
      <c r="K2802" s="205" t="s">
        <v>2276</v>
      </c>
      <c r="L2802" s="205" t="s">
        <v>2276</v>
      </c>
      <c r="M2802" s="205" t="s">
        <v>2276</v>
      </c>
      <c r="N2802" s="205" t="s">
        <v>2276</v>
      </c>
      <c r="O2802" s="205" t="s">
        <v>2276</v>
      </c>
      <c r="P2802" s="205" t="s">
        <v>2276</v>
      </c>
      <c r="Q2802" s="205" t="s">
        <v>2276</v>
      </c>
      <c r="R2802" s="205" t="s">
        <v>2276</v>
      </c>
      <c r="S2802" s="205" t="s">
        <v>2276</v>
      </c>
      <c r="T2802" s="21">
        <f>450*0.024</f>
        <v>10.8</v>
      </c>
      <c r="U2802" s="205" t="s">
        <v>2276</v>
      </c>
      <c r="V2802" s="205" t="s">
        <v>2276</v>
      </c>
      <c r="W2802" s="205" t="s">
        <v>2276</v>
      </c>
      <c r="X2802" s="21">
        <f>T2802/'Record info'!K$1139</f>
        <v>3.8461538461538464E-3</v>
      </c>
      <c r="Y2802" s="205" t="s">
        <v>2276</v>
      </c>
      <c r="Z2802" s="205" t="s">
        <v>68</v>
      </c>
      <c r="AA2802" s="205" t="s">
        <v>86</v>
      </c>
      <c r="AB2802" s="205" t="s">
        <v>76</v>
      </c>
      <c r="AC2802" s="205"/>
      <c r="AD2802" s="205"/>
    </row>
    <row r="2803" spans="1:30" ht="32.5" customHeight="1">
      <c r="A2803" s="19" t="s">
        <v>7462</v>
      </c>
      <c r="B2803" s="19" t="s">
        <v>7605</v>
      </c>
      <c r="C2803" s="205" t="s">
        <v>24</v>
      </c>
      <c r="D2803" s="205" t="s">
        <v>1242</v>
      </c>
      <c r="E2803" s="205" t="s">
        <v>3209</v>
      </c>
      <c r="F2803" s="152" t="s">
        <v>2276</v>
      </c>
      <c r="G2803" s="152" t="s">
        <v>2276</v>
      </c>
      <c r="H2803" s="205" t="s">
        <v>523</v>
      </c>
      <c r="I2803" s="205">
        <v>2012</v>
      </c>
      <c r="J2803" s="205" t="s">
        <v>2276</v>
      </c>
      <c r="K2803" s="205" t="s">
        <v>2276</v>
      </c>
      <c r="L2803" s="205" t="s">
        <v>2276</v>
      </c>
      <c r="M2803" s="205" t="s">
        <v>2276</v>
      </c>
      <c r="N2803" s="205" t="s">
        <v>2276</v>
      </c>
      <c r="O2803" s="205" t="s">
        <v>2276</v>
      </c>
      <c r="P2803" s="205" t="s">
        <v>2276</v>
      </c>
      <c r="Q2803" s="205" t="s">
        <v>2276</v>
      </c>
      <c r="R2803" s="205" t="s">
        <v>2276</v>
      </c>
      <c r="S2803" s="205" t="s">
        <v>2276</v>
      </c>
      <c r="T2803" s="21">
        <f>450*0.072</f>
        <v>32.4</v>
      </c>
      <c r="U2803" s="205" t="s">
        <v>2276</v>
      </c>
      <c r="V2803" s="205" t="s">
        <v>2276</v>
      </c>
      <c r="W2803" s="205" t="s">
        <v>2276</v>
      </c>
      <c r="X2803" s="21">
        <f>T2803/'Record info'!K$1140</f>
        <v>6.4709406830437384E-3</v>
      </c>
      <c r="Y2803" s="205" t="s">
        <v>2276</v>
      </c>
      <c r="Z2803" s="205" t="s">
        <v>68</v>
      </c>
      <c r="AA2803" s="205" t="s">
        <v>86</v>
      </c>
      <c r="AB2803" s="205" t="s">
        <v>76</v>
      </c>
      <c r="AC2803" s="205"/>
      <c r="AD2803" s="205"/>
    </row>
    <row r="2804" spans="1:30" ht="32.5" customHeight="1">
      <c r="A2804" s="19" t="s">
        <v>7463</v>
      </c>
      <c r="B2804" s="19" t="s">
        <v>7606</v>
      </c>
      <c r="C2804" s="205" t="s">
        <v>24</v>
      </c>
      <c r="D2804" s="205" t="s">
        <v>1242</v>
      </c>
      <c r="E2804" s="205" t="s">
        <v>3209</v>
      </c>
      <c r="F2804" s="152" t="s">
        <v>2276</v>
      </c>
      <c r="G2804" s="152" t="s">
        <v>2276</v>
      </c>
      <c r="H2804" s="205" t="s">
        <v>523</v>
      </c>
      <c r="I2804" s="205">
        <v>2012</v>
      </c>
      <c r="J2804" s="205" t="s">
        <v>2276</v>
      </c>
      <c r="K2804" s="205" t="s">
        <v>2276</v>
      </c>
      <c r="L2804" s="205" t="s">
        <v>2276</v>
      </c>
      <c r="M2804" s="205" t="s">
        <v>2276</v>
      </c>
      <c r="N2804" s="205" t="s">
        <v>2276</v>
      </c>
      <c r="O2804" s="205" t="s">
        <v>2276</v>
      </c>
      <c r="P2804" s="205" t="s">
        <v>2276</v>
      </c>
      <c r="Q2804" s="205" t="s">
        <v>2276</v>
      </c>
      <c r="R2804" s="205" t="s">
        <v>2276</v>
      </c>
      <c r="S2804" s="205" t="s">
        <v>2276</v>
      </c>
      <c r="T2804" s="21">
        <f>450*0.068</f>
        <v>30.6</v>
      </c>
      <c r="U2804" s="205" t="s">
        <v>2276</v>
      </c>
      <c r="V2804" s="205" t="s">
        <v>2276</v>
      </c>
      <c r="W2804" s="205" t="s">
        <v>2276</v>
      </c>
      <c r="X2804" s="21">
        <f>T2804/'Record info'!K$1141</f>
        <v>2.6064735945485522E-2</v>
      </c>
      <c r="Y2804" s="205" t="s">
        <v>2276</v>
      </c>
      <c r="Z2804" s="205" t="s">
        <v>68</v>
      </c>
      <c r="AA2804" s="205" t="s">
        <v>86</v>
      </c>
      <c r="AB2804" s="205" t="s">
        <v>76</v>
      </c>
      <c r="AC2804" s="205"/>
      <c r="AD2804" s="205"/>
    </row>
    <row r="2805" spans="1:30" ht="32.5" customHeight="1">
      <c r="A2805" s="19" t="s">
        <v>7464</v>
      </c>
      <c r="B2805" s="19" t="s">
        <v>7607</v>
      </c>
      <c r="C2805" s="205" t="s">
        <v>24</v>
      </c>
      <c r="D2805" s="205" t="s">
        <v>1242</v>
      </c>
      <c r="E2805" s="205" t="s">
        <v>3209</v>
      </c>
      <c r="F2805" s="152" t="s">
        <v>2276</v>
      </c>
      <c r="G2805" s="152" t="s">
        <v>2276</v>
      </c>
      <c r="H2805" s="205" t="s">
        <v>523</v>
      </c>
      <c r="I2805" s="205">
        <v>2012</v>
      </c>
      <c r="J2805" s="205" t="s">
        <v>2276</v>
      </c>
      <c r="K2805" s="205" t="s">
        <v>2276</v>
      </c>
      <c r="L2805" s="205" t="s">
        <v>2276</v>
      </c>
      <c r="M2805" s="205" t="s">
        <v>2276</v>
      </c>
      <c r="N2805" s="205" t="s">
        <v>2276</v>
      </c>
      <c r="O2805" s="205" t="s">
        <v>2276</v>
      </c>
      <c r="P2805" s="205" t="s">
        <v>2276</v>
      </c>
      <c r="Q2805" s="205" t="s">
        <v>2276</v>
      </c>
      <c r="R2805" s="205" t="s">
        <v>2276</v>
      </c>
      <c r="S2805" s="205" t="s">
        <v>2276</v>
      </c>
      <c r="T2805" s="21">
        <f>450*0.075</f>
        <v>33.75</v>
      </c>
      <c r="U2805" s="205" t="s">
        <v>2276</v>
      </c>
      <c r="V2805" s="205" t="s">
        <v>2276</v>
      </c>
      <c r="W2805" s="205" t="s">
        <v>2276</v>
      </c>
      <c r="X2805" s="21">
        <f>T2805/'Record info'!K$1142</f>
        <v>7.7980591497227355E-3</v>
      </c>
      <c r="Y2805" s="205" t="s">
        <v>2276</v>
      </c>
      <c r="Z2805" s="205" t="s">
        <v>68</v>
      </c>
      <c r="AA2805" s="205" t="s">
        <v>86</v>
      </c>
      <c r="AB2805" s="205" t="s">
        <v>76</v>
      </c>
      <c r="AC2805" s="205"/>
      <c r="AD2805" s="205"/>
    </row>
    <row r="2806" spans="1:30" ht="32.5" customHeight="1">
      <c r="A2806" s="19" t="s">
        <v>7465</v>
      </c>
      <c r="B2806" s="19" t="s">
        <v>7608</v>
      </c>
      <c r="C2806" s="205" t="s">
        <v>24</v>
      </c>
      <c r="D2806" s="205" t="s">
        <v>1242</v>
      </c>
      <c r="E2806" s="205" t="s">
        <v>3209</v>
      </c>
      <c r="F2806" s="152" t="s">
        <v>2276</v>
      </c>
      <c r="G2806" s="152" t="s">
        <v>2276</v>
      </c>
      <c r="H2806" s="205" t="s">
        <v>523</v>
      </c>
      <c r="I2806" s="205">
        <v>2012</v>
      </c>
      <c r="J2806" s="205" t="s">
        <v>2276</v>
      </c>
      <c r="K2806" s="205" t="s">
        <v>2276</v>
      </c>
      <c r="L2806" s="205" t="s">
        <v>2276</v>
      </c>
      <c r="M2806" s="205" t="s">
        <v>2276</v>
      </c>
      <c r="N2806" s="205" t="s">
        <v>2276</v>
      </c>
      <c r="O2806" s="205" t="s">
        <v>2276</v>
      </c>
      <c r="P2806" s="205" t="s">
        <v>2276</v>
      </c>
      <c r="Q2806" s="205" t="s">
        <v>2276</v>
      </c>
      <c r="R2806" s="205" t="s">
        <v>2276</v>
      </c>
      <c r="S2806" s="205" t="s">
        <v>2276</v>
      </c>
      <c r="T2806" s="21">
        <f>450*0.111</f>
        <v>49.95</v>
      </c>
      <c r="U2806" s="205" t="s">
        <v>2276</v>
      </c>
      <c r="V2806" s="205" t="s">
        <v>2276</v>
      </c>
      <c r="W2806" s="205" t="s">
        <v>2276</v>
      </c>
      <c r="X2806" s="21">
        <f>T2806/'Record info'!K$1143</f>
        <v>2.0855949895615868E-2</v>
      </c>
      <c r="Y2806" s="205" t="s">
        <v>2276</v>
      </c>
      <c r="Z2806" s="205" t="s">
        <v>68</v>
      </c>
      <c r="AA2806" s="205" t="s">
        <v>86</v>
      </c>
      <c r="AB2806" s="205" t="s">
        <v>76</v>
      </c>
      <c r="AC2806" s="205"/>
      <c r="AD2806" s="205"/>
    </row>
    <row r="2807" spans="1:30" ht="32.5" customHeight="1">
      <c r="A2807" s="19" t="s">
        <v>7466</v>
      </c>
      <c r="B2807" s="19" t="s">
        <v>7609</v>
      </c>
      <c r="C2807" s="205" t="s">
        <v>24</v>
      </c>
      <c r="D2807" s="205" t="s">
        <v>1242</v>
      </c>
      <c r="E2807" s="205" t="s">
        <v>3209</v>
      </c>
      <c r="F2807" s="152" t="s">
        <v>2276</v>
      </c>
      <c r="G2807" s="152" t="s">
        <v>2276</v>
      </c>
      <c r="H2807" s="205" t="s">
        <v>523</v>
      </c>
      <c r="I2807" s="205">
        <v>2012</v>
      </c>
      <c r="J2807" s="205" t="s">
        <v>2276</v>
      </c>
      <c r="K2807" s="205" t="s">
        <v>2276</v>
      </c>
      <c r="L2807" s="205" t="s">
        <v>2276</v>
      </c>
      <c r="M2807" s="205" t="s">
        <v>2276</v>
      </c>
      <c r="N2807" s="205" t="s">
        <v>2276</v>
      </c>
      <c r="O2807" s="205" t="s">
        <v>2276</v>
      </c>
      <c r="P2807" s="205" t="s">
        <v>2276</v>
      </c>
      <c r="Q2807" s="205" t="s">
        <v>2276</v>
      </c>
      <c r="R2807" s="205" t="s">
        <v>2276</v>
      </c>
      <c r="S2807" s="205" t="s">
        <v>2276</v>
      </c>
      <c r="T2807" s="21">
        <f>450*0.106</f>
        <v>47.699999999999996</v>
      </c>
      <c r="U2807" s="205" t="s">
        <v>2276</v>
      </c>
      <c r="V2807" s="205" t="s">
        <v>2276</v>
      </c>
      <c r="W2807" s="205" t="s">
        <v>2276</v>
      </c>
      <c r="X2807" s="21">
        <f>T2807/'Record info'!K$1144</f>
        <v>1.7845117845117844E-2</v>
      </c>
      <c r="Y2807" s="205" t="s">
        <v>2276</v>
      </c>
      <c r="Z2807" s="205" t="s">
        <v>68</v>
      </c>
      <c r="AA2807" s="205" t="s">
        <v>86</v>
      </c>
      <c r="AB2807" s="205" t="s">
        <v>76</v>
      </c>
      <c r="AC2807" s="205"/>
      <c r="AD2807" s="205"/>
    </row>
    <row r="2808" spans="1:30" ht="32.5" customHeight="1">
      <c r="A2808" s="19" t="s">
        <v>7467</v>
      </c>
      <c r="B2808" s="19" t="s">
        <v>7610</v>
      </c>
      <c r="C2808" s="205" t="s">
        <v>24</v>
      </c>
      <c r="D2808" s="205" t="s">
        <v>1242</v>
      </c>
      <c r="E2808" s="205" t="s">
        <v>3209</v>
      </c>
      <c r="F2808" s="152" t="s">
        <v>2276</v>
      </c>
      <c r="G2808" s="152" t="s">
        <v>2276</v>
      </c>
      <c r="H2808" s="205" t="s">
        <v>523</v>
      </c>
      <c r="I2808" s="205">
        <v>2012</v>
      </c>
      <c r="J2808" s="205" t="s">
        <v>2276</v>
      </c>
      <c r="K2808" s="205" t="s">
        <v>2276</v>
      </c>
      <c r="L2808" s="205" t="s">
        <v>2276</v>
      </c>
      <c r="M2808" s="205" t="s">
        <v>2276</v>
      </c>
      <c r="N2808" s="205" t="s">
        <v>2276</v>
      </c>
      <c r="O2808" s="205" t="s">
        <v>2276</v>
      </c>
      <c r="P2808" s="205" t="s">
        <v>2276</v>
      </c>
      <c r="Q2808" s="205" t="s">
        <v>2276</v>
      </c>
      <c r="R2808" s="205" t="s">
        <v>2276</v>
      </c>
      <c r="S2808" s="205" t="s">
        <v>2276</v>
      </c>
      <c r="T2808" s="21">
        <f>450*0.166</f>
        <v>74.7</v>
      </c>
      <c r="U2808" s="205" t="s">
        <v>2276</v>
      </c>
      <c r="V2808" s="205" t="s">
        <v>2276</v>
      </c>
      <c r="W2808" s="205" t="s">
        <v>2276</v>
      </c>
      <c r="X2808" s="21">
        <f>T2808/'Record info'!K$1145</f>
        <v>3.3126385809312639E-2</v>
      </c>
      <c r="Y2808" s="205" t="s">
        <v>2276</v>
      </c>
      <c r="Z2808" s="205" t="s">
        <v>68</v>
      </c>
      <c r="AA2808" s="205" t="s">
        <v>86</v>
      </c>
      <c r="AB2808" s="205" t="s">
        <v>76</v>
      </c>
      <c r="AC2808" s="205"/>
      <c r="AD2808" s="205"/>
    </row>
    <row r="2809" spans="1:30" ht="36" customHeight="1">
      <c r="A2809" s="19" t="s">
        <v>7365</v>
      </c>
      <c r="B2809" s="19" t="s">
        <v>7611</v>
      </c>
      <c r="C2809" s="205" t="s">
        <v>24</v>
      </c>
      <c r="D2809" s="205" t="s">
        <v>1242</v>
      </c>
      <c r="E2809" s="205" t="s">
        <v>3209</v>
      </c>
      <c r="F2809" s="152" t="s">
        <v>2276</v>
      </c>
      <c r="G2809" s="152" t="s">
        <v>2276</v>
      </c>
      <c r="H2809" s="205" t="s">
        <v>523</v>
      </c>
      <c r="I2809" s="205">
        <v>2013</v>
      </c>
      <c r="J2809" s="205" t="s">
        <v>2276</v>
      </c>
      <c r="K2809" s="205" t="s">
        <v>2276</v>
      </c>
      <c r="L2809" s="205" t="s">
        <v>2276</v>
      </c>
      <c r="M2809" s="205" t="s">
        <v>2276</v>
      </c>
      <c r="N2809" s="205" t="s">
        <v>2276</v>
      </c>
      <c r="O2809" s="205" t="s">
        <v>2276</v>
      </c>
      <c r="P2809" s="205" t="s">
        <v>2276</v>
      </c>
      <c r="Q2809" s="205" t="s">
        <v>2276</v>
      </c>
      <c r="R2809" s="205" t="s">
        <v>2276</v>
      </c>
      <c r="S2809" s="205" t="s">
        <v>2276</v>
      </c>
      <c r="T2809" s="21">
        <f>1200*0.027</f>
        <v>32.4</v>
      </c>
      <c r="U2809" s="205" t="s">
        <v>2276</v>
      </c>
      <c r="V2809" s="205" t="s">
        <v>2276</v>
      </c>
      <c r="W2809" s="205" t="s">
        <v>2276</v>
      </c>
      <c r="X2809" s="21">
        <f>T2809/'Record info'!K$1128</f>
        <v>1.1571428571428571E-2</v>
      </c>
      <c r="Y2809" s="205" t="s">
        <v>2276</v>
      </c>
      <c r="Z2809" s="205" t="s">
        <v>68</v>
      </c>
      <c r="AA2809" s="205" t="s">
        <v>86</v>
      </c>
      <c r="AB2809" s="205" t="s">
        <v>76</v>
      </c>
      <c r="AC2809" s="205"/>
      <c r="AD2809" s="205"/>
    </row>
    <row r="2810" spans="1:30" ht="36" customHeight="1">
      <c r="A2810" s="19" t="s">
        <v>7451</v>
      </c>
      <c r="B2810" s="19" t="s">
        <v>7612</v>
      </c>
      <c r="C2810" s="205" t="s">
        <v>24</v>
      </c>
      <c r="D2810" s="205" t="s">
        <v>1242</v>
      </c>
      <c r="E2810" s="205" t="s">
        <v>3209</v>
      </c>
      <c r="F2810" s="152" t="s">
        <v>2276</v>
      </c>
      <c r="G2810" s="152" t="s">
        <v>2276</v>
      </c>
      <c r="H2810" s="205" t="s">
        <v>523</v>
      </c>
      <c r="I2810" s="205">
        <v>2013</v>
      </c>
      <c r="J2810" s="205" t="s">
        <v>2276</v>
      </c>
      <c r="K2810" s="205" t="s">
        <v>2276</v>
      </c>
      <c r="L2810" s="205" t="s">
        <v>2276</v>
      </c>
      <c r="M2810" s="205" t="s">
        <v>2276</v>
      </c>
      <c r="N2810" s="205" t="s">
        <v>2276</v>
      </c>
      <c r="O2810" s="205" t="s">
        <v>2276</v>
      </c>
      <c r="P2810" s="205" t="s">
        <v>2276</v>
      </c>
      <c r="Q2810" s="205" t="s">
        <v>2276</v>
      </c>
      <c r="R2810" s="205" t="s">
        <v>2276</v>
      </c>
      <c r="S2810" s="205" t="s">
        <v>2276</v>
      </c>
      <c r="T2810" s="21">
        <f>1200*0.041</f>
        <v>49.2</v>
      </c>
      <c r="U2810" s="205" t="s">
        <v>2276</v>
      </c>
      <c r="V2810" s="205" t="s">
        <v>2276</v>
      </c>
      <c r="W2810" s="205" t="s">
        <v>2276</v>
      </c>
      <c r="X2810" s="21">
        <f>T2810/'Record info'!K$1129</f>
        <v>1.399715504978663E-2</v>
      </c>
      <c r="Y2810" s="205" t="s">
        <v>2276</v>
      </c>
      <c r="Z2810" s="205" t="s">
        <v>68</v>
      </c>
      <c r="AA2810" s="205" t="s">
        <v>86</v>
      </c>
      <c r="AB2810" s="205" t="s">
        <v>76</v>
      </c>
      <c r="AC2810" s="205"/>
      <c r="AD2810" s="205"/>
    </row>
    <row r="2811" spans="1:30" ht="36" customHeight="1">
      <c r="A2811" s="19" t="s">
        <v>7452</v>
      </c>
      <c r="B2811" s="19" t="s">
        <v>7613</v>
      </c>
      <c r="C2811" s="205" t="s">
        <v>24</v>
      </c>
      <c r="D2811" s="205" t="s">
        <v>1242</v>
      </c>
      <c r="E2811" s="205" t="s">
        <v>3209</v>
      </c>
      <c r="F2811" s="152" t="s">
        <v>2276</v>
      </c>
      <c r="G2811" s="152" t="s">
        <v>2276</v>
      </c>
      <c r="H2811" s="205" t="s">
        <v>523</v>
      </c>
      <c r="I2811" s="205">
        <v>2013</v>
      </c>
      <c r="J2811" s="205" t="s">
        <v>2276</v>
      </c>
      <c r="K2811" s="205" t="s">
        <v>2276</v>
      </c>
      <c r="L2811" s="205" t="s">
        <v>2276</v>
      </c>
      <c r="M2811" s="205" t="s">
        <v>2276</v>
      </c>
      <c r="N2811" s="205" t="s">
        <v>2276</v>
      </c>
      <c r="O2811" s="205" t="s">
        <v>2276</v>
      </c>
      <c r="P2811" s="205" t="s">
        <v>2276</v>
      </c>
      <c r="Q2811" s="205" t="s">
        <v>2276</v>
      </c>
      <c r="R2811" s="205" t="s">
        <v>2276</v>
      </c>
      <c r="S2811" s="205" t="s">
        <v>2276</v>
      </c>
      <c r="T2811" s="21">
        <f>1200*0.004</f>
        <v>4.8</v>
      </c>
      <c r="U2811" s="205" t="s">
        <v>2276</v>
      </c>
      <c r="V2811" s="205" t="s">
        <v>2276</v>
      </c>
      <c r="W2811" s="205" t="s">
        <v>2276</v>
      </c>
      <c r="X2811" s="21">
        <f>T2811/'Record info'!K$1130</f>
        <v>7.1142730102267667E-4</v>
      </c>
      <c r="Y2811" s="205" t="s">
        <v>2276</v>
      </c>
      <c r="Z2811" s="205" t="s">
        <v>68</v>
      </c>
      <c r="AA2811" s="205" t="s">
        <v>86</v>
      </c>
      <c r="AB2811" s="205" t="s">
        <v>76</v>
      </c>
      <c r="AC2811" s="205"/>
      <c r="AD2811" s="205"/>
    </row>
    <row r="2812" spans="1:30" ht="36" customHeight="1">
      <c r="A2812" s="19" t="s">
        <v>7453</v>
      </c>
      <c r="B2812" s="19" t="s">
        <v>7614</v>
      </c>
      <c r="C2812" s="205" t="s">
        <v>24</v>
      </c>
      <c r="D2812" s="205" t="s">
        <v>1242</v>
      </c>
      <c r="E2812" s="205" t="s">
        <v>3209</v>
      </c>
      <c r="F2812" s="152" t="s">
        <v>2276</v>
      </c>
      <c r="G2812" s="152" t="s">
        <v>2276</v>
      </c>
      <c r="H2812" s="205" t="s">
        <v>523</v>
      </c>
      <c r="I2812" s="205">
        <v>2013</v>
      </c>
      <c r="J2812" s="205" t="s">
        <v>2276</v>
      </c>
      <c r="K2812" s="205" t="s">
        <v>2276</v>
      </c>
      <c r="L2812" s="205" t="s">
        <v>2276</v>
      </c>
      <c r="M2812" s="205" t="s">
        <v>2276</v>
      </c>
      <c r="N2812" s="205" t="s">
        <v>2276</v>
      </c>
      <c r="O2812" s="205" t="s">
        <v>2276</v>
      </c>
      <c r="P2812" s="205" t="s">
        <v>2276</v>
      </c>
      <c r="Q2812" s="205" t="s">
        <v>2276</v>
      </c>
      <c r="R2812" s="205" t="s">
        <v>2276</v>
      </c>
      <c r="S2812" s="205" t="s">
        <v>2276</v>
      </c>
      <c r="T2812" s="21">
        <f>1200*0.004</f>
        <v>4.8</v>
      </c>
      <c r="U2812" s="205" t="s">
        <v>2276</v>
      </c>
      <c r="V2812" s="205" t="s">
        <v>2276</v>
      </c>
      <c r="W2812" s="205" t="s">
        <v>2276</v>
      </c>
      <c r="X2812" s="21">
        <f>T2812/'Record info'!K$1131</f>
        <v>9.4786729857819897E-4</v>
      </c>
      <c r="Y2812" s="205" t="s">
        <v>2276</v>
      </c>
      <c r="Z2812" s="205" t="s">
        <v>68</v>
      </c>
      <c r="AA2812" s="205" t="s">
        <v>86</v>
      </c>
      <c r="AB2812" s="205" t="s">
        <v>76</v>
      </c>
      <c r="AC2812" s="205"/>
      <c r="AD2812" s="205"/>
    </row>
    <row r="2813" spans="1:30" ht="36" customHeight="1">
      <c r="A2813" s="19" t="s">
        <v>7454</v>
      </c>
      <c r="B2813" s="19" t="s">
        <v>7615</v>
      </c>
      <c r="C2813" s="205" t="s">
        <v>24</v>
      </c>
      <c r="D2813" s="205" t="s">
        <v>1242</v>
      </c>
      <c r="E2813" s="205" t="s">
        <v>3209</v>
      </c>
      <c r="F2813" s="152" t="s">
        <v>2276</v>
      </c>
      <c r="G2813" s="152" t="s">
        <v>2276</v>
      </c>
      <c r="H2813" s="205" t="s">
        <v>524</v>
      </c>
      <c r="I2813" s="205">
        <v>2013</v>
      </c>
      <c r="J2813" s="21">
        <v>0</v>
      </c>
      <c r="K2813" s="21">
        <v>0</v>
      </c>
      <c r="L2813" s="21">
        <v>0</v>
      </c>
      <c r="M2813" s="21">
        <v>0</v>
      </c>
      <c r="N2813" s="21">
        <v>0</v>
      </c>
      <c r="O2813" s="21">
        <v>0</v>
      </c>
      <c r="P2813" s="21">
        <v>0</v>
      </c>
      <c r="Q2813" s="21">
        <v>0</v>
      </c>
      <c r="R2813" s="21">
        <v>0</v>
      </c>
      <c r="S2813" s="21">
        <v>0</v>
      </c>
      <c r="T2813" s="21">
        <v>0</v>
      </c>
      <c r="U2813" s="21">
        <v>0</v>
      </c>
      <c r="V2813" s="21">
        <v>0</v>
      </c>
      <c r="W2813" s="21">
        <v>0</v>
      </c>
      <c r="X2813" s="21">
        <f>T2813/'Record info'!K$1132</f>
        <v>0</v>
      </c>
      <c r="Y2813" s="205" t="s">
        <v>2276</v>
      </c>
      <c r="Z2813" s="205" t="s">
        <v>68</v>
      </c>
      <c r="AA2813" s="205" t="s">
        <v>86</v>
      </c>
      <c r="AB2813" s="205" t="s">
        <v>76</v>
      </c>
      <c r="AC2813" s="205"/>
      <c r="AD2813" s="205"/>
    </row>
    <row r="2814" spans="1:30" ht="36" customHeight="1">
      <c r="A2814" s="19" t="s">
        <v>7455</v>
      </c>
      <c r="B2814" s="19" t="s">
        <v>7616</v>
      </c>
      <c r="C2814" s="205" t="s">
        <v>24</v>
      </c>
      <c r="D2814" s="205" t="s">
        <v>1242</v>
      </c>
      <c r="E2814" s="205" t="s">
        <v>3209</v>
      </c>
      <c r="F2814" s="152" t="s">
        <v>2276</v>
      </c>
      <c r="G2814" s="152" t="s">
        <v>2276</v>
      </c>
      <c r="H2814" s="205" t="s">
        <v>524</v>
      </c>
      <c r="I2814" s="205">
        <v>2013</v>
      </c>
      <c r="J2814" s="21">
        <v>0</v>
      </c>
      <c r="K2814" s="21">
        <v>0</v>
      </c>
      <c r="L2814" s="21">
        <v>0</v>
      </c>
      <c r="M2814" s="21">
        <v>0</v>
      </c>
      <c r="N2814" s="21">
        <v>0</v>
      </c>
      <c r="O2814" s="21">
        <v>0</v>
      </c>
      <c r="P2814" s="21">
        <v>0</v>
      </c>
      <c r="Q2814" s="21">
        <v>0</v>
      </c>
      <c r="R2814" s="21">
        <v>0</v>
      </c>
      <c r="S2814" s="21">
        <v>0</v>
      </c>
      <c r="T2814" s="21">
        <v>0</v>
      </c>
      <c r="U2814" s="21">
        <v>0</v>
      </c>
      <c r="V2814" s="21">
        <v>0</v>
      </c>
      <c r="W2814" s="21">
        <v>0</v>
      </c>
      <c r="X2814" s="21">
        <f>T2814/'Record info'!K$1133</f>
        <v>0</v>
      </c>
      <c r="Y2814" s="205" t="s">
        <v>2276</v>
      </c>
      <c r="Z2814" s="205" t="s">
        <v>68</v>
      </c>
      <c r="AA2814" s="205" t="s">
        <v>86</v>
      </c>
      <c r="AB2814" s="205" t="s">
        <v>76</v>
      </c>
      <c r="AC2814" s="205"/>
      <c r="AD2814" s="205"/>
    </row>
    <row r="2815" spans="1:30" ht="36" customHeight="1">
      <c r="A2815" s="19" t="s">
        <v>7456</v>
      </c>
      <c r="B2815" s="19" t="s">
        <v>7617</v>
      </c>
      <c r="C2815" s="205" t="s">
        <v>24</v>
      </c>
      <c r="D2815" s="205" t="s">
        <v>1242</v>
      </c>
      <c r="E2815" s="205" t="s">
        <v>3209</v>
      </c>
      <c r="F2815" s="152" t="s">
        <v>2276</v>
      </c>
      <c r="G2815" s="152" t="s">
        <v>2276</v>
      </c>
      <c r="H2815" s="205" t="s">
        <v>524</v>
      </c>
      <c r="I2815" s="205">
        <v>2013</v>
      </c>
      <c r="J2815" s="21">
        <v>0</v>
      </c>
      <c r="K2815" s="21">
        <v>0</v>
      </c>
      <c r="L2815" s="21">
        <v>0</v>
      </c>
      <c r="M2815" s="21">
        <v>0</v>
      </c>
      <c r="N2815" s="21">
        <v>0</v>
      </c>
      <c r="O2815" s="21">
        <v>0</v>
      </c>
      <c r="P2815" s="21">
        <v>0</v>
      </c>
      <c r="Q2815" s="21">
        <v>0</v>
      </c>
      <c r="R2815" s="21">
        <v>0</v>
      </c>
      <c r="S2815" s="21">
        <v>0</v>
      </c>
      <c r="T2815" s="21">
        <v>0</v>
      </c>
      <c r="U2815" s="21">
        <v>0</v>
      </c>
      <c r="V2815" s="21">
        <v>0</v>
      </c>
      <c r="W2815" s="21">
        <v>0</v>
      </c>
      <c r="X2815" s="21">
        <f>T2815/'Record info'!K$1134</f>
        <v>0</v>
      </c>
      <c r="Y2815" s="205" t="s">
        <v>2276</v>
      </c>
      <c r="Z2815" s="205" t="s">
        <v>68</v>
      </c>
      <c r="AA2815" s="205" t="s">
        <v>86</v>
      </c>
      <c r="AB2815" s="205" t="s">
        <v>76</v>
      </c>
      <c r="AC2815" s="205"/>
      <c r="AD2815" s="205"/>
    </row>
    <row r="2816" spans="1:30" ht="36" customHeight="1">
      <c r="A2816" s="19" t="s">
        <v>7457</v>
      </c>
      <c r="B2816" s="19" t="s">
        <v>7618</v>
      </c>
      <c r="C2816" s="205" t="s">
        <v>24</v>
      </c>
      <c r="D2816" s="205" t="s">
        <v>1242</v>
      </c>
      <c r="E2816" s="205" t="s">
        <v>3209</v>
      </c>
      <c r="F2816" s="152" t="s">
        <v>2276</v>
      </c>
      <c r="G2816" s="152" t="s">
        <v>2276</v>
      </c>
      <c r="H2816" s="205" t="s">
        <v>523</v>
      </c>
      <c r="I2816" s="205">
        <v>2013</v>
      </c>
      <c r="J2816" s="205" t="s">
        <v>2276</v>
      </c>
      <c r="K2816" s="205" t="s">
        <v>2276</v>
      </c>
      <c r="L2816" s="205" t="s">
        <v>2276</v>
      </c>
      <c r="M2816" s="205" t="s">
        <v>2276</v>
      </c>
      <c r="N2816" s="205" t="s">
        <v>2276</v>
      </c>
      <c r="O2816" s="205" t="s">
        <v>2276</v>
      </c>
      <c r="P2816" s="205" t="s">
        <v>2276</v>
      </c>
      <c r="Q2816" s="205" t="s">
        <v>2276</v>
      </c>
      <c r="R2816" s="205" t="s">
        <v>2276</v>
      </c>
      <c r="S2816" s="205" t="s">
        <v>2276</v>
      </c>
      <c r="T2816" s="21">
        <f>1200*0.035</f>
        <v>42.000000000000007</v>
      </c>
      <c r="U2816" s="205" t="s">
        <v>2276</v>
      </c>
      <c r="V2816" s="205" t="s">
        <v>2276</v>
      </c>
      <c r="W2816" s="205" t="s">
        <v>2276</v>
      </c>
      <c r="X2816" s="21">
        <f>T2816/'Record info'!K$1135</f>
        <v>6.9249793899422932E-3</v>
      </c>
      <c r="Y2816" s="205" t="s">
        <v>2276</v>
      </c>
      <c r="Z2816" s="205" t="s">
        <v>68</v>
      </c>
      <c r="AA2816" s="205" t="s">
        <v>86</v>
      </c>
      <c r="AB2816" s="205" t="s">
        <v>76</v>
      </c>
      <c r="AC2816" s="205"/>
      <c r="AD2816" s="205"/>
    </row>
    <row r="2817" spans="1:30" ht="36" customHeight="1">
      <c r="A2817" s="19" t="s">
        <v>7458</v>
      </c>
      <c r="B2817" s="19" t="s">
        <v>7619</v>
      </c>
      <c r="C2817" s="205" t="s">
        <v>24</v>
      </c>
      <c r="D2817" s="205" t="s">
        <v>1242</v>
      </c>
      <c r="E2817" s="205" t="s">
        <v>3209</v>
      </c>
      <c r="F2817" s="152" t="s">
        <v>2276</v>
      </c>
      <c r="G2817" s="152" t="s">
        <v>2276</v>
      </c>
      <c r="H2817" s="205" t="s">
        <v>523</v>
      </c>
      <c r="I2817" s="205">
        <v>2013</v>
      </c>
      <c r="J2817" s="205" t="s">
        <v>2276</v>
      </c>
      <c r="K2817" s="205" t="s">
        <v>2276</v>
      </c>
      <c r="L2817" s="205" t="s">
        <v>2276</v>
      </c>
      <c r="M2817" s="205" t="s">
        <v>2276</v>
      </c>
      <c r="N2817" s="205" t="s">
        <v>2276</v>
      </c>
      <c r="O2817" s="205" t="s">
        <v>2276</v>
      </c>
      <c r="P2817" s="205" t="s">
        <v>2276</v>
      </c>
      <c r="Q2817" s="205" t="s">
        <v>2276</v>
      </c>
      <c r="R2817" s="205" t="s">
        <v>2276</v>
      </c>
      <c r="S2817" s="205" t="s">
        <v>2276</v>
      </c>
      <c r="T2817" s="21">
        <f>1200*0.079</f>
        <v>94.8</v>
      </c>
      <c r="U2817" s="205" t="s">
        <v>2276</v>
      </c>
      <c r="V2817" s="205" t="s">
        <v>2276</v>
      </c>
      <c r="W2817" s="205" t="s">
        <v>2276</v>
      </c>
      <c r="X2817" s="21">
        <f>T2817/'Record info'!K$1136</f>
        <v>1.4202247191011236E-2</v>
      </c>
      <c r="Y2817" s="205" t="s">
        <v>2276</v>
      </c>
      <c r="Z2817" s="205" t="s">
        <v>68</v>
      </c>
      <c r="AA2817" s="205" t="s">
        <v>86</v>
      </c>
      <c r="AB2817" s="205" t="s">
        <v>76</v>
      </c>
      <c r="AC2817" s="205"/>
      <c r="AD2817" s="205"/>
    </row>
    <row r="2818" spans="1:30" ht="36" customHeight="1">
      <c r="A2818" s="19" t="s">
        <v>7459</v>
      </c>
      <c r="B2818" s="19" t="s">
        <v>7620</v>
      </c>
      <c r="C2818" s="205" t="s">
        <v>24</v>
      </c>
      <c r="D2818" s="205" t="s">
        <v>1242</v>
      </c>
      <c r="E2818" s="205" t="s">
        <v>3209</v>
      </c>
      <c r="F2818" s="152" t="s">
        <v>2276</v>
      </c>
      <c r="G2818" s="152" t="s">
        <v>2276</v>
      </c>
      <c r="H2818" s="205" t="s">
        <v>523</v>
      </c>
      <c r="I2818" s="205">
        <v>2013</v>
      </c>
      <c r="J2818" s="205" t="s">
        <v>2276</v>
      </c>
      <c r="K2818" s="205" t="s">
        <v>2276</v>
      </c>
      <c r="L2818" s="205" t="s">
        <v>2276</v>
      </c>
      <c r="M2818" s="205" t="s">
        <v>2276</v>
      </c>
      <c r="N2818" s="205" t="s">
        <v>2276</v>
      </c>
      <c r="O2818" s="205" t="s">
        <v>2276</v>
      </c>
      <c r="P2818" s="205" t="s">
        <v>2276</v>
      </c>
      <c r="Q2818" s="205" t="s">
        <v>2276</v>
      </c>
      <c r="R2818" s="205" t="s">
        <v>2276</v>
      </c>
      <c r="S2818" s="205" t="s">
        <v>2276</v>
      </c>
      <c r="T2818" s="21">
        <f>1200*0.132</f>
        <v>158.4</v>
      </c>
      <c r="U2818" s="205" t="s">
        <v>2276</v>
      </c>
      <c r="V2818" s="205" t="s">
        <v>2276</v>
      </c>
      <c r="W2818" s="205" t="s">
        <v>2276</v>
      </c>
      <c r="X2818" s="21">
        <f>T2818/'Record info'!K$1137</f>
        <v>2.8706052917723813E-2</v>
      </c>
      <c r="Y2818" s="205" t="s">
        <v>2276</v>
      </c>
      <c r="Z2818" s="205" t="s">
        <v>68</v>
      </c>
      <c r="AA2818" s="205" t="s">
        <v>86</v>
      </c>
      <c r="AB2818" s="205" t="s">
        <v>76</v>
      </c>
      <c r="AC2818" s="205"/>
      <c r="AD2818" s="205"/>
    </row>
    <row r="2819" spans="1:30" ht="36" customHeight="1">
      <c r="A2819" s="19" t="s">
        <v>7460</v>
      </c>
      <c r="B2819" s="19" t="s">
        <v>7621</v>
      </c>
      <c r="C2819" s="205" t="s">
        <v>24</v>
      </c>
      <c r="D2819" s="205" t="s">
        <v>1242</v>
      </c>
      <c r="E2819" s="205" t="s">
        <v>3209</v>
      </c>
      <c r="F2819" s="152" t="s">
        <v>2276</v>
      </c>
      <c r="G2819" s="152" t="s">
        <v>2276</v>
      </c>
      <c r="H2819" s="205" t="s">
        <v>523</v>
      </c>
      <c r="I2819" s="205">
        <v>2013</v>
      </c>
      <c r="J2819" s="205" t="s">
        <v>2276</v>
      </c>
      <c r="K2819" s="205" t="s">
        <v>2276</v>
      </c>
      <c r="L2819" s="205" t="s">
        <v>2276</v>
      </c>
      <c r="M2819" s="205" t="s">
        <v>2276</v>
      </c>
      <c r="N2819" s="205" t="s">
        <v>2276</v>
      </c>
      <c r="O2819" s="205" t="s">
        <v>2276</v>
      </c>
      <c r="P2819" s="205" t="s">
        <v>2276</v>
      </c>
      <c r="Q2819" s="205" t="s">
        <v>2276</v>
      </c>
      <c r="R2819" s="205" t="s">
        <v>2276</v>
      </c>
      <c r="S2819" s="205" t="s">
        <v>2276</v>
      </c>
      <c r="T2819" s="21">
        <f>1200*0.057</f>
        <v>68.400000000000006</v>
      </c>
      <c r="U2819" s="205" t="s">
        <v>2276</v>
      </c>
      <c r="V2819" s="205" t="s">
        <v>2276</v>
      </c>
      <c r="W2819" s="205" t="s">
        <v>2276</v>
      </c>
      <c r="X2819" s="21">
        <f>T2819/'Record info'!K$1138</f>
        <v>1.7329617430960224E-2</v>
      </c>
      <c r="Y2819" s="205" t="s">
        <v>2276</v>
      </c>
      <c r="Z2819" s="205" t="s">
        <v>68</v>
      </c>
      <c r="AA2819" s="205" t="s">
        <v>86</v>
      </c>
      <c r="AB2819" s="205" t="s">
        <v>76</v>
      </c>
      <c r="AC2819" s="205"/>
      <c r="AD2819" s="205"/>
    </row>
    <row r="2820" spans="1:30" ht="36" customHeight="1">
      <c r="A2820" s="19" t="s">
        <v>7461</v>
      </c>
      <c r="B2820" s="19" t="s">
        <v>7622</v>
      </c>
      <c r="C2820" s="205" t="s">
        <v>24</v>
      </c>
      <c r="D2820" s="205" t="s">
        <v>1242</v>
      </c>
      <c r="E2820" s="205" t="s">
        <v>3209</v>
      </c>
      <c r="F2820" s="152" t="s">
        <v>2276</v>
      </c>
      <c r="G2820" s="152" t="s">
        <v>2276</v>
      </c>
      <c r="H2820" s="205" t="s">
        <v>523</v>
      </c>
      <c r="I2820" s="205">
        <v>2013</v>
      </c>
      <c r="J2820" s="205" t="s">
        <v>2276</v>
      </c>
      <c r="K2820" s="205" t="s">
        <v>2276</v>
      </c>
      <c r="L2820" s="205" t="s">
        <v>2276</v>
      </c>
      <c r="M2820" s="205" t="s">
        <v>2276</v>
      </c>
      <c r="N2820" s="205" t="s">
        <v>2276</v>
      </c>
      <c r="O2820" s="205" t="s">
        <v>2276</v>
      </c>
      <c r="P2820" s="205" t="s">
        <v>2276</v>
      </c>
      <c r="Q2820" s="205" t="s">
        <v>2276</v>
      </c>
      <c r="R2820" s="205" t="s">
        <v>2276</v>
      </c>
      <c r="S2820" s="205" t="s">
        <v>2276</v>
      </c>
      <c r="T2820" s="21">
        <f>1200*0.024</f>
        <v>28.8</v>
      </c>
      <c r="U2820" s="205" t="s">
        <v>2276</v>
      </c>
      <c r="V2820" s="205" t="s">
        <v>2276</v>
      </c>
      <c r="W2820" s="205" t="s">
        <v>2276</v>
      </c>
      <c r="X2820" s="21">
        <f>T2820/'Record info'!K$1139</f>
        <v>1.0256410256410256E-2</v>
      </c>
      <c r="Y2820" s="205" t="s">
        <v>2276</v>
      </c>
      <c r="Z2820" s="205" t="s">
        <v>68</v>
      </c>
      <c r="AA2820" s="205" t="s">
        <v>86</v>
      </c>
      <c r="AB2820" s="205" t="s">
        <v>76</v>
      </c>
      <c r="AC2820" s="205"/>
      <c r="AD2820" s="205"/>
    </row>
    <row r="2821" spans="1:30" ht="36" customHeight="1">
      <c r="A2821" s="19" t="s">
        <v>7462</v>
      </c>
      <c r="B2821" s="19" t="s">
        <v>7623</v>
      </c>
      <c r="C2821" s="205" t="s">
        <v>24</v>
      </c>
      <c r="D2821" s="205" t="s">
        <v>1242</v>
      </c>
      <c r="E2821" s="205" t="s">
        <v>3209</v>
      </c>
      <c r="F2821" s="152" t="s">
        <v>2276</v>
      </c>
      <c r="G2821" s="152" t="s">
        <v>2276</v>
      </c>
      <c r="H2821" s="205" t="s">
        <v>523</v>
      </c>
      <c r="I2821" s="205">
        <v>2013</v>
      </c>
      <c r="J2821" s="205" t="s">
        <v>2276</v>
      </c>
      <c r="K2821" s="205" t="s">
        <v>2276</v>
      </c>
      <c r="L2821" s="205" t="s">
        <v>2276</v>
      </c>
      <c r="M2821" s="205" t="s">
        <v>2276</v>
      </c>
      <c r="N2821" s="205" t="s">
        <v>2276</v>
      </c>
      <c r="O2821" s="205" t="s">
        <v>2276</v>
      </c>
      <c r="P2821" s="205" t="s">
        <v>2276</v>
      </c>
      <c r="Q2821" s="205" t="s">
        <v>2276</v>
      </c>
      <c r="R2821" s="205" t="s">
        <v>2276</v>
      </c>
      <c r="S2821" s="205" t="s">
        <v>2276</v>
      </c>
      <c r="T2821" s="21">
        <f>1200*0.072</f>
        <v>86.399999999999991</v>
      </c>
      <c r="U2821" s="205" t="s">
        <v>2276</v>
      </c>
      <c r="V2821" s="205" t="s">
        <v>2276</v>
      </c>
      <c r="W2821" s="205" t="s">
        <v>2276</v>
      </c>
      <c r="X2821" s="21">
        <f>T2821/'Record info'!K$1140</f>
        <v>1.7255841821449968E-2</v>
      </c>
      <c r="Y2821" s="205" t="s">
        <v>2276</v>
      </c>
      <c r="Z2821" s="205" t="s">
        <v>68</v>
      </c>
      <c r="AA2821" s="205" t="s">
        <v>86</v>
      </c>
      <c r="AB2821" s="205" t="s">
        <v>76</v>
      </c>
      <c r="AC2821" s="205"/>
      <c r="AD2821" s="205"/>
    </row>
    <row r="2822" spans="1:30" ht="36" customHeight="1">
      <c r="A2822" s="19" t="s">
        <v>7463</v>
      </c>
      <c r="B2822" s="19" t="s">
        <v>7624</v>
      </c>
      <c r="C2822" s="205" t="s">
        <v>24</v>
      </c>
      <c r="D2822" s="205" t="s">
        <v>1242</v>
      </c>
      <c r="E2822" s="205" t="s">
        <v>3209</v>
      </c>
      <c r="F2822" s="152" t="s">
        <v>2276</v>
      </c>
      <c r="G2822" s="152" t="s">
        <v>2276</v>
      </c>
      <c r="H2822" s="205" t="s">
        <v>523</v>
      </c>
      <c r="I2822" s="205">
        <v>2013</v>
      </c>
      <c r="J2822" s="205" t="s">
        <v>2276</v>
      </c>
      <c r="K2822" s="205" t="s">
        <v>2276</v>
      </c>
      <c r="L2822" s="205" t="s">
        <v>2276</v>
      </c>
      <c r="M2822" s="205" t="s">
        <v>2276</v>
      </c>
      <c r="N2822" s="205" t="s">
        <v>2276</v>
      </c>
      <c r="O2822" s="205" t="s">
        <v>2276</v>
      </c>
      <c r="P2822" s="205" t="s">
        <v>2276</v>
      </c>
      <c r="Q2822" s="205" t="s">
        <v>2276</v>
      </c>
      <c r="R2822" s="205" t="s">
        <v>2276</v>
      </c>
      <c r="S2822" s="205" t="s">
        <v>2276</v>
      </c>
      <c r="T2822" s="21">
        <f>1200*0.068</f>
        <v>81.600000000000009</v>
      </c>
      <c r="U2822" s="205" t="s">
        <v>2276</v>
      </c>
      <c r="V2822" s="205" t="s">
        <v>2276</v>
      </c>
      <c r="W2822" s="205" t="s">
        <v>2276</v>
      </c>
      <c r="X2822" s="21">
        <f>T2822/'Record info'!K$1141</f>
        <v>6.950596252129472E-2</v>
      </c>
      <c r="Y2822" s="205" t="s">
        <v>2276</v>
      </c>
      <c r="Z2822" s="205" t="s">
        <v>68</v>
      </c>
      <c r="AA2822" s="205" t="s">
        <v>86</v>
      </c>
      <c r="AB2822" s="205" t="s">
        <v>76</v>
      </c>
      <c r="AC2822" s="205"/>
      <c r="AD2822" s="205"/>
    </row>
    <row r="2823" spans="1:30" ht="36" customHeight="1">
      <c r="A2823" s="19" t="s">
        <v>7464</v>
      </c>
      <c r="B2823" s="19" t="s">
        <v>7625</v>
      </c>
      <c r="C2823" s="205" t="s">
        <v>24</v>
      </c>
      <c r="D2823" s="205" t="s">
        <v>1242</v>
      </c>
      <c r="E2823" s="205" t="s">
        <v>3209</v>
      </c>
      <c r="F2823" s="152" t="s">
        <v>2276</v>
      </c>
      <c r="G2823" s="152" t="s">
        <v>2276</v>
      </c>
      <c r="H2823" s="205" t="s">
        <v>523</v>
      </c>
      <c r="I2823" s="205">
        <v>2013</v>
      </c>
      <c r="J2823" s="205" t="s">
        <v>2276</v>
      </c>
      <c r="K2823" s="205" t="s">
        <v>2276</v>
      </c>
      <c r="L2823" s="205" t="s">
        <v>2276</v>
      </c>
      <c r="M2823" s="205" t="s">
        <v>2276</v>
      </c>
      <c r="N2823" s="205" t="s">
        <v>2276</v>
      </c>
      <c r="O2823" s="205" t="s">
        <v>2276</v>
      </c>
      <c r="P2823" s="205" t="s">
        <v>2276</v>
      </c>
      <c r="Q2823" s="205" t="s">
        <v>2276</v>
      </c>
      <c r="R2823" s="205" t="s">
        <v>2276</v>
      </c>
      <c r="S2823" s="205" t="s">
        <v>2276</v>
      </c>
      <c r="T2823" s="21">
        <f>1200*0.075</f>
        <v>90</v>
      </c>
      <c r="U2823" s="205" t="s">
        <v>2276</v>
      </c>
      <c r="V2823" s="205" t="s">
        <v>2276</v>
      </c>
      <c r="W2823" s="205" t="s">
        <v>2276</v>
      </c>
      <c r="X2823" s="21">
        <f>T2823/'Record info'!K$1142</f>
        <v>2.0794824399260628E-2</v>
      </c>
      <c r="Y2823" s="205" t="s">
        <v>2276</v>
      </c>
      <c r="Z2823" s="205" t="s">
        <v>68</v>
      </c>
      <c r="AA2823" s="205" t="s">
        <v>86</v>
      </c>
      <c r="AB2823" s="205" t="s">
        <v>76</v>
      </c>
      <c r="AC2823" s="205"/>
      <c r="AD2823" s="205"/>
    </row>
    <row r="2824" spans="1:30" ht="36" customHeight="1">
      <c r="A2824" s="19" t="s">
        <v>7465</v>
      </c>
      <c r="B2824" s="19" t="s">
        <v>7626</v>
      </c>
      <c r="C2824" s="205" t="s">
        <v>24</v>
      </c>
      <c r="D2824" s="205" t="s">
        <v>1242</v>
      </c>
      <c r="E2824" s="205" t="s">
        <v>3209</v>
      </c>
      <c r="F2824" s="152" t="s">
        <v>2276</v>
      </c>
      <c r="G2824" s="152" t="s">
        <v>2276</v>
      </c>
      <c r="H2824" s="205" t="s">
        <v>523</v>
      </c>
      <c r="I2824" s="205">
        <v>2013</v>
      </c>
      <c r="J2824" s="205" t="s">
        <v>2276</v>
      </c>
      <c r="K2824" s="205" t="s">
        <v>2276</v>
      </c>
      <c r="L2824" s="205" t="s">
        <v>2276</v>
      </c>
      <c r="M2824" s="205" t="s">
        <v>2276</v>
      </c>
      <c r="N2824" s="205" t="s">
        <v>2276</v>
      </c>
      <c r="O2824" s="205" t="s">
        <v>2276</v>
      </c>
      <c r="P2824" s="205" t="s">
        <v>2276</v>
      </c>
      <c r="Q2824" s="205" t="s">
        <v>2276</v>
      </c>
      <c r="R2824" s="205" t="s">
        <v>2276</v>
      </c>
      <c r="S2824" s="205" t="s">
        <v>2276</v>
      </c>
      <c r="T2824" s="21">
        <f>1200*0.111</f>
        <v>133.19999999999999</v>
      </c>
      <c r="U2824" s="205" t="s">
        <v>2276</v>
      </c>
      <c r="V2824" s="205" t="s">
        <v>2276</v>
      </c>
      <c r="W2824" s="205" t="s">
        <v>2276</v>
      </c>
      <c r="X2824" s="21">
        <f>T2824/'Record info'!K$1143</f>
        <v>5.5615866388308975E-2</v>
      </c>
      <c r="Y2824" s="205" t="s">
        <v>2276</v>
      </c>
      <c r="Z2824" s="205" t="s">
        <v>68</v>
      </c>
      <c r="AA2824" s="205" t="s">
        <v>86</v>
      </c>
      <c r="AB2824" s="205" t="s">
        <v>76</v>
      </c>
      <c r="AC2824" s="205"/>
      <c r="AD2824" s="205"/>
    </row>
    <row r="2825" spans="1:30" ht="36" customHeight="1">
      <c r="A2825" s="19" t="s">
        <v>7466</v>
      </c>
      <c r="B2825" s="19" t="s">
        <v>7627</v>
      </c>
      <c r="C2825" s="205" t="s">
        <v>24</v>
      </c>
      <c r="D2825" s="205" t="s">
        <v>1242</v>
      </c>
      <c r="E2825" s="205" t="s">
        <v>3209</v>
      </c>
      <c r="F2825" s="152" t="s">
        <v>2276</v>
      </c>
      <c r="G2825" s="152" t="s">
        <v>2276</v>
      </c>
      <c r="H2825" s="205" t="s">
        <v>523</v>
      </c>
      <c r="I2825" s="205">
        <v>2013</v>
      </c>
      <c r="J2825" s="205" t="s">
        <v>2276</v>
      </c>
      <c r="K2825" s="205" t="s">
        <v>2276</v>
      </c>
      <c r="L2825" s="205" t="s">
        <v>2276</v>
      </c>
      <c r="M2825" s="205" t="s">
        <v>2276</v>
      </c>
      <c r="N2825" s="205" t="s">
        <v>2276</v>
      </c>
      <c r="O2825" s="205" t="s">
        <v>2276</v>
      </c>
      <c r="P2825" s="205" t="s">
        <v>2276</v>
      </c>
      <c r="Q2825" s="205" t="s">
        <v>2276</v>
      </c>
      <c r="R2825" s="205" t="s">
        <v>2276</v>
      </c>
      <c r="S2825" s="205" t="s">
        <v>2276</v>
      </c>
      <c r="T2825" s="21">
        <f>1200*0.106</f>
        <v>127.2</v>
      </c>
      <c r="U2825" s="205" t="s">
        <v>2276</v>
      </c>
      <c r="V2825" s="205" t="s">
        <v>2276</v>
      </c>
      <c r="W2825" s="205" t="s">
        <v>2276</v>
      </c>
      <c r="X2825" s="21">
        <f>T2825/'Record info'!K$1144</f>
        <v>4.7586980920314256E-2</v>
      </c>
      <c r="Y2825" s="205" t="s">
        <v>2276</v>
      </c>
      <c r="Z2825" s="205" t="s">
        <v>68</v>
      </c>
      <c r="AA2825" s="205" t="s">
        <v>86</v>
      </c>
      <c r="AB2825" s="205" t="s">
        <v>76</v>
      </c>
      <c r="AC2825" s="205"/>
      <c r="AD2825" s="205"/>
    </row>
    <row r="2826" spans="1:30" ht="36" customHeight="1">
      <c r="A2826" s="19" t="s">
        <v>7467</v>
      </c>
      <c r="B2826" s="19" t="s">
        <v>7628</v>
      </c>
      <c r="C2826" s="205" t="s">
        <v>24</v>
      </c>
      <c r="D2826" s="205" t="s">
        <v>1242</v>
      </c>
      <c r="E2826" s="205" t="s">
        <v>3209</v>
      </c>
      <c r="F2826" s="152" t="s">
        <v>2276</v>
      </c>
      <c r="G2826" s="152" t="s">
        <v>2276</v>
      </c>
      <c r="H2826" s="205" t="s">
        <v>523</v>
      </c>
      <c r="I2826" s="205">
        <v>2013</v>
      </c>
      <c r="J2826" s="205" t="s">
        <v>2276</v>
      </c>
      <c r="K2826" s="205" t="s">
        <v>2276</v>
      </c>
      <c r="L2826" s="205" t="s">
        <v>2276</v>
      </c>
      <c r="M2826" s="205" t="s">
        <v>2276</v>
      </c>
      <c r="N2826" s="205" t="s">
        <v>2276</v>
      </c>
      <c r="O2826" s="205" t="s">
        <v>2276</v>
      </c>
      <c r="P2826" s="205" t="s">
        <v>2276</v>
      </c>
      <c r="Q2826" s="205" t="s">
        <v>2276</v>
      </c>
      <c r="R2826" s="205" t="s">
        <v>2276</v>
      </c>
      <c r="S2826" s="205" t="s">
        <v>2276</v>
      </c>
      <c r="T2826" s="21">
        <f>1200*0.166</f>
        <v>199.20000000000002</v>
      </c>
      <c r="U2826" s="205" t="s">
        <v>2276</v>
      </c>
      <c r="V2826" s="205" t="s">
        <v>2276</v>
      </c>
      <c r="W2826" s="205" t="s">
        <v>2276</v>
      </c>
      <c r="X2826" s="21">
        <f>T2826/'Record info'!K$1145</f>
        <v>8.8337028824833713E-2</v>
      </c>
      <c r="Y2826" s="205" t="s">
        <v>2276</v>
      </c>
      <c r="Z2826" s="205" t="s">
        <v>68</v>
      </c>
      <c r="AA2826" s="205" t="s">
        <v>86</v>
      </c>
      <c r="AB2826" s="205" t="s">
        <v>76</v>
      </c>
      <c r="AC2826" s="205"/>
      <c r="AD2826" s="205"/>
    </row>
    <row r="2827" spans="1:30" ht="43.5" customHeight="1">
      <c r="A2827" s="19" t="s">
        <v>7365</v>
      </c>
      <c r="B2827" s="19" t="s">
        <v>7629</v>
      </c>
      <c r="C2827" s="205" t="s">
        <v>24</v>
      </c>
      <c r="D2827" s="205" t="s">
        <v>1242</v>
      </c>
      <c r="E2827" s="205" t="s">
        <v>3209</v>
      </c>
      <c r="F2827" s="152" t="s">
        <v>2276</v>
      </c>
      <c r="G2827" s="152" t="s">
        <v>2276</v>
      </c>
      <c r="H2827" s="205" t="s">
        <v>523</v>
      </c>
      <c r="I2827" s="205">
        <v>2014</v>
      </c>
      <c r="J2827" s="205" t="s">
        <v>2276</v>
      </c>
      <c r="K2827" s="205" t="s">
        <v>2276</v>
      </c>
      <c r="L2827" s="205" t="s">
        <v>2276</v>
      </c>
      <c r="M2827" s="205" t="s">
        <v>2276</v>
      </c>
      <c r="N2827" s="205" t="s">
        <v>2276</v>
      </c>
      <c r="O2827" s="205" t="s">
        <v>2276</v>
      </c>
      <c r="P2827" s="205" t="s">
        <v>2276</v>
      </c>
      <c r="Q2827" s="205" t="s">
        <v>2276</v>
      </c>
      <c r="R2827" s="205" t="s">
        <v>2276</v>
      </c>
      <c r="S2827" s="205" t="s">
        <v>2276</v>
      </c>
      <c r="T2827" s="21">
        <f>800*0.027</f>
        <v>21.6</v>
      </c>
      <c r="U2827" s="205" t="s">
        <v>2276</v>
      </c>
      <c r="V2827" s="205" t="s">
        <v>2276</v>
      </c>
      <c r="W2827" s="205" t="s">
        <v>2276</v>
      </c>
      <c r="X2827" s="21">
        <f>T2827/'Record info'!K$1128</f>
        <v>7.7142857142857152E-3</v>
      </c>
      <c r="Y2827" s="205" t="s">
        <v>2276</v>
      </c>
      <c r="Z2827" s="205" t="s">
        <v>68</v>
      </c>
      <c r="AA2827" s="205" t="s">
        <v>86</v>
      </c>
      <c r="AB2827" s="205" t="s">
        <v>76</v>
      </c>
      <c r="AC2827" s="205"/>
      <c r="AD2827" s="205"/>
    </row>
    <row r="2828" spans="1:30" ht="43.5" customHeight="1">
      <c r="A2828" s="19" t="s">
        <v>7451</v>
      </c>
      <c r="B2828" s="19" t="s">
        <v>7630</v>
      </c>
      <c r="C2828" s="205" t="s">
        <v>24</v>
      </c>
      <c r="D2828" s="205" t="s">
        <v>1242</v>
      </c>
      <c r="E2828" s="205" t="s">
        <v>3209</v>
      </c>
      <c r="F2828" s="152" t="s">
        <v>2276</v>
      </c>
      <c r="G2828" s="152" t="s">
        <v>2276</v>
      </c>
      <c r="H2828" s="205" t="s">
        <v>523</v>
      </c>
      <c r="I2828" s="205">
        <v>2014</v>
      </c>
      <c r="J2828" s="205" t="s">
        <v>2276</v>
      </c>
      <c r="K2828" s="205" t="s">
        <v>2276</v>
      </c>
      <c r="L2828" s="205" t="s">
        <v>2276</v>
      </c>
      <c r="M2828" s="205" t="s">
        <v>2276</v>
      </c>
      <c r="N2828" s="205" t="s">
        <v>2276</v>
      </c>
      <c r="O2828" s="205" t="s">
        <v>2276</v>
      </c>
      <c r="P2828" s="205" t="s">
        <v>2276</v>
      </c>
      <c r="Q2828" s="205" t="s">
        <v>2276</v>
      </c>
      <c r="R2828" s="205" t="s">
        <v>2276</v>
      </c>
      <c r="S2828" s="205" t="s">
        <v>2276</v>
      </c>
      <c r="T2828" s="21">
        <f>800*0.041</f>
        <v>32.800000000000004</v>
      </c>
      <c r="U2828" s="205" t="s">
        <v>2276</v>
      </c>
      <c r="V2828" s="205" t="s">
        <v>2276</v>
      </c>
      <c r="W2828" s="205" t="s">
        <v>2276</v>
      </c>
      <c r="X2828" s="21">
        <f>T2828/'Record info'!K$1129</f>
        <v>9.3314366998577536E-3</v>
      </c>
      <c r="Y2828" s="205" t="s">
        <v>2276</v>
      </c>
      <c r="Z2828" s="205" t="s">
        <v>68</v>
      </c>
      <c r="AA2828" s="205" t="s">
        <v>86</v>
      </c>
      <c r="AB2828" s="205" t="s">
        <v>76</v>
      </c>
      <c r="AC2828" s="205"/>
      <c r="AD2828" s="205"/>
    </row>
    <row r="2829" spans="1:30" ht="43.5" customHeight="1">
      <c r="A2829" s="19" t="s">
        <v>7452</v>
      </c>
      <c r="B2829" s="19" t="s">
        <v>7631</v>
      </c>
      <c r="C2829" s="205" t="s">
        <v>24</v>
      </c>
      <c r="D2829" s="205" t="s">
        <v>1242</v>
      </c>
      <c r="E2829" s="205" t="s">
        <v>3209</v>
      </c>
      <c r="F2829" s="152" t="s">
        <v>2276</v>
      </c>
      <c r="G2829" s="152" t="s">
        <v>2276</v>
      </c>
      <c r="H2829" s="205" t="s">
        <v>523</v>
      </c>
      <c r="I2829" s="205">
        <v>2014</v>
      </c>
      <c r="J2829" s="205" t="s">
        <v>2276</v>
      </c>
      <c r="K2829" s="205" t="s">
        <v>2276</v>
      </c>
      <c r="L2829" s="205" t="s">
        <v>2276</v>
      </c>
      <c r="M2829" s="205" t="s">
        <v>2276</v>
      </c>
      <c r="N2829" s="205" t="s">
        <v>2276</v>
      </c>
      <c r="O2829" s="205" t="s">
        <v>2276</v>
      </c>
      <c r="P2829" s="205" t="s">
        <v>2276</v>
      </c>
      <c r="Q2829" s="205" t="s">
        <v>2276</v>
      </c>
      <c r="R2829" s="205" t="s">
        <v>2276</v>
      </c>
      <c r="S2829" s="205" t="s">
        <v>2276</v>
      </c>
      <c r="T2829" s="21">
        <f>800*0.004</f>
        <v>3.2</v>
      </c>
      <c r="U2829" s="205" t="s">
        <v>2276</v>
      </c>
      <c r="V2829" s="205" t="s">
        <v>2276</v>
      </c>
      <c r="W2829" s="205" t="s">
        <v>2276</v>
      </c>
      <c r="X2829" s="21">
        <f>T2829/'Record info'!K$1130</f>
        <v>4.742848673484512E-4</v>
      </c>
      <c r="Y2829" s="205" t="s">
        <v>2276</v>
      </c>
      <c r="Z2829" s="205" t="s">
        <v>68</v>
      </c>
      <c r="AA2829" s="205" t="s">
        <v>86</v>
      </c>
      <c r="AB2829" s="205" t="s">
        <v>76</v>
      </c>
      <c r="AC2829" s="205"/>
      <c r="AD2829" s="205"/>
    </row>
    <row r="2830" spans="1:30" ht="43.5" customHeight="1">
      <c r="A2830" s="19" t="s">
        <v>7453</v>
      </c>
      <c r="B2830" s="19" t="s">
        <v>7632</v>
      </c>
      <c r="C2830" s="205" t="s">
        <v>24</v>
      </c>
      <c r="D2830" s="205" t="s">
        <v>1242</v>
      </c>
      <c r="E2830" s="205" t="s">
        <v>3209</v>
      </c>
      <c r="F2830" s="152" t="s">
        <v>2276</v>
      </c>
      <c r="G2830" s="152" t="s">
        <v>2276</v>
      </c>
      <c r="H2830" s="205" t="s">
        <v>523</v>
      </c>
      <c r="I2830" s="205">
        <v>2014</v>
      </c>
      <c r="J2830" s="205" t="s">
        <v>2276</v>
      </c>
      <c r="K2830" s="205" t="s">
        <v>2276</v>
      </c>
      <c r="L2830" s="205" t="s">
        <v>2276</v>
      </c>
      <c r="M2830" s="205" t="s">
        <v>2276</v>
      </c>
      <c r="N2830" s="205" t="s">
        <v>2276</v>
      </c>
      <c r="O2830" s="205" t="s">
        <v>2276</v>
      </c>
      <c r="P2830" s="205" t="s">
        <v>2276</v>
      </c>
      <c r="Q2830" s="205" t="s">
        <v>2276</v>
      </c>
      <c r="R2830" s="205" t="s">
        <v>2276</v>
      </c>
      <c r="S2830" s="205" t="s">
        <v>2276</v>
      </c>
      <c r="T2830" s="21">
        <f>800*0.004</f>
        <v>3.2</v>
      </c>
      <c r="U2830" s="205" t="s">
        <v>2276</v>
      </c>
      <c r="V2830" s="205" t="s">
        <v>2276</v>
      </c>
      <c r="W2830" s="205" t="s">
        <v>2276</v>
      </c>
      <c r="X2830" s="21">
        <f>T2830/'Record info'!K$1131</f>
        <v>6.3191153238546609E-4</v>
      </c>
      <c r="Y2830" s="205" t="s">
        <v>2276</v>
      </c>
      <c r="Z2830" s="205" t="s">
        <v>68</v>
      </c>
      <c r="AA2830" s="205" t="s">
        <v>86</v>
      </c>
      <c r="AB2830" s="205" t="s">
        <v>76</v>
      </c>
      <c r="AC2830" s="205"/>
      <c r="AD2830" s="205"/>
    </row>
    <row r="2831" spans="1:30" ht="43.5" customHeight="1">
      <c r="A2831" s="19" t="s">
        <v>7454</v>
      </c>
      <c r="B2831" s="19" t="s">
        <v>7633</v>
      </c>
      <c r="C2831" s="205" t="s">
        <v>24</v>
      </c>
      <c r="D2831" s="205" t="s">
        <v>1242</v>
      </c>
      <c r="E2831" s="205" t="s">
        <v>3209</v>
      </c>
      <c r="F2831" s="152" t="s">
        <v>2276</v>
      </c>
      <c r="G2831" s="152" t="s">
        <v>2276</v>
      </c>
      <c r="H2831" s="205" t="s">
        <v>524</v>
      </c>
      <c r="I2831" s="205">
        <v>2014</v>
      </c>
      <c r="J2831" s="21">
        <v>0</v>
      </c>
      <c r="K2831" s="21">
        <v>0</v>
      </c>
      <c r="L2831" s="21">
        <v>0</v>
      </c>
      <c r="M2831" s="21">
        <v>0</v>
      </c>
      <c r="N2831" s="21">
        <v>0</v>
      </c>
      <c r="O2831" s="21">
        <v>0</v>
      </c>
      <c r="P2831" s="21">
        <v>0</v>
      </c>
      <c r="Q2831" s="21">
        <v>0</v>
      </c>
      <c r="R2831" s="21">
        <v>0</v>
      </c>
      <c r="S2831" s="21">
        <v>0</v>
      </c>
      <c r="T2831" s="21">
        <v>0</v>
      </c>
      <c r="U2831" s="21">
        <v>0</v>
      </c>
      <c r="V2831" s="21">
        <v>0</v>
      </c>
      <c r="W2831" s="21">
        <v>0</v>
      </c>
      <c r="X2831" s="21">
        <f>T2831/'Record info'!K$1132</f>
        <v>0</v>
      </c>
      <c r="Y2831" s="205" t="s">
        <v>2276</v>
      </c>
      <c r="Z2831" s="205" t="s">
        <v>68</v>
      </c>
      <c r="AA2831" s="205" t="s">
        <v>86</v>
      </c>
      <c r="AB2831" s="205" t="s">
        <v>76</v>
      </c>
      <c r="AC2831" s="205"/>
      <c r="AD2831" s="205"/>
    </row>
    <row r="2832" spans="1:30" ht="43.5" customHeight="1">
      <c r="A2832" s="19" t="s">
        <v>7455</v>
      </c>
      <c r="B2832" s="19" t="s">
        <v>7634</v>
      </c>
      <c r="C2832" s="205" t="s">
        <v>24</v>
      </c>
      <c r="D2832" s="205" t="s">
        <v>1242</v>
      </c>
      <c r="E2832" s="205" t="s">
        <v>3209</v>
      </c>
      <c r="F2832" s="152" t="s">
        <v>2276</v>
      </c>
      <c r="G2832" s="152" t="s">
        <v>2276</v>
      </c>
      <c r="H2832" s="205" t="s">
        <v>524</v>
      </c>
      <c r="I2832" s="205">
        <v>2014</v>
      </c>
      <c r="J2832" s="21">
        <v>0</v>
      </c>
      <c r="K2832" s="21">
        <v>0</v>
      </c>
      <c r="L2832" s="21">
        <v>0</v>
      </c>
      <c r="M2832" s="21">
        <v>0</v>
      </c>
      <c r="N2832" s="21">
        <v>0</v>
      </c>
      <c r="O2832" s="21">
        <v>0</v>
      </c>
      <c r="P2832" s="21">
        <v>0</v>
      </c>
      <c r="Q2832" s="21">
        <v>0</v>
      </c>
      <c r="R2832" s="21">
        <v>0</v>
      </c>
      <c r="S2832" s="21">
        <v>0</v>
      </c>
      <c r="T2832" s="21">
        <v>0</v>
      </c>
      <c r="U2832" s="21">
        <v>0</v>
      </c>
      <c r="V2832" s="21">
        <v>0</v>
      </c>
      <c r="W2832" s="21">
        <v>0</v>
      </c>
      <c r="X2832" s="21">
        <f>T2832/'Record info'!K$1133</f>
        <v>0</v>
      </c>
      <c r="Y2832" s="205" t="s">
        <v>2276</v>
      </c>
      <c r="Z2832" s="205" t="s">
        <v>68</v>
      </c>
      <c r="AA2832" s="205" t="s">
        <v>86</v>
      </c>
      <c r="AB2832" s="205" t="s">
        <v>76</v>
      </c>
      <c r="AC2832" s="205"/>
      <c r="AD2832" s="205"/>
    </row>
    <row r="2833" spans="1:30" ht="43.5" customHeight="1">
      <c r="A2833" s="19" t="s">
        <v>7456</v>
      </c>
      <c r="B2833" s="19" t="s">
        <v>7635</v>
      </c>
      <c r="C2833" s="205" t="s">
        <v>24</v>
      </c>
      <c r="D2833" s="205" t="s">
        <v>1242</v>
      </c>
      <c r="E2833" s="205" t="s">
        <v>3209</v>
      </c>
      <c r="F2833" s="152" t="s">
        <v>2276</v>
      </c>
      <c r="G2833" s="152" t="s">
        <v>2276</v>
      </c>
      <c r="H2833" s="205" t="s">
        <v>524</v>
      </c>
      <c r="I2833" s="205">
        <v>2014</v>
      </c>
      <c r="J2833" s="21">
        <v>0</v>
      </c>
      <c r="K2833" s="21">
        <v>0</v>
      </c>
      <c r="L2833" s="21">
        <v>0</v>
      </c>
      <c r="M2833" s="21">
        <v>0</v>
      </c>
      <c r="N2833" s="21">
        <v>0</v>
      </c>
      <c r="O2833" s="21">
        <v>0</v>
      </c>
      <c r="P2833" s="21">
        <v>0</v>
      </c>
      <c r="Q2833" s="21">
        <v>0</v>
      </c>
      <c r="R2833" s="21">
        <v>0</v>
      </c>
      <c r="S2833" s="21">
        <v>0</v>
      </c>
      <c r="T2833" s="21">
        <v>0</v>
      </c>
      <c r="U2833" s="21">
        <v>0</v>
      </c>
      <c r="V2833" s="21">
        <v>0</v>
      </c>
      <c r="W2833" s="21">
        <v>0</v>
      </c>
      <c r="X2833" s="21">
        <f>T2833/'Record info'!K$1134</f>
        <v>0</v>
      </c>
      <c r="Y2833" s="205" t="s">
        <v>2276</v>
      </c>
      <c r="Z2833" s="205" t="s">
        <v>68</v>
      </c>
      <c r="AA2833" s="205" t="s">
        <v>86</v>
      </c>
      <c r="AB2833" s="205" t="s">
        <v>76</v>
      </c>
      <c r="AC2833" s="205"/>
      <c r="AD2833" s="205"/>
    </row>
    <row r="2834" spans="1:30" ht="43.5" customHeight="1">
      <c r="A2834" s="19" t="s">
        <v>7457</v>
      </c>
      <c r="B2834" s="19" t="s">
        <v>7636</v>
      </c>
      <c r="C2834" s="205" t="s">
        <v>24</v>
      </c>
      <c r="D2834" s="205" t="s">
        <v>1242</v>
      </c>
      <c r="E2834" s="205" t="s">
        <v>3209</v>
      </c>
      <c r="F2834" s="152" t="s">
        <v>2276</v>
      </c>
      <c r="G2834" s="152" t="s">
        <v>2276</v>
      </c>
      <c r="H2834" s="205" t="s">
        <v>523</v>
      </c>
      <c r="I2834" s="205">
        <v>2014</v>
      </c>
      <c r="J2834" s="205" t="s">
        <v>2276</v>
      </c>
      <c r="K2834" s="205" t="s">
        <v>2276</v>
      </c>
      <c r="L2834" s="205" t="s">
        <v>2276</v>
      </c>
      <c r="M2834" s="205" t="s">
        <v>2276</v>
      </c>
      <c r="N2834" s="205" t="s">
        <v>2276</v>
      </c>
      <c r="O2834" s="205" t="s">
        <v>2276</v>
      </c>
      <c r="P2834" s="205" t="s">
        <v>2276</v>
      </c>
      <c r="Q2834" s="205" t="s">
        <v>2276</v>
      </c>
      <c r="R2834" s="205" t="s">
        <v>2276</v>
      </c>
      <c r="S2834" s="205" t="s">
        <v>2276</v>
      </c>
      <c r="T2834" s="21">
        <f>800*0.035</f>
        <v>28.000000000000004</v>
      </c>
      <c r="U2834" s="205" t="s">
        <v>2276</v>
      </c>
      <c r="V2834" s="205" t="s">
        <v>2276</v>
      </c>
      <c r="W2834" s="205" t="s">
        <v>2276</v>
      </c>
      <c r="X2834" s="21">
        <f>T2834/'Record info'!K$1135</f>
        <v>4.6166529266281949E-3</v>
      </c>
      <c r="Y2834" s="205" t="s">
        <v>2276</v>
      </c>
      <c r="Z2834" s="205" t="s">
        <v>68</v>
      </c>
      <c r="AA2834" s="205" t="s">
        <v>86</v>
      </c>
      <c r="AB2834" s="205" t="s">
        <v>76</v>
      </c>
      <c r="AC2834" s="205"/>
      <c r="AD2834" s="205"/>
    </row>
    <row r="2835" spans="1:30" ht="43.5" customHeight="1">
      <c r="A2835" s="19" t="s">
        <v>7458</v>
      </c>
      <c r="B2835" s="19" t="s">
        <v>7637</v>
      </c>
      <c r="C2835" s="205" t="s">
        <v>24</v>
      </c>
      <c r="D2835" s="205" t="s">
        <v>1242</v>
      </c>
      <c r="E2835" s="205" t="s">
        <v>3209</v>
      </c>
      <c r="F2835" s="152" t="s">
        <v>2276</v>
      </c>
      <c r="G2835" s="152" t="s">
        <v>2276</v>
      </c>
      <c r="H2835" s="205" t="s">
        <v>523</v>
      </c>
      <c r="I2835" s="205">
        <v>2014</v>
      </c>
      <c r="J2835" s="205" t="s">
        <v>2276</v>
      </c>
      <c r="K2835" s="205" t="s">
        <v>2276</v>
      </c>
      <c r="L2835" s="205" t="s">
        <v>2276</v>
      </c>
      <c r="M2835" s="205" t="s">
        <v>2276</v>
      </c>
      <c r="N2835" s="205" t="s">
        <v>2276</v>
      </c>
      <c r="O2835" s="205" t="s">
        <v>2276</v>
      </c>
      <c r="P2835" s="205" t="s">
        <v>2276</v>
      </c>
      <c r="Q2835" s="205" t="s">
        <v>2276</v>
      </c>
      <c r="R2835" s="205" t="s">
        <v>2276</v>
      </c>
      <c r="S2835" s="205" t="s">
        <v>2276</v>
      </c>
      <c r="T2835" s="21">
        <f>800*0.079</f>
        <v>63.2</v>
      </c>
      <c r="U2835" s="205" t="s">
        <v>2276</v>
      </c>
      <c r="V2835" s="205" t="s">
        <v>2276</v>
      </c>
      <c r="W2835" s="205" t="s">
        <v>2276</v>
      </c>
      <c r="X2835" s="21">
        <f>T2835/'Record info'!K$1136</f>
        <v>9.4681647940074911E-3</v>
      </c>
      <c r="Y2835" s="205" t="s">
        <v>2276</v>
      </c>
      <c r="Z2835" s="205" t="s">
        <v>68</v>
      </c>
      <c r="AA2835" s="205" t="s">
        <v>86</v>
      </c>
      <c r="AB2835" s="205" t="s">
        <v>76</v>
      </c>
      <c r="AC2835" s="205"/>
      <c r="AD2835" s="205"/>
    </row>
    <row r="2836" spans="1:30" ht="43.5" customHeight="1">
      <c r="A2836" s="19" t="s">
        <v>7459</v>
      </c>
      <c r="B2836" s="19" t="s">
        <v>7638</v>
      </c>
      <c r="C2836" s="205" t="s">
        <v>24</v>
      </c>
      <c r="D2836" s="205" t="s">
        <v>1242</v>
      </c>
      <c r="E2836" s="205" t="s">
        <v>3209</v>
      </c>
      <c r="F2836" s="152" t="s">
        <v>2276</v>
      </c>
      <c r="G2836" s="152" t="s">
        <v>2276</v>
      </c>
      <c r="H2836" s="205" t="s">
        <v>523</v>
      </c>
      <c r="I2836" s="205">
        <v>2014</v>
      </c>
      <c r="J2836" s="205" t="s">
        <v>2276</v>
      </c>
      <c r="K2836" s="205" t="s">
        <v>2276</v>
      </c>
      <c r="L2836" s="205" t="s">
        <v>2276</v>
      </c>
      <c r="M2836" s="205" t="s">
        <v>2276</v>
      </c>
      <c r="N2836" s="205" t="s">
        <v>2276</v>
      </c>
      <c r="O2836" s="205" t="s">
        <v>2276</v>
      </c>
      <c r="P2836" s="205" t="s">
        <v>2276</v>
      </c>
      <c r="Q2836" s="205" t="s">
        <v>2276</v>
      </c>
      <c r="R2836" s="205" t="s">
        <v>2276</v>
      </c>
      <c r="S2836" s="205" t="s">
        <v>2276</v>
      </c>
      <c r="T2836" s="21">
        <f>800*0.132</f>
        <v>105.60000000000001</v>
      </c>
      <c r="U2836" s="205" t="s">
        <v>2276</v>
      </c>
      <c r="V2836" s="205" t="s">
        <v>2276</v>
      </c>
      <c r="W2836" s="205" t="s">
        <v>2276</v>
      </c>
      <c r="X2836" s="21">
        <f>T2836/'Record info'!K$1137</f>
        <v>1.9137368611815878E-2</v>
      </c>
      <c r="Y2836" s="205" t="s">
        <v>2276</v>
      </c>
      <c r="Z2836" s="205" t="s">
        <v>68</v>
      </c>
      <c r="AA2836" s="205" t="s">
        <v>86</v>
      </c>
      <c r="AB2836" s="205" t="s">
        <v>76</v>
      </c>
      <c r="AC2836" s="205"/>
      <c r="AD2836" s="205"/>
    </row>
    <row r="2837" spans="1:30" ht="43.5" customHeight="1">
      <c r="A2837" s="19" t="s">
        <v>7460</v>
      </c>
      <c r="B2837" s="19" t="s">
        <v>7639</v>
      </c>
      <c r="C2837" s="205" t="s">
        <v>24</v>
      </c>
      <c r="D2837" s="205" t="s">
        <v>1242</v>
      </c>
      <c r="E2837" s="205" t="s">
        <v>3209</v>
      </c>
      <c r="F2837" s="152" t="s">
        <v>2276</v>
      </c>
      <c r="G2837" s="152" t="s">
        <v>2276</v>
      </c>
      <c r="H2837" s="205" t="s">
        <v>523</v>
      </c>
      <c r="I2837" s="205">
        <v>2014</v>
      </c>
      <c r="J2837" s="205" t="s">
        <v>2276</v>
      </c>
      <c r="K2837" s="205" t="s">
        <v>2276</v>
      </c>
      <c r="L2837" s="205" t="s">
        <v>2276</v>
      </c>
      <c r="M2837" s="205" t="s">
        <v>2276</v>
      </c>
      <c r="N2837" s="205" t="s">
        <v>2276</v>
      </c>
      <c r="O2837" s="205" t="s">
        <v>2276</v>
      </c>
      <c r="P2837" s="205" t="s">
        <v>2276</v>
      </c>
      <c r="Q2837" s="205" t="s">
        <v>2276</v>
      </c>
      <c r="R2837" s="205" t="s">
        <v>2276</v>
      </c>
      <c r="S2837" s="205" t="s">
        <v>2276</v>
      </c>
      <c r="T2837" s="21">
        <f>800*0.057</f>
        <v>45.6</v>
      </c>
      <c r="U2837" s="205" t="s">
        <v>2276</v>
      </c>
      <c r="V2837" s="205" t="s">
        <v>2276</v>
      </c>
      <c r="W2837" s="205" t="s">
        <v>2276</v>
      </c>
      <c r="X2837" s="21">
        <f>T2837/'Record info'!K$1138</f>
        <v>1.1553078287306815E-2</v>
      </c>
      <c r="Y2837" s="205" t="s">
        <v>2276</v>
      </c>
      <c r="Z2837" s="205" t="s">
        <v>68</v>
      </c>
      <c r="AA2837" s="205" t="s">
        <v>86</v>
      </c>
      <c r="AB2837" s="205" t="s">
        <v>76</v>
      </c>
      <c r="AC2837" s="205"/>
      <c r="AD2837" s="205"/>
    </row>
    <row r="2838" spans="1:30" ht="43.5" customHeight="1">
      <c r="A2838" s="19" t="s">
        <v>7461</v>
      </c>
      <c r="B2838" s="19" t="s">
        <v>7640</v>
      </c>
      <c r="C2838" s="205" t="s">
        <v>24</v>
      </c>
      <c r="D2838" s="205" t="s">
        <v>1242</v>
      </c>
      <c r="E2838" s="205" t="s">
        <v>3209</v>
      </c>
      <c r="F2838" s="152" t="s">
        <v>2276</v>
      </c>
      <c r="G2838" s="152" t="s">
        <v>2276</v>
      </c>
      <c r="H2838" s="205" t="s">
        <v>523</v>
      </c>
      <c r="I2838" s="205">
        <v>2014</v>
      </c>
      <c r="J2838" s="205" t="s">
        <v>2276</v>
      </c>
      <c r="K2838" s="205" t="s">
        <v>2276</v>
      </c>
      <c r="L2838" s="205" t="s">
        <v>2276</v>
      </c>
      <c r="M2838" s="205" t="s">
        <v>2276</v>
      </c>
      <c r="N2838" s="205" t="s">
        <v>2276</v>
      </c>
      <c r="O2838" s="205" t="s">
        <v>2276</v>
      </c>
      <c r="P2838" s="205" t="s">
        <v>2276</v>
      </c>
      <c r="Q2838" s="205" t="s">
        <v>2276</v>
      </c>
      <c r="R2838" s="205" t="s">
        <v>2276</v>
      </c>
      <c r="S2838" s="205" t="s">
        <v>2276</v>
      </c>
      <c r="T2838" s="21">
        <f>800*0.024</f>
        <v>19.2</v>
      </c>
      <c r="U2838" s="205" t="s">
        <v>2276</v>
      </c>
      <c r="V2838" s="205" t="s">
        <v>2276</v>
      </c>
      <c r="W2838" s="205" t="s">
        <v>2276</v>
      </c>
      <c r="X2838" s="21">
        <f>T2838/'Record info'!K$1139</f>
        <v>6.8376068376068376E-3</v>
      </c>
      <c r="Y2838" s="205" t="s">
        <v>2276</v>
      </c>
      <c r="Z2838" s="205" t="s">
        <v>68</v>
      </c>
      <c r="AA2838" s="205" t="s">
        <v>86</v>
      </c>
      <c r="AB2838" s="205" t="s">
        <v>76</v>
      </c>
      <c r="AC2838" s="205"/>
      <c r="AD2838" s="205"/>
    </row>
    <row r="2839" spans="1:30" ht="43.5" customHeight="1">
      <c r="A2839" s="19" t="s">
        <v>7462</v>
      </c>
      <c r="B2839" s="19" t="s">
        <v>7641</v>
      </c>
      <c r="C2839" s="205" t="s">
        <v>24</v>
      </c>
      <c r="D2839" s="205" t="s">
        <v>1242</v>
      </c>
      <c r="E2839" s="205" t="s">
        <v>3209</v>
      </c>
      <c r="F2839" s="152" t="s">
        <v>2276</v>
      </c>
      <c r="G2839" s="152" t="s">
        <v>2276</v>
      </c>
      <c r="H2839" s="205" t="s">
        <v>523</v>
      </c>
      <c r="I2839" s="205">
        <v>2014</v>
      </c>
      <c r="J2839" s="205" t="s">
        <v>2276</v>
      </c>
      <c r="K2839" s="205" t="s">
        <v>2276</v>
      </c>
      <c r="L2839" s="205" t="s">
        <v>2276</v>
      </c>
      <c r="M2839" s="205" t="s">
        <v>2276</v>
      </c>
      <c r="N2839" s="205" t="s">
        <v>2276</v>
      </c>
      <c r="O2839" s="205" t="s">
        <v>2276</v>
      </c>
      <c r="P2839" s="205" t="s">
        <v>2276</v>
      </c>
      <c r="Q2839" s="205" t="s">
        <v>2276</v>
      </c>
      <c r="R2839" s="205" t="s">
        <v>2276</v>
      </c>
      <c r="S2839" s="205" t="s">
        <v>2276</v>
      </c>
      <c r="T2839" s="21">
        <f>800*0.072</f>
        <v>57.599999999999994</v>
      </c>
      <c r="U2839" s="205" t="s">
        <v>2276</v>
      </c>
      <c r="V2839" s="205" t="s">
        <v>2276</v>
      </c>
      <c r="W2839" s="205" t="s">
        <v>2276</v>
      </c>
      <c r="X2839" s="21">
        <f>T2839/'Record info'!K$1140</f>
        <v>1.1503894547633313E-2</v>
      </c>
      <c r="Y2839" s="205" t="s">
        <v>2276</v>
      </c>
      <c r="Z2839" s="205" t="s">
        <v>68</v>
      </c>
      <c r="AA2839" s="205" t="s">
        <v>86</v>
      </c>
      <c r="AB2839" s="205" t="s">
        <v>76</v>
      </c>
      <c r="AC2839" s="205"/>
      <c r="AD2839" s="205"/>
    </row>
    <row r="2840" spans="1:30" ht="43.5" customHeight="1">
      <c r="A2840" s="19" t="s">
        <v>7463</v>
      </c>
      <c r="B2840" s="19" t="s">
        <v>7642</v>
      </c>
      <c r="C2840" s="205" t="s">
        <v>24</v>
      </c>
      <c r="D2840" s="205" t="s">
        <v>1242</v>
      </c>
      <c r="E2840" s="205" t="s">
        <v>3209</v>
      </c>
      <c r="F2840" s="152" t="s">
        <v>2276</v>
      </c>
      <c r="G2840" s="152" t="s">
        <v>2276</v>
      </c>
      <c r="H2840" s="205" t="s">
        <v>523</v>
      </c>
      <c r="I2840" s="205">
        <v>2014</v>
      </c>
      <c r="J2840" s="205" t="s">
        <v>2276</v>
      </c>
      <c r="K2840" s="205" t="s">
        <v>2276</v>
      </c>
      <c r="L2840" s="205" t="s">
        <v>2276</v>
      </c>
      <c r="M2840" s="205" t="s">
        <v>2276</v>
      </c>
      <c r="N2840" s="205" t="s">
        <v>2276</v>
      </c>
      <c r="O2840" s="205" t="s">
        <v>2276</v>
      </c>
      <c r="P2840" s="205" t="s">
        <v>2276</v>
      </c>
      <c r="Q2840" s="205" t="s">
        <v>2276</v>
      </c>
      <c r="R2840" s="205" t="s">
        <v>2276</v>
      </c>
      <c r="S2840" s="205" t="s">
        <v>2276</v>
      </c>
      <c r="T2840" s="21">
        <f>800*0.068</f>
        <v>54.400000000000006</v>
      </c>
      <c r="U2840" s="205" t="s">
        <v>2276</v>
      </c>
      <c r="V2840" s="205" t="s">
        <v>2276</v>
      </c>
      <c r="W2840" s="205" t="s">
        <v>2276</v>
      </c>
      <c r="X2840" s="21">
        <f>T2840/'Record info'!K$1141</f>
        <v>4.6337308347529818E-2</v>
      </c>
      <c r="Y2840" s="205" t="s">
        <v>2276</v>
      </c>
      <c r="Z2840" s="205" t="s">
        <v>68</v>
      </c>
      <c r="AA2840" s="205" t="s">
        <v>86</v>
      </c>
      <c r="AB2840" s="205" t="s">
        <v>76</v>
      </c>
      <c r="AC2840" s="205"/>
      <c r="AD2840" s="205"/>
    </row>
    <row r="2841" spans="1:30" ht="43.5" customHeight="1">
      <c r="A2841" s="19" t="s">
        <v>7464</v>
      </c>
      <c r="B2841" s="19" t="s">
        <v>7643</v>
      </c>
      <c r="C2841" s="205" t="s">
        <v>24</v>
      </c>
      <c r="D2841" s="205" t="s">
        <v>1242</v>
      </c>
      <c r="E2841" s="205" t="s">
        <v>3209</v>
      </c>
      <c r="F2841" s="152" t="s">
        <v>2276</v>
      </c>
      <c r="G2841" s="152" t="s">
        <v>2276</v>
      </c>
      <c r="H2841" s="205" t="s">
        <v>523</v>
      </c>
      <c r="I2841" s="205">
        <v>2014</v>
      </c>
      <c r="J2841" s="205" t="s">
        <v>2276</v>
      </c>
      <c r="K2841" s="205" t="s">
        <v>2276</v>
      </c>
      <c r="L2841" s="205" t="s">
        <v>2276</v>
      </c>
      <c r="M2841" s="205" t="s">
        <v>2276</v>
      </c>
      <c r="N2841" s="205" t="s">
        <v>2276</v>
      </c>
      <c r="O2841" s="205" t="s">
        <v>2276</v>
      </c>
      <c r="P2841" s="205" t="s">
        <v>2276</v>
      </c>
      <c r="Q2841" s="205" t="s">
        <v>2276</v>
      </c>
      <c r="R2841" s="205" t="s">
        <v>2276</v>
      </c>
      <c r="S2841" s="205" t="s">
        <v>2276</v>
      </c>
      <c r="T2841" s="21">
        <f>800*0.075</f>
        <v>60</v>
      </c>
      <c r="U2841" s="205" t="s">
        <v>2276</v>
      </c>
      <c r="V2841" s="205" t="s">
        <v>2276</v>
      </c>
      <c r="W2841" s="205" t="s">
        <v>2276</v>
      </c>
      <c r="X2841" s="21">
        <f>T2841/'Record info'!K$1142</f>
        <v>1.3863216266173753E-2</v>
      </c>
      <c r="Y2841" s="205" t="s">
        <v>2276</v>
      </c>
      <c r="Z2841" s="205" t="s">
        <v>68</v>
      </c>
      <c r="AA2841" s="205" t="s">
        <v>86</v>
      </c>
      <c r="AB2841" s="205" t="s">
        <v>76</v>
      </c>
      <c r="AC2841" s="205"/>
      <c r="AD2841" s="205"/>
    </row>
    <row r="2842" spans="1:30" ht="43.5" customHeight="1">
      <c r="A2842" s="19" t="s">
        <v>7465</v>
      </c>
      <c r="B2842" s="19" t="s">
        <v>7644</v>
      </c>
      <c r="C2842" s="205" t="s">
        <v>24</v>
      </c>
      <c r="D2842" s="205" t="s">
        <v>1242</v>
      </c>
      <c r="E2842" s="205" t="s">
        <v>3209</v>
      </c>
      <c r="F2842" s="152" t="s">
        <v>2276</v>
      </c>
      <c r="G2842" s="152" t="s">
        <v>2276</v>
      </c>
      <c r="H2842" s="205" t="s">
        <v>523</v>
      </c>
      <c r="I2842" s="205">
        <v>2014</v>
      </c>
      <c r="J2842" s="205" t="s">
        <v>2276</v>
      </c>
      <c r="K2842" s="205" t="s">
        <v>2276</v>
      </c>
      <c r="L2842" s="205" t="s">
        <v>2276</v>
      </c>
      <c r="M2842" s="205" t="s">
        <v>2276</v>
      </c>
      <c r="N2842" s="205" t="s">
        <v>2276</v>
      </c>
      <c r="O2842" s="205" t="s">
        <v>2276</v>
      </c>
      <c r="P2842" s="205" t="s">
        <v>2276</v>
      </c>
      <c r="Q2842" s="205" t="s">
        <v>2276</v>
      </c>
      <c r="R2842" s="205" t="s">
        <v>2276</v>
      </c>
      <c r="S2842" s="205" t="s">
        <v>2276</v>
      </c>
      <c r="T2842" s="21">
        <f>800*0.111</f>
        <v>88.8</v>
      </c>
      <c r="U2842" s="205" t="s">
        <v>2276</v>
      </c>
      <c r="V2842" s="205" t="s">
        <v>2276</v>
      </c>
      <c r="W2842" s="205" t="s">
        <v>2276</v>
      </c>
      <c r="X2842" s="21">
        <f>T2842/'Record info'!K$1143</f>
        <v>3.7077244258872648E-2</v>
      </c>
      <c r="Y2842" s="205" t="s">
        <v>2276</v>
      </c>
      <c r="Z2842" s="205" t="s">
        <v>68</v>
      </c>
      <c r="AA2842" s="205" t="s">
        <v>86</v>
      </c>
      <c r="AB2842" s="205" t="s">
        <v>76</v>
      </c>
      <c r="AC2842" s="205"/>
      <c r="AD2842" s="205"/>
    </row>
    <row r="2843" spans="1:30" ht="43.5" customHeight="1">
      <c r="A2843" s="19" t="s">
        <v>7466</v>
      </c>
      <c r="B2843" s="19" t="s">
        <v>7645</v>
      </c>
      <c r="C2843" s="205" t="s">
        <v>24</v>
      </c>
      <c r="D2843" s="205" t="s">
        <v>1242</v>
      </c>
      <c r="E2843" s="205" t="s">
        <v>3209</v>
      </c>
      <c r="F2843" s="152" t="s">
        <v>2276</v>
      </c>
      <c r="G2843" s="152" t="s">
        <v>2276</v>
      </c>
      <c r="H2843" s="205" t="s">
        <v>523</v>
      </c>
      <c r="I2843" s="205">
        <v>2014</v>
      </c>
      <c r="J2843" s="205" t="s">
        <v>2276</v>
      </c>
      <c r="K2843" s="205" t="s">
        <v>2276</v>
      </c>
      <c r="L2843" s="205" t="s">
        <v>2276</v>
      </c>
      <c r="M2843" s="205" t="s">
        <v>2276</v>
      </c>
      <c r="N2843" s="205" t="s">
        <v>2276</v>
      </c>
      <c r="O2843" s="205" t="s">
        <v>2276</v>
      </c>
      <c r="P2843" s="205" t="s">
        <v>2276</v>
      </c>
      <c r="Q2843" s="205" t="s">
        <v>2276</v>
      </c>
      <c r="R2843" s="205" t="s">
        <v>2276</v>
      </c>
      <c r="S2843" s="205" t="s">
        <v>2276</v>
      </c>
      <c r="T2843" s="21">
        <f>800*0.106</f>
        <v>84.8</v>
      </c>
      <c r="U2843" s="205" t="s">
        <v>2276</v>
      </c>
      <c r="V2843" s="205" t="s">
        <v>2276</v>
      </c>
      <c r="W2843" s="205" t="s">
        <v>2276</v>
      </c>
      <c r="X2843" s="21">
        <f>T2843/'Record info'!K$1144</f>
        <v>3.1724653946876166E-2</v>
      </c>
      <c r="Y2843" s="205" t="s">
        <v>2276</v>
      </c>
      <c r="Z2843" s="205" t="s">
        <v>68</v>
      </c>
      <c r="AA2843" s="205" t="s">
        <v>86</v>
      </c>
      <c r="AB2843" s="205" t="s">
        <v>76</v>
      </c>
      <c r="AC2843" s="205"/>
      <c r="AD2843" s="205"/>
    </row>
    <row r="2844" spans="1:30" ht="43.5" customHeight="1">
      <c r="A2844" s="19" t="s">
        <v>7467</v>
      </c>
      <c r="B2844" s="19" t="s">
        <v>7646</v>
      </c>
      <c r="C2844" s="205" t="s">
        <v>24</v>
      </c>
      <c r="D2844" s="205" t="s">
        <v>1242</v>
      </c>
      <c r="E2844" s="205" t="s">
        <v>3209</v>
      </c>
      <c r="F2844" s="152" t="s">
        <v>2276</v>
      </c>
      <c r="G2844" s="152" t="s">
        <v>2276</v>
      </c>
      <c r="H2844" s="205" t="s">
        <v>523</v>
      </c>
      <c r="I2844" s="205">
        <v>2014</v>
      </c>
      <c r="J2844" s="205" t="s">
        <v>2276</v>
      </c>
      <c r="K2844" s="205" t="s">
        <v>2276</v>
      </c>
      <c r="L2844" s="205" t="s">
        <v>2276</v>
      </c>
      <c r="M2844" s="205" t="s">
        <v>2276</v>
      </c>
      <c r="N2844" s="205" t="s">
        <v>2276</v>
      </c>
      <c r="O2844" s="205" t="s">
        <v>2276</v>
      </c>
      <c r="P2844" s="205" t="s">
        <v>2276</v>
      </c>
      <c r="Q2844" s="205" t="s">
        <v>2276</v>
      </c>
      <c r="R2844" s="205" t="s">
        <v>2276</v>
      </c>
      <c r="S2844" s="205" t="s">
        <v>2276</v>
      </c>
      <c r="T2844" s="21">
        <f>800*0.166</f>
        <v>132.80000000000001</v>
      </c>
      <c r="U2844" s="205" t="s">
        <v>2276</v>
      </c>
      <c r="V2844" s="205" t="s">
        <v>2276</v>
      </c>
      <c r="W2844" s="205" t="s">
        <v>2276</v>
      </c>
      <c r="X2844" s="21">
        <f>T2844/'Record info'!K$1145</f>
        <v>5.8891352549889142E-2</v>
      </c>
      <c r="Y2844" s="205" t="s">
        <v>2276</v>
      </c>
      <c r="Z2844" s="205" t="s">
        <v>68</v>
      </c>
      <c r="AA2844" s="205" t="s">
        <v>86</v>
      </c>
      <c r="AB2844" s="205" t="s">
        <v>76</v>
      </c>
      <c r="AC2844" s="205"/>
      <c r="AD2844" s="205"/>
    </row>
    <row r="2845" spans="1:30" ht="41" customHeight="1">
      <c r="A2845" s="19" t="s">
        <v>7365</v>
      </c>
      <c r="B2845" s="19" t="s">
        <v>7647</v>
      </c>
      <c r="C2845" s="205" t="s">
        <v>24</v>
      </c>
      <c r="D2845" s="205" t="s">
        <v>1242</v>
      </c>
      <c r="E2845" s="205" t="s">
        <v>3209</v>
      </c>
      <c r="F2845" s="152" t="s">
        <v>2276</v>
      </c>
      <c r="G2845" s="152" t="s">
        <v>2276</v>
      </c>
      <c r="H2845" s="205" t="s">
        <v>523</v>
      </c>
      <c r="I2845" s="205">
        <v>2015</v>
      </c>
      <c r="J2845" s="205" t="s">
        <v>2276</v>
      </c>
      <c r="K2845" s="205" t="s">
        <v>2276</v>
      </c>
      <c r="L2845" s="205" t="s">
        <v>2276</v>
      </c>
      <c r="M2845" s="205" t="s">
        <v>2276</v>
      </c>
      <c r="N2845" s="205" t="s">
        <v>2276</v>
      </c>
      <c r="O2845" s="205" t="s">
        <v>2276</v>
      </c>
      <c r="P2845" s="205" t="s">
        <v>2276</v>
      </c>
      <c r="Q2845" s="205" t="s">
        <v>2276</v>
      </c>
      <c r="R2845" s="205" t="s">
        <v>2276</v>
      </c>
      <c r="S2845" s="205" t="s">
        <v>2276</v>
      </c>
      <c r="T2845" s="21">
        <f>750*0.027</f>
        <v>20.25</v>
      </c>
      <c r="U2845" s="205" t="s">
        <v>2276</v>
      </c>
      <c r="V2845" s="205" t="s">
        <v>2276</v>
      </c>
      <c r="W2845" s="205" t="s">
        <v>2276</v>
      </c>
      <c r="X2845" s="21">
        <f>T2845/'Record info'!K$1128</f>
        <v>7.2321428571428571E-3</v>
      </c>
      <c r="Y2845" s="205" t="s">
        <v>2276</v>
      </c>
      <c r="Z2845" s="205" t="s">
        <v>68</v>
      </c>
      <c r="AA2845" s="205" t="s">
        <v>86</v>
      </c>
      <c r="AB2845" s="205" t="s">
        <v>76</v>
      </c>
      <c r="AC2845" s="205"/>
      <c r="AD2845" s="205"/>
    </row>
    <row r="2846" spans="1:30" ht="41" customHeight="1">
      <c r="A2846" s="19" t="s">
        <v>7451</v>
      </c>
      <c r="B2846" s="19" t="s">
        <v>7648</v>
      </c>
      <c r="C2846" s="205" t="s">
        <v>24</v>
      </c>
      <c r="D2846" s="205" t="s">
        <v>1242</v>
      </c>
      <c r="E2846" s="205" t="s">
        <v>3209</v>
      </c>
      <c r="F2846" s="152" t="s">
        <v>2276</v>
      </c>
      <c r="G2846" s="152" t="s">
        <v>2276</v>
      </c>
      <c r="H2846" s="205" t="s">
        <v>523</v>
      </c>
      <c r="I2846" s="205">
        <v>2015</v>
      </c>
      <c r="J2846" s="205" t="s">
        <v>2276</v>
      </c>
      <c r="K2846" s="205" t="s">
        <v>2276</v>
      </c>
      <c r="L2846" s="205" t="s">
        <v>2276</v>
      </c>
      <c r="M2846" s="205" t="s">
        <v>2276</v>
      </c>
      <c r="N2846" s="205" t="s">
        <v>2276</v>
      </c>
      <c r="O2846" s="205" t="s">
        <v>2276</v>
      </c>
      <c r="P2846" s="205" t="s">
        <v>2276</v>
      </c>
      <c r="Q2846" s="205" t="s">
        <v>2276</v>
      </c>
      <c r="R2846" s="205" t="s">
        <v>2276</v>
      </c>
      <c r="S2846" s="205" t="s">
        <v>2276</v>
      </c>
      <c r="T2846" s="21">
        <f>750*0.041</f>
        <v>30.75</v>
      </c>
      <c r="U2846" s="205" t="s">
        <v>2276</v>
      </c>
      <c r="V2846" s="205" t="s">
        <v>2276</v>
      </c>
      <c r="W2846" s="205" t="s">
        <v>2276</v>
      </c>
      <c r="X2846" s="21">
        <f>T2846/'Record info'!K$1129</f>
        <v>8.7482219061166423E-3</v>
      </c>
      <c r="Y2846" s="205" t="s">
        <v>2276</v>
      </c>
      <c r="Z2846" s="205" t="s">
        <v>68</v>
      </c>
      <c r="AA2846" s="205" t="s">
        <v>86</v>
      </c>
      <c r="AB2846" s="205" t="s">
        <v>76</v>
      </c>
      <c r="AC2846" s="205"/>
      <c r="AD2846" s="205"/>
    </row>
    <row r="2847" spans="1:30" ht="41" customHeight="1">
      <c r="A2847" s="19" t="s">
        <v>7452</v>
      </c>
      <c r="B2847" s="19" t="s">
        <v>7649</v>
      </c>
      <c r="C2847" s="205" t="s">
        <v>24</v>
      </c>
      <c r="D2847" s="205" t="s">
        <v>1242</v>
      </c>
      <c r="E2847" s="205" t="s">
        <v>3209</v>
      </c>
      <c r="F2847" s="152" t="s">
        <v>2276</v>
      </c>
      <c r="G2847" s="152" t="s">
        <v>2276</v>
      </c>
      <c r="H2847" s="205" t="s">
        <v>523</v>
      </c>
      <c r="I2847" s="205">
        <v>2015</v>
      </c>
      <c r="J2847" s="205" t="s">
        <v>2276</v>
      </c>
      <c r="K2847" s="205" t="s">
        <v>2276</v>
      </c>
      <c r="L2847" s="205" t="s">
        <v>2276</v>
      </c>
      <c r="M2847" s="205" t="s">
        <v>2276</v>
      </c>
      <c r="N2847" s="205" t="s">
        <v>2276</v>
      </c>
      <c r="O2847" s="205" t="s">
        <v>2276</v>
      </c>
      <c r="P2847" s="205" t="s">
        <v>2276</v>
      </c>
      <c r="Q2847" s="205" t="s">
        <v>2276</v>
      </c>
      <c r="R2847" s="205" t="s">
        <v>2276</v>
      </c>
      <c r="S2847" s="205" t="s">
        <v>2276</v>
      </c>
      <c r="T2847" s="21">
        <f>750*0.004</f>
        <v>3</v>
      </c>
      <c r="U2847" s="205" t="s">
        <v>2276</v>
      </c>
      <c r="V2847" s="205" t="s">
        <v>2276</v>
      </c>
      <c r="W2847" s="205" t="s">
        <v>2276</v>
      </c>
      <c r="X2847" s="21">
        <f>T2847/'Record info'!K$1130</f>
        <v>4.4464206313917296E-4</v>
      </c>
      <c r="Y2847" s="205" t="s">
        <v>2276</v>
      </c>
      <c r="Z2847" s="205" t="s">
        <v>68</v>
      </c>
      <c r="AA2847" s="205" t="s">
        <v>86</v>
      </c>
      <c r="AB2847" s="205" t="s">
        <v>76</v>
      </c>
      <c r="AC2847" s="205"/>
      <c r="AD2847" s="205"/>
    </row>
    <row r="2848" spans="1:30" ht="41" customHeight="1">
      <c r="A2848" s="19" t="s">
        <v>7453</v>
      </c>
      <c r="B2848" s="19" t="s">
        <v>7650</v>
      </c>
      <c r="C2848" s="205" t="s">
        <v>24</v>
      </c>
      <c r="D2848" s="205" t="s">
        <v>1242</v>
      </c>
      <c r="E2848" s="205" t="s">
        <v>3209</v>
      </c>
      <c r="F2848" s="152" t="s">
        <v>2276</v>
      </c>
      <c r="G2848" s="152" t="s">
        <v>2276</v>
      </c>
      <c r="H2848" s="205" t="s">
        <v>523</v>
      </c>
      <c r="I2848" s="205">
        <v>2015</v>
      </c>
      <c r="J2848" s="205" t="s">
        <v>2276</v>
      </c>
      <c r="K2848" s="205" t="s">
        <v>2276</v>
      </c>
      <c r="L2848" s="205" t="s">
        <v>2276</v>
      </c>
      <c r="M2848" s="205" t="s">
        <v>2276</v>
      </c>
      <c r="N2848" s="205" t="s">
        <v>2276</v>
      </c>
      <c r="O2848" s="205" t="s">
        <v>2276</v>
      </c>
      <c r="P2848" s="205" t="s">
        <v>2276</v>
      </c>
      <c r="Q2848" s="205" t="s">
        <v>2276</v>
      </c>
      <c r="R2848" s="205" t="s">
        <v>2276</v>
      </c>
      <c r="S2848" s="205" t="s">
        <v>2276</v>
      </c>
      <c r="T2848" s="21">
        <f>750*0.004</f>
        <v>3</v>
      </c>
      <c r="U2848" s="205" t="s">
        <v>2276</v>
      </c>
      <c r="V2848" s="205" t="s">
        <v>2276</v>
      </c>
      <c r="W2848" s="205" t="s">
        <v>2276</v>
      </c>
      <c r="X2848" s="21">
        <f>T2848/'Record info'!K$1131</f>
        <v>5.9241706161137445E-4</v>
      </c>
      <c r="Y2848" s="205" t="s">
        <v>2276</v>
      </c>
      <c r="Z2848" s="205" t="s">
        <v>68</v>
      </c>
      <c r="AA2848" s="205" t="s">
        <v>86</v>
      </c>
      <c r="AB2848" s="205" t="s">
        <v>76</v>
      </c>
      <c r="AC2848" s="205"/>
      <c r="AD2848" s="205"/>
    </row>
    <row r="2849" spans="1:30" ht="41" customHeight="1">
      <c r="A2849" s="19" t="s">
        <v>7454</v>
      </c>
      <c r="B2849" s="19" t="s">
        <v>7651</v>
      </c>
      <c r="C2849" s="205" t="s">
        <v>24</v>
      </c>
      <c r="D2849" s="205" t="s">
        <v>1242</v>
      </c>
      <c r="E2849" s="205" t="s">
        <v>3209</v>
      </c>
      <c r="F2849" s="152" t="s">
        <v>2276</v>
      </c>
      <c r="G2849" s="152" t="s">
        <v>2276</v>
      </c>
      <c r="H2849" s="205" t="s">
        <v>524</v>
      </c>
      <c r="I2849" s="205">
        <v>2015</v>
      </c>
      <c r="J2849" s="21">
        <v>0</v>
      </c>
      <c r="K2849" s="21">
        <v>0</v>
      </c>
      <c r="L2849" s="21">
        <v>0</v>
      </c>
      <c r="M2849" s="21">
        <v>0</v>
      </c>
      <c r="N2849" s="21">
        <v>0</v>
      </c>
      <c r="O2849" s="21">
        <v>0</v>
      </c>
      <c r="P2849" s="21">
        <v>0</v>
      </c>
      <c r="Q2849" s="21">
        <v>0</v>
      </c>
      <c r="R2849" s="21">
        <v>0</v>
      </c>
      <c r="S2849" s="21">
        <v>0</v>
      </c>
      <c r="T2849" s="21">
        <v>0</v>
      </c>
      <c r="U2849" s="21">
        <v>0</v>
      </c>
      <c r="V2849" s="21">
        <v>0</v>
      </c>
      <c r="W2849" s="21">
        <v>0</v>
      </c>
      <c r="X2849" s="21">
        <f>T2849/'Record info'!K$1132</f>
        <v>0</v>
      </c>
      <c r="Y2849" s="205" t="s">
        <v>2276</v>
      </c>
      <c r="Z2849" s="205" t="s">
        <v>68</v>
      </c>
      <c r="AA2849" s="205" t="s">
        <v>86</v>
      </c>
      <c r="AB2849" s="205" t="s">
        <v>76</v>
      </c>
      <c r="AC2849" s="205"/>
      <c r="AD2849" s="205"/>
    </row>
    <row r="2850" spans="1:30" ht="41" customHeight="1">
      <c r="A2850" s="19" t="s">
        <v>7455</v>
      </c>
      <c r="B2850" s="19" t="s">
        <v>7652</v>
      </c>
      <c r="C2850" s="205" t="s">
        <v>24</v>
      </c>
      <c r="D2850" s="205" t="s">
        <v>1242</v>
      </c>
      <c r="E2850" s="205" t="s">
        <v>3209</v>
      </c>
      <c r="F2850" s="152" t="s">
        <v>2276</v>
      </c>
      <c r="G2850" s="152" t="s">
        <v>2276</v>
      </c>
      <c r="H2850" s="205" t="s">
        <v>524</v>
      </c>
      <c r="I2850" s="205">
        <v>2015</v>
      </c>
      <c r="J2850" s="21">
        <v>0</v>
      </c>
      <c r="K2850" s="21">
        <v>0</v>
      </c>
      <c r="L2850" s="21">
        <v>0</v>
      </c>
      <c r="M2850" s="21">
        <v>0</v>
      </c>
      <c r="N2850" s="21">
        <v>0</v>
      </c>
      <c r="O2850" s="21">
        <v>0</v>
      </c>
      <c r="P2850" s="21">
        <v>0</v>
      </c>
      <c r="Q2850" s="21">
        <v>0</v>
      </c>
      <c r="R2850" s="21">
        <v>0</v>
      </c>
      <c r="S2850" s="21">
        <v>0</v>
      </c>
      <c r="T2850" s="21">
        <v>0</v>
      </c>
      <c r="U2850" s="21">
        <v>0</v>
      </c>
      <c r="V2850" s="21">
        <v>0</v>
      </c>
      <c r="W2850" s="21">
        <v>0</v>
      </c>
      <c r="X2850" s="21">
        <f>T2850/'Record info'!K$1133</f>
        <v>0</v>
      </c>
      <c r="Y2850" s="205" t="s">
        <v>2276</v>
      </c>
      <c r="Z2850" s="205" t="s">
        <v>68</v>
      </c>
      <c r="AA2850" s="205" t="s">
        <v>86</v>
      </c>
      <c r="AB2850" s="205" t="s">
        <v>76</v>
      </c>
      <c r="AC2850" s="205"/>
      <c r="AD2850" s="205"/>
    </row>
    <row r="2851" spans="1:30" ht="41" customHeight="1">
      <c r="A2851" s="19" t="s">
        <v>7456</v>
      </c>
      <c r="B2851" s="19" t="s">
        <v>7653</v>
      </c>
      <c r="C2851" s="205" t="s">
        <v>24</v>
      </c>
      <c r="D2851" s="205" t="s">
        <v>1242</v>
      </c>
      <c r="E2851" s="205" t="s">
        <v>3209</v>
      </c>
      <c r="F2851" s="152" t="s">
        <v>2276</v>
      </c>
      <c r="G2851" s="152" t="s">
        <v>2276</v>
      </c>
      <c r="H2851" s="205" t="s">
        <v>524</v>
      </c>
      <c r="I2851" s="205">
        <v>2015</v>
      </c>
      <c r="J2851" s="21">
        <v>0</v>
      </c>
      <c r="K2851" s="21">
        <v>0</v>
      </c>
      <c r="L2851" s="21">
        <v>0</v>
      </c>
      <c r="M2851" s="21">
        <v>0</v>
      </c>
      <c r="N2851" s="21">
        <v>0</v>
      </c>
      <c r="O2851" s="21">
        <v>0</v>
      </c>
      <c r="P2851" s="21">
        <v>0</v>
      </c>
      <c r="Q2851" s="21">
        <v>0</v>
      </c>
      <c r="R2851" s="21">
        <v>0</v>
      </c>
      <c r="S2851" s="21">
        <v>0</v>
      </c>
      <c r="T2851" s="21">
        <v>0</v>
      </c>
      <c r="U2851" s="21">
        <v>0</v>
      </c>
      <c r="V2851" s="21">
        <v>0</v>
      </c>
      <c r="W2851" s="21">
        <v>0</v>
      </c>
      <c r="X2851" s="21">
        <f>T2851/'Record info'!K$1134</f>
        <v>0</v>
      </c>
      <c r="Y2851" s="205" t="s">
        <v>2276</v>
      </c>
      <c r="Z2851" s="205" t="s">
        <v>68</v>
      </c>
      <c r="AA2851" s="205" t="s">
        <v>86</v>
      </c>
      <c r="AB2851" s="205" t="s">
        <v>76</v>
      </c>
      <c r="AC2851" s="205"/>
      <c r="AD2851" s="205"/>
    </row>
    <row r="2852" spans="1:30" ht="41" customHeight="1">
      <c r="A2852" s="19" t="s">
        <v>7457</v>
      </c>
      <c r="B2852" s="19" t="s">
        <v>7654</v>
      </c>
      <c r="C2852" s="205" t="s">
        <v>24</v>
      </c>
      <c r="D2852" s="205" t="s">
        <v>1242</v>
      </c>
      <c r="E2852" s="205" t="s">
        <v>3209</v>
      </c>
      <c r="F2852" s="152" t="s">
        <v>2276</v>
      </c>
      <c r="G2852" s="152" t="s">
        <v>2276</v>
      </c>
      <c r="H2852" s="205" t="s">
        <v>523</v>
      </c>
      <c r="I2852" s="205">
        <v>2015</v>
      </c>
      <c r="J2852" s="205" t="s">
        <v>2276</v>
      </c>
      <c r="K2852" s="205" t="s">
        <v>2276</v>
      </c>
      <c r="L2852" s="205" t="s">
        <v>2276</v>
      </c>
      <c r="M2852" s="205" t="s">
        <v>2276</v>
      </c>
      <c r="N2852" s="205" t="s">
        <v>2276</v>
      </c>
      <c r="O2852" s="205" t="s">
        <v>2276</v>
      </c>
      <c r="P2852" s="205" t="s">
        <v>2276</v>
      </c>
      <c r="Q2852" s="205" t="s">
        <v>2276</v>
      </c>
      <c r="R2852" s="205" t="s">
        <v>2276</v>
      </c>
      <c r="S2852" s="205" t="s">
        <v>2276</v>
      </c>
      <c r="T2852" s="21">
        <f>750*0.035</f>
        <v>26.250000000000004</v>
      </c>
      <c r="U2852" s="205" t="s">
        <v>2276</v>
      </c>
      <c r="V2852" s="205" t="s">
        <v>2276</v>
      </c>
      <c r="W2852" s="205" t="s">
        <v>2276</v>
      </c>
      <c r="X2852" s="21">
        <f>T2852/'Record info'!K$1135</f>
        <v>4.3281121187139331E-3</v>
      </c>
      <c r="Y2852" s="205" t="s">
        <v>2276</v>
      </c>
      <c r="Z2852" s="205" t="s">
        <v>68</v>
      </c>
      <c r="AA2852" s="205" t="s">
        <v>86</v>
      </c>
      <c r="AB2852" s="205" t="s">
        <v>76</v>
      </c>
      <c r="AC2852" s="205"/>
      <c r="AD2852" s="205"/>
    </row>
    <row r="2853" spans="1:30" ht="41" customHeight="1">
      <c r="A2853" s="19" t="s">
        <v>7458</v>
      </c>
      <c r="B2853" s="19" t="s">
        <v>7655</v>
      </c>
      <c r="C2853" s="205" t="s">
        <v>24</v>
      </c>
      <c r="D2853" s="205" t="s">
        <v>1242</v>
      </c>
      <c r="E2853" s="205" t="s">
        <v>3209</v>
      </c>
      <c r="F2853" s="152" t="s">
        <v>2276</v>
      </c>
      <c r="G2853" s="152" t="s">
        <v>2276</v>
      </c>
      <c r="H2853" s="205" t="s">
        <v>523</v>
      </c>
      <c r="I2853" s="205">
        <v>2015</v>
      </c>
      <c r="J2853" s="205" t="s">
        <v>2276</v>
      </c>
      <c r="K2853" s="205" t="s">
        <v>2276</v>
      </c>
      <c r="L2853" s="205" t="s">
        <v>2276</v>
      </c>
      <c r="M2853" s="205" t="s">
        <v>2276</v>
      </c>
      <c r="N2853" s="205" t="s">
        <v>2276</v>
      </c>
      <c r="O2853" s="205" t="s">
        <v>2276</v>
      </c>
      <c r="P2853" s="205" t="s">
        <v>2276</v>
      </c>
      <c r="Q2853" s="205" t="s">
        <v>2276</v>
      </c>
      <c r="R2853" s="205" t="s">
        <v>2276</v>
      </c>
      <c r="S2853" s="205" t="s">
        <v>2276</v>
      </c>
      <c r="T2853" s="21">
        <f>750*0.079</f>
        <v>59.25</v>
      </c>
      <c r="U2853" s="205" t="s">
        <v>2276</v>
      </c>
      <c r="V2853" s="205" t="s">
        <v>2276</v>
      </c>
      <c r="W2853" s="205" t="s">
        <v>2276</v>
      </c>
      <c r="X2853" s="21">
        <f>T2853/'Record info'!K$1136</f>
        <v>8.8764044943820224E-3</v>
      </c>
      <c r="Y2853" s="205" t="s">
        <v>2276</v>
      </c>
      <c r="Z2853" s="205" t="s">
        <v>68</v>
      </c>
      <c r="AA2853" s="205" t="s">
        <v>86</v>
      </c>
      <c r="AB2853" s="205" t="s">
        <v>76</v>
      </c>
      <c r="AC2853" s="205"/>
      <c r="AD2853" s="205"/>
    </row>
    <row r="2854" spans="1:30" ht="41" customHeight="1">
      <c r="A2854" s="19" t="s">
        <v>7459</v>
      </c>
      <c r="B2854" s="19" t="s">
        <v>7656</v>
      </c>
      <c r="C2854" s="205" t="s">
        <v>24</v>
      </c>
      <c r="D2854" s="205" t="s">
        <v>1242</v>
      </c>
      <c r="E2854" s="205" t="s">
        <v>3209</v>
      </c>
      <c r="F2854" s="152" t="s">
        <v>2276</v>
      </c>
      <c r="G2854" s="152" t="s">
        <v>2276</v>
      </c>
      <c r="H2854" s="205" t="s">
        <v>523</v>
      </c>
      <c r="I2854" s="205">
        <v>2015</v>
      </c>
      <c r="J2854" s="205" t="s">
        <v>2276</v>
      </c>
      <c r="K2854" s="205" t="s">
        <v>2276</v>
      </c>
      <c r="L2854" s="205" t="s">
        <v>2276</v>
      </c>
      <c r="M2854" s="205" t="s">
        <v>2276</v>
      </c>
      <c r="N2854" s="205" t="s">
        <v>2276</v>
      </c>
      <c r="O2854" s="205" t="s">
        <v>2276</v>
      </c>
      <c r="P2854" s="205" t="s">
        <v>2276</v>
      </c>
      <c r="Q2854" s="205" t="s">
        <v>2276</v>
      </c>
      <c r="R2854" s="205" t="s">
        <v>2276</v>
      </c>
      <c r="S2854" s="205" t="s">
        <v>2276</v>
      </c>
      <c r="T2854" s="21">
        <f>750*0.132</f>
        <v>99</v>
      </c>
      <c r="U2854" s="205" t="s">
        <v>2276</v>
      </c>
      <c r="V2854" s="205" t="s">
        <v>2276</v>
      </c>
      <c r="W2854" s="205" t="s">
        <v>2276</v>
      </c>
      <c r="X2854" s="21">
        <f>T2854/'Record info'!K$1137</f>
        <v>1.7941283073577383E-2</v>
      </c>
      <c r="Y2854" s="205" t="s">
        <v>2276</v>
      </c>
      <c r="Z2854" s="205" t="s">
        <v>68</v>
      </c>
      <c r="AA2854" s="205" t="s">
        <v>86</v>
      </c>
      <c r="AB2854" s="205" t="s">
        <v>76</v>
      </c>
      <c r="AC2854" s="205"/>
      <c r="AD2854" s="205"/>
    </row>
    <row r="2855" spans="1:30" ht="41" customHeight="1">
      <c r="A2855" s="19" t="s">
        <v>7460</v>
      </c>
      <c r="B2855" s="19" t="s">
        <v>7657</v>
      </c>
      <c r="C2855" s="205" t="s">
        <v>24</v>
      </c>
      <c r="D2855" s="205" t="s">
        <v>1242</v>
      </c>
      <c r="E2855" s="205" t="s">
        <v>3209</v>
      </c>
      <c r="F2855" s="152" t="s">
        <v>2276</v>
      </c>
      <c r="G2855" s="152" t="s">
        <v>2276</v>
      </c>
      <c r="H2855" s="205" t="s">
        <v>523</v>
      </c>
      <c r="I2855" s="205">
        <v>2015</v>
      </c>
      <c r="J2855" s="205" t="s">
        <v>2276</v>
      </c>
      <c r="K2855" s="205" t="s">
        <v>2276</v>
      </c>
      <c r="L2855" s="205" t="s">
        <v>2276</v>
      </c>
      <c r="M2855" s="205" t="s">
        <v>2276</v>
      </c>
      <c r="N2855" s="205" t="s">
        <v>2276</v>
      </c>
      <c r="O2855" s="205" t="s">
        <v>2276</v>
      </c>
      <c r="P2855" s="205" t="s">
        <v>2276</v>
      </c>
      <c r="Q2855" s="205" t="s">
        <v>2276</v>
      </c>
      <c r="R2855" s="205" t="s">
        <v>2276</v>
      </c>
      <c r="S2855" s="205" t="s">
        <v>2276</v>
      </c>
      <c r="T2855" s="21">
        <f>750*0.057</f>
        <v>42.75</v>
      </c>
      <c r="U2855" s="205" t="s">
        <v>2276</v>
      </c>
      <c r="V2855" s="205" t="s">
        <v>2276</v>
      </c>
      <c r="W2855" s="205" t="s">
        <v>2276</v>
      </c>
      <c r="X2855" s="21">
        <f>T2855/'Record info'!K$1138</f>
        <v>1.0831010894350139E-2</v>
      </c>
      <c r="Y2855" s="205" t="s">
        <v>2276</v>
      </c>
      <c r="Z2855" s="205" t="s">
        <v>68</v>
      </c>
      <c r="AA2855" s="205" t="s">
        <v>86</v>
      </c>
      <c r="AB2855" s="205" t="s">
        <v>76</v>
      </c>
      <c r="AC2855" s="205"/>
      <c r="AD2855" s="205"/>
    </row>
    <row r="2856" spans="1:30" ht="41" customHeight="1">
      <c r="A2856" s="19" t="s">
        <v>7461</v>
      </c>
      <c r="B2856" s="19" t="s">
        <v>7658</v>
      </c>
      <c r="C2856" s="205" t="s">
        <v>24</v>
      </c>
      <c r="D2856" s="205" t="s">
        <v>1242</v>
      </c>
      <c r="E2856" s="205" t="s">
        <v>3209</v>
      </c>
      <c r="F2856" s="152" t="s">
        <v>2276</v>
      </c>
      <c r="G2856" s="152" t="s">
        <v>2276</v>
      </c>
      <c r="H2856" s="205" t="s">
        <v>523</v>
      </c>
      <c r="I2856" s="205">
        <v>2015</v>
      </c>
      <c r="J2856" s="205" t="s">
        <v>2276</v>
      </c>
      <c r="K2856" s="205" t="s">
        <v>2276</v>
      </c>
      <c r="L2856" s="205" t="s">
        <v>2276</v>
      </c>
      <c r="M2856" s="205" t="s">
        <v>2276</v>
      </c>
      <c r="N2856" s="205" t="s">
        <v>2276</v>
      </c>
      <c r="O2856" s="205" t="s">
        <v>2276</v>
      </c>
      <c r="P2856" s="205" t="s">
        <v>2276</v>
      </c>
      <c r="Q2856" s="205" t="s">
        <v>2276</v>
      </c>
      <c r="R2856" s="205" t="s">
        <v>2276</v>
      </c>
      <c r="S2856" s="205" t="s">
        <v>2276</v>
      </c>
      <c r="T2856" s="21">
        <f>750*0.024</f>
        <v>18</v>
      </c>
      <c r="U2856" s="205" t="s">
        <v>2276</v>
      </c>
      <c r="V2856" s="205" t="s">
        <v>2276</v>
      </c>
      <c r="W2856" s="205" t="s">
        <v>2276</v>
      </c>
      <c r="X2856" s="21">
        <f>T2856/'Record info'!K$1139</f>
        <v>6.41025641025641E-3</v>
      </c>
      <c r="Y2856" s="205" t="s">
        <v>2276</v>
      </c>
      <c r="Z2856" s="205" t="s">
        <v>68</v>
      </c>
      <c r="AA2856" s="205" t="s">
        <v>86</v>
      </c>
      <c r="AB2856" s="205" t="s">
        <v>76</v>
      </c>
      <c r="AC2856" s="205"/>
      <c r="AD2856" s="205"/>
    </row>
    <row r="2857" spans="1:30" ht="41" customHeight="1">
      <c r="A2857" s="19" t="s">
        <v>7462</v>
      </c>
      <c r="B2857" s="19" t="s">
        <v>7659</v>
      </c>
      <c r="C2857" s="205" t="s">
        <v>24</v>
      </c>
      <c r="D2857" s="205" t="s">
        <v>1242</v>
      </c>
      <c r="E2857" s="205" t="s">
        <v>3209</v>
      </c>
      <c r="F2857" s="152" t="s">
        <v>2276</v>
      </c>
      <c r="G2857" s="152" t="s">
        <v>2276</v>
      </c>
      <c r="H2857" s="205" t="s">
        <v>523</v>
      </c>
      <c r="I2857" s="205">
        <v>2015</v>
      </c>
      <c r="J2857" s="205" t="s">
        <v>2276</v>
      </c>
      <c r="K2857" s="205" t="s">
        <v>2276</v>
      </c>
      <c r="L2857" s="205" t="s">
        <v>2276</v>
      </c>
      <c r="M2857" s="205" t="s">
        <v>2276</v>
      </c>
      <c r="N2857" s="205" t="s">
        <v>2276</v>
      </c>
      <c r="O2857" s="205" t="s">
        <v>2276</v>
      </c>
      <c r="P2857" s="205" t="s">
        <v>2276</v>
      </c>
      <c r="Q2857" s="205" t="s">
        <v>2276</v>
      </c>
      <c r="R2857" s="205" t="s">
        <v>2276</v>
      </c>
      <c r="S2857" s="205" t="s">
        <v>2276</v>
      </c>
      <c r="T2857" s="21">
        <f>750*0.072</f>
        <v>53.999999999999993</v>
      </c>
      <c r="U2857" s="205" t="s">
        <v>2276</v>
      </c>
      <c r="V2857" s="205" t="s">
        <v>2276</v>
      </c>
      <c r="W2857" s="205" t="s">
        <v>2276</v>
      </c>
      <c r="X2857" s="21">
        <f>T2857/'Record info'!K$1140</f>
        <v>1.078490113840623E-2</v>
      </c>
      <c r="Y2857" s="205" t="s">
        <v>2276</v>
      </c>
      <c r="Z2857" s="205" t="s">
        <v>68</v>
      </c>
      <c r="AA2857" s="205" t="s">
        <v>86</v>
      </c>
      <c r="AB2857" s="205" t="s">
        <v>76</v>
      </c>
      <c r="AC2857" s="205"/>
      <c r="AD2857" s="205"/>
    </row>
    <row r="2858" spans="1:30" ht="41" customHeight="1">
      <c r="A2858" s="19" t="s">
        <v>7463</v>
      </c>
      <c r="B2858" s="19" t="s">
        <v>7660</v>
      </c>
      <c r="C2858" s="205" t="s">
        <v>24</v>
      </c>
      <c r="D2858" s="205" t="s">
        <v>1242</v>
      </c>
      <c r="E2858" s="205" t="s">
        <v>3209</v>
      </c>
      <c r="F2858" s="152" t="s">
        <v>2276</v>
      </c>
      <c r="G2858" s="152" t="s">
        <v>2276</v>
      </c>
      <c r="H2858" s="205" t="s">
        <v>523</v>
      </c>
      <c r="I2858" s="205">
        <v>2015</v>
      </c>
      <c r="J2858" s="205" t="s">
        <v>2276</v>
      </c>
      <c r="K2858" s="205" t="s">
        <v>2276</v>
      </c>
      <c r="L2858" s="205" t="s">
        <v>2276</v>
      </c>
      <c r="M2858" s="205" t="s">
        <v>2276</v>
      </c>
      <c r="N2858" s="205" t="s">
        <v>2276</v>
      </c>
      <c r="O2858" s="205" t="s">
        <v>2276</v>
      </c>
      <c r="P2858" s="205" t="s">
        <v>2276</v>
      </c>
      <c r="Q2858" s="205" t="s">
        <v>2276</v>
      </c>
      <c r="R2858" s="205" t="s">
        <v>2276</v>
      </c>
      <c r="S2858" s="205" t="s">
        <v>2276</v>
      </c>
      <c r="T2858" s="21">
        <f>750*0.068</f>
        <v>51.000000000000007</v>
      </c>
      <c r="U2858" s="205" t="s">
        <v>2276</v>
      </c>
      <c r="V2858" s="205" t="s">
        <v>2276</v>
      </c>
      <c r="W2858" s="205" t="s">
        <v>2276</v>
      </c>
      <c r="X2858" s="21">
        <f>T2858/'Record info'!K$1141</f>
        <v>4.3441226575809205E-2</v>
      </c>
      <c r="Y2858" s="205" t="s">
        <v>2276</v>
      </c>
      <c r="Z2858" s="205" t="s">
        <v>68</v>
      </c>
      <c r="AA2858" s="205" t="s">
        <v>86</v>
      </c>
      <c r="AB2858" s="205" t="s">
        <v>76</v>
      </c>
      <c r="AC2858" s="205"/>
      <c r="AD2858" s="205"/>
    </row>
    <row r="2859" spans="1:30" ht="41" customHeight="1">
      <c r="A2859" s="19" t="s">
        <v>7464</v>
      </c>
      <c r="B2859" s="19" t="s">
        <v>7661</v>
      </c>
      <c r="C2859" s="205" t="s">
        <v>24</v>
      </c>
      <c r="D2859" s="205" t="s">
        <v>1242</v>
      </c>
      <c r="E2859" s="205" t="s">
        <v>3209</v>
      </c>
      <c r="F2859" s="152" t="s">
        <v>2276</v>
      </c>
      <c r="G2859" s="152" t="s">
        <v>2276</v>
      </c>
      <c r="H2859" s="205" t="s">
        <v>523</v>
      </c>
      <c r="I2859" s="205">
        <v>2015</v>
      </c>
      <c r="J2859" s="205" t="s">
        <v>2276</v>
      </c>
      <c r="K2859" s="205" t="s">
        <v>2276</v>
      </c>
      <c r="L2859" s="205" t="s">
        <v>2276</v>
      </c>
      <c r="M2859" s="205" t="s">
        <v>2276</v>
      </c>
      <c r="N2859" s="205" t="s">
        <v>2276</v>
      </c>
      <c r="O2859" s="205" t="s">
        <v>2276</v>
      </c>
      <c r="P2859" s="205" t="s">
        <v>2276</v>
      </c>
      <c r="Q2859" s="205" t="s">
        <v>2276</v>
      </c>
      <c r="R2859" s="205" t="s">
        <v>2276</v>
      </c>
      <c r="S2859" s="205" t="s">
        <v>2276</v>
      </c>
      <c r="T2859" s="21">
        <f>750*0.075</f>
        <v>56.25</v>
      </c>
      <c r="U2859" s="205" t="s">
        <v>2276</v>
      </c>
      <c r="V2859" s="205" t="s">
        <v>2276</v>
      </c>
      <c r="W2859" s="205" t="s">
        <v>2276</v>
      </c>
      <c r="X2859" s="21">
        <f>T2859/'Record info'!K$1142</f>
        <v>1.2996765249537892E-2</v>
      </c>
      <c r="Y2859" s="205" t="s">
        <v>2276</v>
      </c>
      <c r="Z2859" s="205" t="s">
        <v>68</v>
      </c>
      <c r="AA2859" s="205" t="s">
        <v>86</v>
      </c>
      <c r="AB2859" s="205" t="s">
        <v>76</v>
      </c>
      <c r="AC2859" s="205"/>
      <c r="AD2859" s="205"/>
    </row>
    <row r="2860" spans="1:30" ht="41" customHeight="1">
      <c r="A2860" s="19" t="s">
        <v>7465</v>
      </c>
      <c r="B2860" s="19" t="s">
        <v>7662</v>
      </c>
      <c r="C2860" s="205" t="s">
        <v>24</v>
      </c>
      <c r="D2860" s="205" t="s">
        <v>1242</v>
      </c>
      <c r="E2860" s="205" t="s">
        <v>3209</v>
      </c>
      <c r="F2860" s="152" t="s">
        <v>2276</v>
      </c>
      <c r="G2860" s="152" t="s">
        <v>2276</v>
      </c>
      <c r="H2860" s="205" t="s">
        <v>523</v>
      </c>
      <c r="I2860" s="205">
        <v>2015</v>
      </c>
      <c r="J2860" s="205" t="s">
        <v>2276</v>
      </c>
      <c r="K2860" s="205" t="s">
        <v>2276</v>
      </c>
      <c r="L2860" s="205" t="s">
        <v>2276</v>
      </c>
      <c r="M2860" s="205" t="s">
        <v>2276</v>
      </c>
      <c r="N2860" s="205" t="s">
        <v>2276</v>
      </c>
      <c r="O2860" s="205" t="s">
        <v>2276</v>
      </c>
      <c r="P2860" s="205" t="s">
        <v>2276</v>
      </c>
      <c r="Q2860" s="205" t="s">
        <v>2276</v>
      </c>
      <c r="R2860" s="205" t="s">
        <v>2276</v>
      </c>
      <c r="S2860" s="205" t="s">
        <v>2276</v>
      </c>
      <c r="T2860" s="21">
        <f>750*0.111</f>
        <v>83.25</v>
      </c>
      <c r="U2860" s="205" t="s">
        <v>2276</v>
      </c>
      <c r="V2860" s="205" t="s">
        <v>2276</v>
      </c>
      <c r="W2860" s="205" t="s">
        <v>2276</v>
      </c>
      <c r="X2860" s="21">
        <f>T2860/'Record info'!K$1143</f>
        <v>3.475991649269311E-2</v>
      </c>
      <c r="Y2860" s="205" t="s">
        <v>2276</v>
      </c>
      <c r="Z2860" s="205" t="s">
        <v>68</v>
      </c>
      <c r="AA2860" s="205" t="s">
        <v>86</v>
      </c>
      <c r="AB2860" s="205" t="s">
        <v>76</v>
      </c>
      <c r="AC2860" s="205"/>
      <c r="AD2860" s="205"/>
    </row>
    <row r="2861" spans="1:30" ht="41" customHeight="1">
      <c r="A2861" s="19" t="s">
        <v>7466</v>
      </c>
      <c r="B2861" s="19" t="s">
        <v>7663</v>
      </c>
      <c r="C2861" s="205" t="s">
        <v>24</v>
      </c>
      <c r="D2861" s="205" t="s">
        <v>1242</v>
      </c>
      <c r="E2861" s="205" t="s">
        <v>3209</v>
      </c>
      <c r="F2861" s="152" t="s">
        <v>2276</v>
      </c>
      <c r="G2861" s="152" t="s">
        <v>2276</v>
      </c>
      <c r="H2861" s="205" t="s">
        <v>523</v>
      </c>
      <c r="I2861" s="205">
        <v>2015</v>
      </c>
      <c r="J2861" s="205" t="s">
        <v>2276</v>
      </c>
      <c r="K2861" s="205" t="s">
        <v>2276</v>
      </c>
      <c r="L2861" s="205" t="s">
        <v>2276</v>
      </c>
      <c r="M2861" s="205" t="s">
        <v>2276</v>
      </c>
      <c r="N2861" s="205" t="s">
        <v>2276</v>
      </c>
      <c r="O2861" s="205" t="s">
        <v>2276</v>
      </c>
      <c r="P2861" s="205" t="s">
        <v>2276</v>
      </c>
      <c r="Q2861" s="205" t="s">
        <v>2276</v>
      </c>
      <c r="R2861" s="205" t="s">
        <v>2276</v>
      </c>
      <c r="S2861" s="205" t="s">
        <v>2276</v>
      </c>
      <c r="T2861" s="21">
        <f>750*0.106</f>
        <v>79.5</v>
      </c>
      <c r="U2861" s="205" t="s">
        <v>2276</v>
      </c>
      <c r="V2861" s="205" t="s">
        <v>2276</v>
      </c>
      <c r="W2861" s="205" t="s">
        <v>2276</v>
      </c>
      <c r="X2861" s="21">
        <f>T2861/'Record info'!K$1144</f>
        <v>2.9741863075196408E-2</v>
      </c>
      <c r="Y2861" s="205" t="s">
        <v>2276</v>
      </c>
      <c r="Z2861" s="205" t="s">
        <v>68</v>
      </c>
      <c r="AA2861" s="205" t="s">
        <v>86</v>
      </c>
      <c r="AB2861" s="205" t="s">
        <v>76</v>
      </c>
      <c r="AC2861" s="205"/>
      <c r="AD2861" s="205"/>
    </row>
    <row r="2862" spans="1:30" ht="41" customHeight="1">
      <c r="A2862" s="19" t="s">
        <v>7467</v>
      </c>
      <c r="B2862" s="19" t="s">
        <v>7664</v>
      </c>
      <c r="C2862" s="205" t="s">
        <v>24</v>
      </c>
      <c r="D2862" s="205" t="s">
        <v>1242</v>
      </c>
      <c r="E2862" s="205" t="s">
        <v>3209</v>
      </c>
      <c r="F2862" s="152" t="s">
        <v>2276</v>
      </c>
      <c r="G2862" s="152" t="s">
        <v>2276</v>
      </c>
      <c r="H2862" s="205" t="s">
        <v>523</v>
      </c>
      <c r="I2862" s="205">
        <v>2015</v>
      </c>
      <c r="J2862" s="205" t="s">
        <v>2276</v>
      </c>
      <c r="K2862" s="205" t="s">
        <v>2276</v>
      </c>
      <c r="L2862" s="205" t="s">
        <v>2276</v>
      </c>
      <c r="M2862" s="205" t="s">
        <v>2276</v>
      </c>
      <c r="N2862" s="205" t="s">
        <v>2276</v>
      </c>
      <c r="O2862" s="205" t="s">
        <v>2276</v>
      </c>
      <c r="P2862" s="205" t="s">
        <v>2276</v>
      </c>
      <c r="Q2862" s="205" t="s">
        <v>2276</v>
      </c>
      <c r="R2862" s="205" t="s">
        <v>2276</v>
      </c>
      <c r="S2862" s="205" t="s">
        <v>2276</v>
      </c>
      <c r="T2862" s="21">
        <f>750*0.166</f>
        <v>124.5</v>
      </c>
      <c r="U2862" s="205" t="s">
        <v>2276</v>
      </c>
      <c r="V2862" s="205" t="s">
        <v>2276</v>
      </c>
      <c r="W2862" s="205" t="s">
        <v>2276</v>
      </c>
      <c r="X2862" s="21">
        <f>T2862/'Record info'!K$1145</f>
        <v>5.5210643015521067E-2</v>
      </c>
      <c r="Y2862" s="205" t="s">
        <v>2276</v>
      </c>
      <c r="Z2862" s="205" t="s">
        <v>68</v>
      </c>
      <c r="AA2862" s="205" t="s">
        <v>86</v>
      </c>
      <c r="AB2862" s="205" t="s">
        <v>76</v>
      </c>
      <c r="AC2862" s="205"/>
      <c r="AD2862" s="205"/>
    </row>
    <row r="2863" spans="1:30" ht="31" customHeight="1">
      <c r="A2863" s="19" t="s">
        <v>7666</v>
      </c>
      <c r="B2863" s="19" t="s">
        <v>7667</v>
      </c>
      <c r="C2863" s="205" t="s">
        <v>24</v>
      </c>
      <c r="D2863" s="205" t="s">
        <v>1242</v>
      </c>
      <c r="E2863" s="205" t="s">
        <v>3209</v>
      </c>
      <c r="F2863" s="152" t="s">
        <v>2276</v>
      </c>
      <c r="G2863" s="152" t="s">
        <v>2276</v>
      </c>
      <c r="H2863" s="205" t="s">
        <v>523</v>
      </c>
      <c r="I2863" s="11">
        <v>1998</v>
      </c>
      <c r="J2863" s="205" t="s">
        <v>2276</v>
      </c>
      <c r="K2863" s="205" t="s">
        <v>2276</v>
      </c>
      <c r="L2863" s="205" t="s">
        <v>2276</v>
      </c>
      <c r="M2863" s="205" t="s">
        <v>2276</v>
      </c>
      <c r="N2863" s="205" t="s">
        <v>2276</v>
      </c>
      <c r="O2863" s="205" t="s">
        <v>2276</v>
      </c>
      <c r="P2863" s="205" t="s">
        <v>2276</v>
      </c>
      <c r="Q2863" s="205" t="s">
        <v>2276</v>
      </c>
      <c r="R2863" s="205" t="s">
        <v>2276</v>
      </c>
      <c r="S2863" s="205" t="s">
        <v>2276</v>
      </c>
      <c r="T2863" s="21">
        <v>6</v>
      </c>
      <c r="U2863" s="205" t="s">
        <v>2276</v>
      </c>
      <c r="V2863" s="205" t="s">
        <v>2276</v>
      </c>
      <c r="W2863" s="205" t="s">
        <v>2276</v>
      </c>
      <c r="X2863" s="219">
        <f>T2863/'Record info'!K$1146</f>
        <v>2.5965033754543881E-4</v>
      </c>
      <c r="Y2863" s="205" t="s">
        <v>2276</v>
      </c>
      <c r="Z2863" s="205" t="s">
        <v>188</v>
      </c>
      <c r="AA2863" s="205" t="s">
        <v>189</v>
      </c>
      <c r="AB2863" s="205" t="s">
        <v>64</v>
      </c>
      <c r="AC2863" s="205"/>
      <c r="AD2863" s="205"/>
    </row>
    <row r="2864" spans="1:30" ht="27.5" customHeight="1">
      <c r="A2864" s="19" t="s">
        <v>7666</v>
      </c>
      <c r="B2864" s="19" t="s">
        <v>7668</v>
      </c>
      <c r="C2864" s="205" t="s">
        <v>24</v>
      </c>
      <c r="D2864" s="205" t="s">
        <v>1242</v>
      </c>
      <c r="E2864" s="205" t="s">
        <v>3209</v>
      </c>
      <c r="F2864" s="152" t="s">
        <v>2276</v>
      </c>
      <c r="G2864" s="152" t="s">
        <v>2276</v>
      </c>
      <c r="H2864" s="205" t="s">
        <v>523</v>
      </c>
      <c r="I2864" s="11">
        <v>1999</v>
      </c>
      <c r="J2864" s="205" t="s">
        <v>2276</v>
      </c>
      <c r="K2864" s="205" t="s">
        <v>2276</v>
      </c>
      <c r="L2864" s="205" t="s">
        <v>2276</v>
      </c>
      <c r="M2864" s="205" t="s">
        <v>2276</v>
      </c>
      <c r="N2864" s="205" t="s">
        <v>2276</v>
      </c>
      <c r="O2864" s="205" t="s">
        <v>2276</v>
      </c>
      <c r="P2864" s="205" t="s">
        <v>2276</v>
      </c>
      <c r="Q2864" s="205" t="s">
        <v>2276</v>
      </c>
      <c r="R2864" s="205" t="s">
        <v>2276</v>
      </c>
      <c r="S2864" s="205" t="s">
        <v>2276</v>
      </c>
      <c r="T2864" s="21">
        <v>0.4</v>
      </c>
      <c r="U2864" s="205" t="s">
        <v>2276</v>
      </c>
      <c r="V2864" s="205" t="s">
        <v>2276</v>
      </c>
      <c r="W2864" s="205" t="s">
        <v>2276</v>
      </c>
      <c r="X2864" s="219">
        <f>T2864/'Record info'!K$1146</f>
        <v>1.7310022503029254E-5</v>
      </c>
      <c r="Y2864" s="205" t="s">
        <v>2276</v>
      </c>
      <c r="Z2864" s="205" t="s">
        <v>188</v>
      </c>
      <c r="AA2864" s="205" t="s">
        <v>189</v>
      </c>
      <c r="AB2864" s="205" t="s">
        <v>64</v>
      </c>
      <c r="AC2864" s="205"/>
      <c r="AD2864" s="205"/>
    </row>
    <row r="2865" spans="1:30" ht="27.5" customHeight="1">
      <c r="A2865" s="19" t="s">
        <v>7666</v>
      </c>
      <c r="B2865" s="19" t="s">
        <v>7669</v>
      </c>
      <c r="C2865" s="205" t="s">
        <v>24</v>
      </c>
      <c r="D2865" s="205" t="s">
        <v>1242</v>
      </c>
      <c r="E2865" s="205" t="s">
        <v>3209</v>
      </c>
      <c r="F2865" s="152" t="s">
        <v>2276</v>
      </c>
      <c r="G2865" s="152" t="s">
        <v>2276</v>
      </c>
      <c r="H2865" s="205" t="s">
        <v>523</v>
      </c>
      <c r="I2865" s="11">
        <v>2000</v>
      </c>
      <c r="J2865" s="205" t="s">
        <v>2276</v>
      </c>
      <c r="K2865" s="205" t="s">
        <v>2276</v>
      </c>
      <c r="L2865" s="205" t="s">
        <v>2276</v>
      </c>
      <c r="M2865" s="205" t="s">
        <v>2276</v>
      </c>
      <c r="N2865" s="205" t="s">
        <v>2276</v>
      </c>
      <c r="O2865" s="205" t="s">
        <v>2276</v>
      </c>
      <c r="P2865" s="205" t="s">
        <v>2276</v>
      </c>
      <c r="Q2865" s="205" t="s">
        <v>2276</v>
      </c>
      <c r="R2865" s="205" t="s">
        <v>2276</v>
      </c>
      <c r="S2865" s="205" t="s">
        <v>2276</v>
      </c>
      <c r="T2865" s="21">
        <v>35</v>
      </c>
      <c r="U2865" s="205" t="s">
        <v>2276</v>
      </c>
      <c r="V2865" s="205" t="s">
        <v>2276</v>
      </c>
      <c r="W2865" s="205" t="s">
        <v>2276</v>
      </c>
      <c r="X2865" s="219">
        <f>T2865/'Record info'!K$1146</f>
        <v>1.5146269690150596E-3</v>
      </c>
      <c r="Y2865" s="205" t="s">
        <v>2276</v>
      </c>
      <c r="Z2865" s="205" t="s">
        <v>188</v>
      </c>
      <c r="AA2865" s="205" t="s">
        <v>189</v>
      </c>
      <c r="AB2865" s="205" t="s">
        <v>64</v>
      </c>
      <c r="AC2865" s="205"/>
      <c r="AD2865" s="205"/>
    </row>
    <row r="2866" spans="1:30" ht="27.5" customHeight="1">
      <c r="A2866" s="19" t="s">
        <v>7666</v>
      </c>
      <c r="B2866" s="19" t="s">
        <v>7670</v>
      </c>
      <c r="C2866" s="205" t="s">
        <v>24</v>
      </c>
      <c r="D2866" s="205" t="s">
        <v>1242</v>
      </c>
      <c r="E2866" s="205" t="s">
        <v>3209</v>
      </c>
      <c r="F2866" s="152" t="s">
        <v>2276</v>
      </c>
      <c r="G2866" s="152" t="s">
        <v>2276</v>
      </c>
      <c r="H2866" s="205" t="s">
        <v>523</v>
      </c>
      <c r="I2866" s="11">
        <v>2001</v>
      </c>
      <c r="J2866" s="205" t="s">
        <v>2276</v>
      </c>
      <c r="K2866" s="205" t="s">
        <v>2276</v>
      </c>
      <c r="L2866" s="205" t="s">
        <v>2276</v>
      </c>
      <c r="M2866" s="205" t="s">
        <v>2276</v>
      </c>
      <c r="N2866" s="205" t="s">
        <v>2276</v>
      </c>
      <c r="O2866" s="205" t="s">
        <v>2276</v>
      </c>
      <c r="P2866" s="205" t="s">
        <v>2276</v>
      </c>
      <c r="Q2866" s="205" t="s">
        <v>2276</v>
      </c>
      <c r="R2866" s="205" t="s">
        <v>2276</v>
      </c>
      <c r="S2866" s="205" t="s">
        <v>2276</v>
      </c>
      <c r="T2866" s="21">
        <v>45</v>
      </c>
      <c r="U2866" s="205" t="s">
        <v>2276</v>
      </c>
      <c r="V2866" s="205" t="s">
        <v>2276</v>
      </c>
      <c r="W2866" s="205" t="s">
        <v>2276</v>
      </c>
      <c r="X2866" s="219">
        <f>T2866/'Record info'!K$1146</f>
        <v>1.9473775315907911E-3</v>
      </c>
      <c r="Y2866" s="205" t="s">
        <v>2276</v>
      </c>
      <c r="Z2866" s="205" t="s">
        <v>188</v>
      </c>
      <c r="AA2866" s="205" t="s">
        <v>189</v>
      </c>
      <c r="AB2866" s="205" t="s">
        <v>64</v>
      </c>
      <c r="AC2866" s="205"/>
      <c r="AD2866" s="205"/>
    </row>
    <row r="2867" spans="1:30" ht="27.5" customHeight="1">
      <c r="A2867" s="19" t="s">
        <v>7666</v>
      </c>
      <c r="B2867" s="19" t="s">
        <v>7671</v>
      </c>
      <c r="C2867" s="205" t="s">
        <v>24</v>
      </c>
      <c r="D2867" s="205" t="s">
        <v>1242</v>
      </c>
      <c r="E2867" s="205" t="s">
        <v>3209</v>
      </c>
      <c r="F2867" s="152" t="s">
        <v>2276</v>
      </c>
      <c r="G2867" s="152" t="s">
        <v>2276</v>
      </c>
      <c r="H2867" s="205" t="s">
        <v>523</v>
      </c>
      <c r="I2867" s="11">
        <v>2002</v>
      </c>
      <c r="J2867" s="205" t="s">
        <v>2276</v>
      </c>
      <c r="K2867" s="205" t="s">
        <v>2276</v>
      </c>
      <c r="L2867" s="205" t="s">
        <v>2276</v>
      </c>
      <c r="M2867" s="205" t="s">
        <v>2276</v>
      </c>
      <c r="N2867" s="205" t="s">
        <v>2276</v>
      </c>
      <c r="O2867" s="205" t="s">
        <v>2276</v>
      </c>
      <c r="P2867" s="205" t="s">
        <v>2276</v>
      </c>
      <c r="Q2867" s="205" t="s">
        <v>2276</v>
      </c>
      <c r="R2867" s="205" t="s">
        <v>2276</v>
      </c>
      <c r="S2867" s="205" t="s">
        <v>2276</v>
      </c>
      <c r="T2867" s="21">
        <v>325</v>
      </c>
      <c r="U2867" s="205" t="s">
        <v>2276</v>
      </c>
      <c r="V2867" s="205" t="s">
        <v>2276</v>
      </c>
      <c r="W2867" s="205" t="s">
        <v>2276</v>
      </c>
      <c r="X2867" s="219">
        <f>T2867/'Record info'!K$1146</f>
        <v>1.4064393283711269E-2</v>
      </c>
      <c r="Y2867" s="205" t="s">
        <v>2276</v>
      </c>
      <c r="Z2867" s="205" t="s">
        <v>188</v>
      </c>
      <c r="AA2867" s="205" t="s">
        <v>189</v>
      </c>
      <c r="AB2867" s="205" t="s">
        <v>64</v>
      </c>
      <c r="AC2867" s="205"/>
      <c r="AD2867" s="205"/>
    </row>
    <row r="2868" spans="1:30" ht="27.5" customHeight="1">
      <c r="A2868" s="19" t="s">
        <v>7666</v>
      </c>
      <c r="B2868" s="19" t="s">
        <v>7672</v>
      </c>
      <c r="C2868" s="205" t="s">
        <v>24</v>
      </c>
      <c r="D2868" s="205" t="s">
        <v>1242</v>
      </c>
      <c r="E2868" s="205" t="s">
        <v>3209</v>
      </c>
      <c r="F2868" s="152" t="s">
        <v>2276</v>
      </c>
      <c r="G2868" s="152" t="s">
        <v>2276</v>
      </c>
      <c r="H2868" s="205" t="s">
        <v>523</v>
      </c>
      <c r="I2868" s="11">
        <v>2003</v>
      </c>
      <c r="J2868" s="205" t="s">
        <v>2276</v>
      </c>
      <c r="K2868" s="205" t="s">
        <v>2276</v>
      </c>
      <c r="L2868" s="205" t="s">
        <v>2276</v>
      </c>
      <c r="M2868" s="205" t="s">
        <v>2276</v>
      </c>
      <c r="N2868" s="205" t="s">
        <v>2276</v>
      </c>
      <c r="O2868" s="205" t="s">
        <v>2276</v>
      </c>
      <c r="P2868" s="205" t="s">
        <v>2276</v>
      </c>
      <c r="Q2868" s="205" t="s">
        <v>2276</v>
      </c>
      <c r="R2868" s="205" t="s">
        <v>2276</v>
      </c>
      <c r="S2868" s="205" t="s">
        <v>2276</v>
      </c>
      <c r="T2868" s="21">
        <v>175</v>
      </c>
      <c r="U2868" s="205" t="s">
        <v>2276</v>
      </c>
      <c r="V2868" s="205" t="s">
        <v>2276</v>
      </c>
      <c r="W2868" s="205" t="s">
        <v>2276</v>
      </c>
      <c r="X2868" s="219">
        <f>T2868/'Record info'!K$1146</f>
        <v>7.5731348450752984E-3</v>
      </c>
      <c r="Y2868" s="205" t="s">
        <v>2276</v>
      </c>
      <c r="Z2868" s="205" t="s">
        <v>188</v>
      </c>
      <c r="AA2868" s="205" t="s">
        <v>189</v>
      </c>
      <c r="AB2868" s="205" t="s">
        <v>64</v>
      </c>
      <c r="AC2868" s="205"/>
      <c r="AD2868" s="205"/>
    </row>
    <row r="2869" spans="1:30" ht="27.5" customHeight="1">
      <c r="A2869" s="19" t="s">
        <v>7666</v>
      </c>
      <c r="B2869" s="19" t="s">
        <v>7673</v>
      </c>
      <c r="C2869" s="205" t="s">
        <v>24</v>
      </c>
      <c r="D2869" s="205" t="s">
        <v>1242</v>
      </c>
      <c r="E2869" s="205" t="s">
        <v>3209</v>
      </c>
      <c r="F2869" s="152" t="s">
        <v>2276</v>
      </c>
      <c r="G2869" s="152" t="s">
        <v>2276</v>
      </c>
      <c r="H2869" s="205" t="s">
        <v>523</v>
      </c>
      <c r="I2869" s="11">
        <v>2004</v>
      </c>
      <c r="J2869" s="205" t="s">
        <v>2276</v>
      </c>
      <c r="K2869" s="205" t="s">
        <v>2276</v>
      </c>
      <c r="L2869" s="205" t="s">
        <v>2276</v>
      </c>
      <c r="M2869" s="205" t="s">
        <v>2276</v>
      </c>
      <c r="N2869" s="205" t="s">
        <v>2276</v>
      </c>
      <c r="O2869" s="205" t="s">
        <v>2276</v>
      </c>
      <c r="P2869" s="205" t="s">
        <v>2276</v>
      </c>
      <c r="Q2869" s="205" t="s">
        <v>2276</v>
      </c>
      <c r="R2869" s="205" t="s">
        <v>2276</v>
      </c>
      <c r="S2869" s="205" t="s">
        <v>2276</v>
      </c>
      <c r="T2869" s="21">
        <v>100</v>
      </c>
      <c r="U2869" s="205" t="s">
        <v>2276</v>
      </c>
      <c r="V2869" s="205" t="s">
        <v>2276</v>
      </c>
      <c r="W2869" s="205" t="s">
        <v>2276</v>
      </c>
      <c r="X2869" s="219">
        <f>T2869/'Record info'!K$1146</f>
        <v>4.3275056257573137E-3</v>
      </c>
      <c r="Y2869" s="205" t="s">
        <v>2276</v>
      </c>
      <c r="Z2869" s="205" t="s">
        <v>188</v>
      </c>
      <c r="AA2869" s="205" t="s">
        <v>189</v>
      </c>
      <c r="AB2869" s="205" t="s">
        <v>64</v>
      </c>
      <c r="AC2869" s="205"/>
      <c r="AD2869" s="205"/>
    </row>
    <row r="2870" spans="1:30" ht="27.5" customHeight="1">
      <c r="A2870" s="19" t="s">
        <v>7666</v>
      </c>
      <c r="B2870" s="19" t="s">
        <v>7674</v>
      </c>
      <c r="C2870" s="205" t="s">
        <v>24</v>
      </c>
      <c r="D2870" s="205" t="s">
        <v>1242</v>
      </c>
      <c r="E2870" s="205" t="s">
        <v>3209</v>
      </c>
      <c r="F2870" s="152" t="s">
        <v>2276</v>
      </c>
      <c r="G2870" s="152" t="s">
        <v>2276</v>
      </c>
      <c r="H2870" s="205" t="s">
        <v>523</v>
      </c>
      <c r="I2870" s="11">
        <v>2005</v>
      </c>
      <c r="J2870" s="205" t="s">
        <v>2276</v>
      </c>
      <c r="K2870" s="205" t="s">
        <v>2276</v>
      </c>
      <c r="L2870" s="205" t="s">
        <v>2276</v>
      </c>
      <c r="M2870" s="205" t="s">
        <v>2276</v>
      </c>
      <c r="N2870" s="205" t="s">
        <v>2276</v>
      </c>
      <c r="O2870" s="205" t="s">
        <v>2276</v>
      </c>
      <c r="P2870" s="205" t="s">
        <v>2276</v>
      </c>
      <c r="Q2870" s="205" t="s">
        <v>2276</v>
      </c>
      <c r="R2870" s="205" t="s">
        <v>2276</v>
      </c>
      <c r="S2870" s="205" t="s">
        <v>2276</v>
      </c>
      <c r="T2870" s="21">
        <v>125</v>
      </c>
      <c r="U2870" s="205" t="s">
        <v>2276</v>
      </c>
      <c r="V2870" s="205" t="s">
        <v>2276</v>
      </c>
      <c r="W2870" s="205" t="s">
        <v>2276</v>
      </c>
      <c r="X2870" s="219">
        <f>T2870/'Record info'!K$1146</f>
        <v>5.409382032196642E-3</v>
      </c>
      <c r="Y2870" s="205" t="s">
        <v>2276</v>
      </c>
      <c r="Z2870" s="205" t="s">
        <v>188</v>
      </c>
      <c r="AA2870" s="205" t="s">
        <v>189</v>
      </c>
      <c r="AB2870" s="205" t="s">
        <v>64</v>
      </c>
      <c r="AC2870" s="205"/>
      <c r="AD2870" s="205"/>
    </row>
    <row r="2871" spans="1:30" ht="27.5" customHeight="1">
      <c r="A2871" s="19" t="s">
        <v>7666</v>
      </c>
      <c r="B2871" s="19" t="s">
        <v>7675</v>
      </c>
      <c r="C2871" s="205" t="s">
        <v>24</v>
      </c>
      <c r="D2871" s="205" t="s">
        <v>1242</v>
      </c>
      <c r="E2871" s="205" t="s">
        <v>3209</v>
      </c>
      <c r="F2871" s="152" t="s">
        <v>2276</v>
      </c>
      <c r="G2871" s="152" t="s">
        <v>2276</v>
      </c>
      <c r="H2871" s="205" t="s">
        <v>523</v>
      </c>
      <c r="I2871" s="11">
        <v>2006</v>
      </c>
      <c r="J2871" s="205" t="s">
        <v>2276</v>
      </c>
      <c r="K2871" s="205" t="s">
        <v>2276</v>
      </c>
      <c r="L2871" s="205" t="s">
        <v>2276</v>
      </c>
      <c r="M2871" s="205" t="s">
        <v>2276</v>
      </c>
      <c r="N2871" s="205" t="s">
        <v>2276</v>
      </c>
      <c r="O2871" s="205" t="s">
        <v>2276</v>
      </c>
      <c r="P2871" s="205" t="s">
        <v>2276</v>
      </c>
      <c r="Q2871" s="205" t="s">
        <v>2276</v>
      </c>
      <c r="R2871" s="205" t="s">
        <v>2276</v>
      </c>
      <c r="S2871" s="205" t="s">
        <v>2276</v>
      </c>
      <c r="T2871" s="21">
        <v>75</v>
      </c>
      <c r="U2871" s="205" t="s">
        <v>2276</v>
      </c>
      <c r="V2871" s="205" t="s">
        <v>2276</v>
      </c>
      <c r="W2871" s="205" t="s">
        <v>2276</v>
      </c>
      <c r="X2871" s="219">
        <f>T2871/'Record info'!K$1146</f>
        <v>3.2456292193179851E-3</v>
      </c>
      <c r="Y2871" s="205" t="s">
        <v>2276</v>
      </c>
      <c r="Z2871" s="205" t="s">
        <v>188</v>
      </c>
      <c r="AA2871" s="205" t="s">
        <v>189</v>
      </c>
      <c r="AB2871" s="205" t="s">
        <v>64</v>
      </c>
      <c r="AC2871" s="205"/>
      <c r="AD2871" s="205"/>
    </row>
    <row r="2872" spans="1:30" ht="27.5" customHeight="1">
      <c r="A2872" s="19" t="s">
        <v>7666</v>
      </c>
      <c r="B2872" s="19" t="s">
        <v>7676</v>
      </c>
      <c r="C2872" s="205" t="s">
        <v>24</v>
      </c>
      <c r="D2872" s="205" t="s">
        <v>1242</v>
      </c>
      <c r="E2872" s="205" t="s">
        <v>3209</v>
      </c>
      <c r="F2872" s="152" t="s">
        <v>2276</v>
      </c>
      <c r="G2872" s="152" t="s">
        <v>2276</v>
      </c>
      <c r="H2872" s="205" t="s">
        <v>523</v>
      </c>
      <c r="I2872" s="11">
        <v>2007</v>
      </c>
      <c r="J2872" s="205" t="s">
        <v>2276</v>
      </c>
      <c r="K2872" s="205" t="s">
        <v>2276</v>
      </c>
      <c r="L2872" s="205" t="s">
        <v>2276</v>
      </c>
      <c r="M2872" s="205" t="s">
        <v>2276</v>
      </c>
      <c r="N2872" s="205" t="s">
        <v>2276</v>
      </c>
      <c r="O2872" s="205" t="s">
        <v>2276</v>
      </c>
      <c r="P2872" s="205" t="s">
        <v>2276</v>
      </c>
      <c r="Q2872" s="205" t="s">
        <v>2276</v>
      </c>
      <c r="R2872" s="205" t="s">
        <v>2276</v>
      </c>
      <c r="S2872" s="205" t="s">
        <v>2276</v>
      </c>
      <c r="T2872" s="21">
        <v>95</v>
      </c>
      <c r="U2872" s="205" t="s">
        <v>2276</v>
      </c>
      <c r="V2872" s="205" t="s">
        <v>2276</v>
      </c>
      <c r="W2872" s="205" t="s">
        <v>2276</v>
      </c>
      <c r="X2872" s="219">
        <f>T2872/'Record info'!K$1146</f>
        <v>4.1111303444694479E-3</v>
      </c>
      <c r="Y2872" s="205" t="s">
        <v>2276</v>
      </c>
      <c r="Z2872" s="205" t="s">
        <v>188</v>
      </c>
      <c r="AA2872" s="205" t="s">
        <v>189</v>
      </c>
      <c r="AB2872" s="205" t="s">
        <v>64</v>
      </c>
      <c r="AC2872" s="205"/>
      <c r="AD2872" s="205"/>
    </row>
    <row r="2873" spans="1:30" ht="27.5" customHeight="1">
      <c r="A2873" s="19" t="s">
        <v>7666</v>
      </c>
      <c r="B2873" s="19" t="s">
        <v>7677</v>
      </c>
      <c r="C2873" s="205" t="s">
        <v>24</v>
      </c>
      <c r="D2873" s="205" t="s">
        <v>1242</v>
      </c>
      <c r="E2873" s="205" t="s">
        <v>3209</v>
      </c>
      <c r="F2873" s="152" t="s">
        <v>2276</v>
      </c>
      <c r="G2873" s="152" t="s">
        <v>2276</v>
      </c>
      <c r="H2873" s="205" t="s">
        <v>523</v>
      </c>
      <c r="I2873" s="11">
        <v>2008</v>
      </c>
      <c r="J2873" s="205" t="s">
        <v>2276</v>
      </c>
      <c r="K2873" s="205" t="s">
        <v>2276</v>
      </c>
      <c r="L2873" s="205" t="s">
        <v>2276</v>
      </c>
      <c r="M2873" s="205" t="s">
        <v>2276</v>
      </c>
      <c r="N2873" s="205" t="s">
        <v>2276</v>
      </c>
      <c r="O2873" s="205" t="s">
        <v>2276</v>
      </c>
      <c r="P2873" s="205" t="s">
        <v>2276</v>
      </c>
      <c r="Q2873" s="205" t="s">
        <v>2276</v>
      </c>
      <c r="R2873" s="205" t="s">
        <v>2276</v>
      </c>
      <c r="S2873" s="205" t="s">
        <v>2276</v>
      </c>
      <c r="T2873" s="21">
        <v>60</v>
      </c>
      <c r="U2873" s="205" t="s">
        <v>2276</v>
      </c>
      <c r="V2873" s="205" t="s">
        <v>2276</v>
      </c>
      <c r="W2873" s="205" t="s">
        <v>2276</v>
      </c>
      <c r="X2873" s="219">
        <f>T2873/'Record info'!K$1146</f>
        <v>2.5965033754543881E-3</v>
      </c>
      <c r="Y2873" s="205" t="s">
        <v>2276</v>
      </c>
      <c r="Z2873" s="205" t="s">
        <v>188</v>
      </c>
      <c r="AA2873" s="205" t="s">
        <v>189</v>
      </c>
      <c r="AB2873" s="205" t="s">
        <v>64</v>
      </c>
      <c r="AC2873" s="205"/>
      <c r="AD2873" s="205"/>
    </row>
    <row r="2874" spans="1:30" ht="27.5" customHeight="1">
      <c r="A2874" s="19" t="s">
        <v>7666</v>
      </c>
      <c r="B2874" s="19" t="s">
        <v>7678</v>
      </c>
      <c r="C2874" s="205" t="s">
        <v>24</v>
      </c>
      <c r="D2874" s="205" t="s">
        <v>1242</v>
      </c>
      <c r="E2874" s="205" t="s">
        <v>3209</v>
      </c>
      <c r="F2874" s="152" t="s">
        <v>2276</v>
      </c>
      <c r="G2874" s="152" t="s">
        <v>2276</v>
      </c>
      <c r="H2874" s="205" t="s">
        <v>523</v>
      </c>
      <c r="I2874" s="11">
        <v>2009</v>
      </c>
      <c r="J2874" s="205" t="s">
        <v>2276</v>
      </c>
      <c r="K2874" s="205" t="s">
        <v>2276</v>
      </c>
      <c r="L2874" s="205" t="s">
        <v>2276</v>
      </c>
      <c r="M2874" s="205" t="s">
        <v>2276</v>
      </c>
      <c r="N2874" s="205" t="s">
        <v>2276</v>
      </c>
      <c r="O2874" s="205" t="s">
        <v>2276</v>
      </c>
      <c r="P2874" s="205" t="s">
        <v>2276</v>
      </c>
      <c r="Q2874" s="205" t="s">
        <v>2276</v>
      </c>
      <c r="R2874" s="205" t="s">
        <v>2276</v>
      </c>
      <c r="S2874" s="205" t="s">
        <v>2276</v>
      </c>
      <c r="T2874" s="21">
        <v>15</v>
      </c>
      <c r="U2874" s="205" t="s">
        <v>2276</v>
      </c>
      <c r="V2874" s="205" t="s">
        <v>2276</v>
      </c>
      <c r="W2874" s="205" t="s">
        <v>2276</v>
      </c>
      <c r="X2874" s="219">
        <f>T2874/'Record info'!K$1146</f>
        <v>6.4912584386359702E-4</v>
      </c>
      <c r="Y2874" s="205" t="s">
        <v>2276</v>
      </c>
      <c r="Z2874" s="205" t="s">
        <v>188</v>
      </c>
      <c r="AA2874" s="205" t="s">
        <v>189</v>
      </c>
      <c r="AB2874" s="205" t="s">
        <v>64</v>
      </c>
      <c r="AC2874" s="205"/>
      <c r="AD2874" s="205"/>
    </row>
    <row r="2875" spans="1:30" ht="27.5" customHeight="1">
      <c r="A2875" s="19" t="s">
        <v>7666</v>
      </c>
      <c r="B2875" s="19" t="s">
        <v>7679</v>
      </c>
      <c r="C2875" s="205" t="s">
        <v>24</v>
      </c>
      <c r="D2875" s="205" t="s">
        <v>1242</v>
      </c>
      <c r="E2875" s="205" t="s">
        <v>3209</v>
      </c>
      <c r="F2875" s="152" t="s">
        <v>2276</v>
      </c>
      <c r="G2875" s="152" t="s">
        <v>2276</v>
      </c>
      <c r="H2875" s="205" t="s">
        <v>523</v>
      </c>
      <c r="I2875" s="11">
        <v>2010</v>
      </c>
      <c r="J2875" s="205" t="s">
        <v>2276</v>
      </c>
      <c r="K2875" s="205" t="s">
        <v>2276</v>
      </c>
      <c r="L2875" s="205" t="s">
        <v>2276</v>
      </c>
      <c r="M2875" s="205" t="s">
        <v>2276</v>
      </c>
      <c r="N2875" s="205" t="s">
        <v>2276</v>
      </c>
      <c r="O2875" s="205" t="s">
        <v>2276</v>
      </c>
      <c r="P2875" s="205" t="s">
        <v>2276</v>
      </c>
      <c r="Q2875" s="205" t="s">
        <v>2276</v>
      </c>
      <c r="R2875" s="205" t="s">
        <v>2276</v>
      </c>
      <c r="S2875" s="205" t="s">
        <v>2276</v>
      </c>
      <c r="T2875" s="21">
        <v>20</v>
      </c>
      <c r="U2875" s="205" t="s">
        <v>2276</v>
      </c>
      <c r="V2875" s="205" t="s">
        <v>2276</v>
      </c>
      <c r="W2875" s="205" t="s">
        <v>2276</v>
      </c>
      <c r="X2875" s="219">
        <f>T2875/'Record info'!K$1146</f>
        <v>8.6550112515146273E-4</v>
      </c>
      <c r="Y2875" s="205" t="s">
        <v>2276</v>
      </c>
      <c r="Z2875" s="205" t="s">
        <v>188</v>
      </c>
      <c r="AA2875" s="205" t="s">
        <v>189</v>
      </c>
      <c r="AB2875" s="205" t="s">
        <v>64</v>
      </c>
      <c r="AC2875" s="205"/>
      <c r="AD2875" s="205"/>
    </row>
    <row r="2876" spans="1:30" ht="27.5" customHeight="1">
      <c r="A2876" s="19" t="s">
        <v>7666</v>
      </c>
      <c r="B2876" s="19" t="s">
        <v>7680</v>
      </c>
      <c r="C2876" s="205" t="s">
        <v>24</v>
      </c>
      <c r="D2876" s="205" t="s">
        <v>1242</v>
      </c>
      <c r="E2876" s="205" t="s">
        <v>3209</v>
      </c>
      <c r="F2876" s="152" t="s">
        <v>2276</v>
      </c>
      <c r="G2876" s="152" t="s">
        <v>2276</v>
      </c>
      <c r="H2876" s="205" t="s">
        <v>523</v>
      </c>
      <c r="I2876" s="11">
        <v>2011</v>
      </c>
      <c r="J2876" s="205" t="s">
        <v>2276</v>
      </c>
      <c r="K2876" s="205" t="s">
        <v>2276</v>
      </c>
      <c r="L2876" s="205" t="s">
        <v>2276</v>
      </c>
      <c r="M2876" s="205" t="s">
        <v>2276</v>
      </c>
      <c r="N2876" s="205" t="s">
        <v>2276</v>
      </c>
      <c r="O2876" s="205" t="s">
        <v>2276</v>
      </c>
      <c r="P2876" s="205" t="s">
        <v>2276</v>
      </c>
      <c r="Q2876" s="205" t="s">
        <v>2276</v>
      </c>
      <c r="R2876" s="205" t="s">
        <v>2276</v>
      </c>
      <c r="S2876" s="205" t="s">
        <v>2276</v>
      </c>
      <c r="T2876" s="21">
        <v>70</v>
      </c>
      <c r="U2876" s="205" t="s">
        <v>2276</v>
      </c>
      <c r="V2876" s="205" t="s">
        <v>2276</v>
      </c>
      <c r="W2876" s="205" t="s">
        <v>2276</v>
      </c>
      <c r="X2876" s="219">
        <f>T2876/'Record info'!K$1146</f>
        <v>3.0292539380301193E-3</v>
      </c>
      <c r="Y2876" s="205" t="s">
        <v>2276</v>
      </c>
      <c r="Z2876" s="205" t="s">
        <v>188</v>
      </c>
      <c r="AA2876" s="205" t="s">
        <v>189</v>
      </c>
      <c r="AB2876" s="205" t="s">
        <v>64</v>
      </c>
      <c r="AC2876" s="205"/>
      <c r="AD2876" s="205"/>
    </row>
    <row r="2877" spans="1:30" ht="27.5" customHeight="1">
      <c r="A2877" s="19" t="s">
        <v>7666</v>
      </c>
      <c r="B2877" s="19" t="s">
        <v>7681</v>
      </c>
      <c r="C2877" s="205" t="s">
        <v>24</v>
      </c>
      <c r="D2877" s="205" t="s">
        <v>1242</v>
      </c>
      <c r="E2877" s="205" t="s">
        <v>3209</v>
      </c>
      <c r="F2877" s="152" t="s">
        <v>2276</v>
      </c>
      <c r="G2877" s="152" t="s">
        <v>2276</v>
      </c>
      <c r="H2877" s="205" t="s">
        <v>523</v>
      </c>
      <c r="I2877" s="11">
        <v>2012</v>
      </c>
      <c r="J2877" s="205" t="s">
        <v>2276</v>
      </c>
      <c r="K2877" s="205" t="s">
        <v>2276</v>
      </c>
      <c r="L2877" s="205" t="s">
        <v>2276</v>
      </c>
      <c r="M2877" s="205" t="s">
        <v>2276</v>
      </c>
      <c r="N2877" s="205" t="s">
        <v>2276</v>
      </c>
      <c r="O2877" s="205" t="s">
        <v>2276</v>
      </c>
      <c r="P2877" s="205" t="s">
        <v>2276</v>
      </c>
      <c r="Q2877" s="205" t="s">
        <v>2276</v>
      </c>
      <c r="R2877" s="205" t="s">
        <v>2276</v>
      </c>
      <c r="S2877" s="205" t="s">
        <v>2276</v>
      </c>
      <c r="T2877" s="21">
        <v>80</v>
      </c>
      <c r="U2877" s="205" t="s">
        <v>2276</v>
      </c>
      <c r="V2877" s="205" t="s">
        <v>2276</v>
      </c>
      <c r="W2877" s="205" t="s">
        <v>2276</v>
      </c>
      <c r="X2877" s="219">
        <f>T2877/'Record info'!K$1146</f>
        <v>3.4620045006058509E-3</v>
      </c>
      <c r="Y2877" s="205" t="s">
        <v>2276</v>
      </c>
      <c r="Z2877" s="205" t="s">
        <v>188</v>
      </c>
      <c r="AA2877" s="205" t="s">
        <v>189</v>
      </c>
      <c r="AB2877" s="205" t="s">
        <v>64</v>
      </c>
      <c r="AC2877" s="205"/>
      <c r="AD2877" s="205"/>
    </row>
    <row r="2878" spans="1:30" ht="27.5" customHeight="1">
      <c r="A2878" s="19" t="s">
        <v>7666</v>
      </c>
      <c r="B2878" s="19" t="s">
        <v>7682</v>
      </c>
      <c r="C2878" s="205" t="s">
        <v>24</v>
      </c>
      <c r="D2878" s="205" t="s">
        <v>1242</v>
      </c>
      <c r="E2878" s="205" t="s">
        <v>3209</v>
      </c>
      <c r="F2878" s="152" t="s">
        <v>2276</v>
      </c>
      <c r="G2878" s="152" t="s">
        <v>2276</v>
      </c>
      <c r="H2878" s="205" t="s">
        <v>523</v>
      </c>
      <c r="I2878" s="11">
        <v>2013</v>
      </c>
      <c r="J2878" s="205" t="s">
        <v>2276</v>
      </c>
      <c r="K2878" s="205" t="s">
        <v>2276</v>
      </c>
      <c r="L2878" s="205" t="s">
        <v>2276</v>
      </c>
      <c r="M2878" s="205" t="s">
        <v>2276</v>
      </c>
      <c r="N2878" s="205" t="s">
        <v>2276</v>
      </c>
      <c r="O2878" s="205" t="s">
        <v>2276</v>
      </c>
      <c r="P2878" s="205" t="s">
        <v>2276</v>
      </c>
      <c r="Q2878" s="205" t="s">
        <v>2276</v>
      </c>
      <c r="R2878" s="205" t="s">
        <v>2276</v>
      </c>
      <c r="S2878" s="205" t="s">
        <v>2276</v>
      </c>
      <c r="T2878" s="21">
        <v>75</v>
      </c>
      <c r="U2878" s="205" t="s">
        <v>2276</v>
      </c>
      <c r="V2878" s="205" t="s">
        <v>2276</v>
      </c>
      <c r="W2878" s="205" t="s">
        <v>2276</v>
      </c>
      <c r="X2878" s="219">
        <f>T2878/'Record info'!K$1146</f>
        <v>3.2456292193179851E-3</v>
      </c>
      <c r="Y2878" s="205" t="s">
        <v>2276</v>
      </c>
      <c r="Z2878" s="205" t="s">
        <v>188</v>
      </c>
      <c r="AA2878" s="205" t="s">
        <v>189</v>
      </c>
      <c r="AB2878" s="205" t="s">
        <v>64</v>
      </c>
      <c r="AC2878" s="205"/>
      <c r="AD2878" s="205"/>
    </row>
    <row r="2879" spans="1:30" ht="27.5" customHeight="1">
      <c r="A2879" s="19" t="s">
        <v>7666</v>
      </c>
      <c r="B2879" s="19" t="s">
        <v>7683</v>
      </c>
      <c r="C2879" s="205" t="s">
        <v>24</v>
      </c>
      <c r="D2879" s="205" t="s">
        <v>1242</v>
      </c>
      <c r="E2879" s="205" t="s">
        <v>3209</v>
      </c>
      <c r="F2879" s="152" t="s">
        <v>2276</v>
      </c>
      <c r="G2879" s="152" t="s">
        <v>2276</v>
      </c>
      <c r="H2879" s="205" t="s">
        <v>523</v>
      </c>
      <c r="I2879" s="11">
        <v>2014</v>
      </c>
      <c r="J2879" s="205" t="s">
        <v>2276</v>
      </c>
      <c r="K2879" s="205" t="s">
        <v>2276</v>
      </c>
      <c r="L2879" s="205" t="s">
        <v>2276</v>
      </c>
      <c r="M2879" s="205" t="s">
        <v>2276</v>
      </c>
      <c r="N2879" s="205" t="s">
        <v>2276</v>
      </c>
      <c r="O2879" s="205" t="s">
        <v>2276</v>
      </c>
      <c r="P2879" s="205" t="s">
        <v>2276</v>
      </c>
      <c r="Q2879" s="205" t="s">
        <v>2276</v>
      </c>
      <c r="R2879" s="205" t="s">
        <v>2276</v>
      </c>
      <c r="S2879" s="205" t="s">
        <v>2276</v>
      </c>
      <c r="T2879" s="21">
        <v>80</v>
      </c>
      <c r="U2879" s="205" t="s">
        <v>2276</v>
      </c>
      <c r="V2879" s="205" t="s">
        <v>2276</v>
      </c>
      <c r="W2879" s="205" t="s">
        <v>2276</v>
      </c>
      <c r="X2879" s="219">
        <f>T2879/'Record info'!K$1146</f>
        <v>3.4620045006058509E-3</v>
      </c>
      <c r="Y2879" s="205" t="s">
        <v>2276</v>
      </c>
      <c r="Z2879" s="205" t="s">
        <v>188</v>
      </c>
      <c r="AA2879" s="205" t="s">
        <v>189</v>
      </c>
      <c r="AB2879" s="205" t="s">
        <v>64</v>
      </c>
      <c r="AC2879" s="205"/>
      <c r="AD2879" s="205"/>
    </row>
    <row r="2880" spans="1:30" ht="27.5" customHeight="1">
      <c r="A2880" s="19" t="s">
        <v>7666</v>
      </c>
      <c r="B2880" s="19" t="s">
        <v>7684</v>
      </c>
      <c r="C2880" s="205" t="s">
        <v>24</v>
      </c>
      <c r="D2880" s="205" t="s">
        <v>1242</v>
      </c>
      <c r="E2880" s="205" t="s">
        <v>3209</v>
      </c>
      <c r="F2880" s="152" t="s">
        <v>2276</v>
      </c>
      <c r="G2880" s="152" t="s">
        <v>2276</v>
      </c>
      <c r="H2880" s="205" t="s">
        <v>523</v>
      </c>
      <c r="I2880" s="11">
        <v>2015</v>
      </c>
      <c r="J2880" s="205" t="s">
        <v>2276</v>
      </c>
      <c r="K2880" s="205" t="s">
        <v>2276</v>
      </c>
      <c r="L2880" s="205" t="s">
        <v>2276</v>
      </c>
      <c r="M2880" s="205" t="s">
        <v>2276</v>
      </c>
      <c r="N2880" s="205" t="s">
        <v>2276</v>
      </c>
      <c r="O2880" s="205" t="s">
        <v>2276</v>
      </c>
      <c r="P2880" s="205" t="s">
        <v>2276</v>
      </c>
      <c r="Q2880" s="205" t="s">
        <v>2276</v>
      </c>
      <c r="R2880" s="205" t="s">
        <v>2276</v>
      </c>
      <c r="S2880" s="205" t="s">
        <v>2276</v>
      </c>
      <c r="T2880" s="21">
        <v>84</v>
      </c>
      <c r="U2880" s="205" t="s">
        <v>2276</v>
      </c>
      <c r="V2880" s="205" t="s">
        <v>2276</v>
      </c>
      <c r="W2880" s="205" t="s">
        <v>2276</v>
      </c>
      <c r="X2880" s="219">
        <f>T2880/'Record info'!K$1146</f>
        <v>3.6351047256361433E-3</v>
      </c>
      <c r="Y2880" s="205" t="s">
        <v>2276</v>
      </c>
      <c r="Z2880" s="205" t="s">
        <v>188</v>
      </c>
      <c r="AA2880" s="205" t="s">
        <v>189</v>
      </c>
      <c r="AB2880" s="205" t="s">
        <v>64</v>
      </c>
      <c r="AC2880" s="205"/>
      <c r="AD2880" s="205"/>
    </row>
    <row r="2881" spans="1:30" ht="32" customHeight="1">
      <c r="A2881" s="19" t="s">
        <v>7688</v>
      </c>
      <c r="B2881" s="19" t="s">
        <v>7689</v>
      </c>
      <c r="C2881" s="205" t="s">
        <v>24</v>
      </c>
      <c r="D2881" s="205" t="s">
        <v>1242</v>
      </c>
      <c r="E2881" s="205" t="s">
        <v>3209</v>
      </c>
      <c r="F2881" s="152" t="s">
        <v>2276</v>
      </c>
      <c r="G2881" s="152" t="s">
        <v>2276</v>
      </c>
      <c r="H2881" s="205" t="s">
        <v>523</v>
      </c>
      <c r="I2881" s="205"/>
      <c r="J2881" s="205" t="s">
        <v>2276</v>
      </c>
      <c r="K2881" s="205" t="s">
        <v>2276</v>
      </c>
      <c r="L2881" s="205" t="s">
        <v>2276</v>
      </c>
      <c r="M2881" s="205" t="s">
        <v>2276</v>
      </c>
      <c r="N2881" s="205" t="s">
        <v>2276</v>
      </c>
      <c r="O2881" s="205" t="s">
        <v>2276</v>
      </c>
      <c r="P2881" s="205" t="s">
        <v>2276</v>
      </c>
      <c r="Q2881" s="205" t="s">
        <v>2276</v>
      </c>
      <c r="R2881" s="205" t="s">
        <v>2276</v>
      </c>
      <c r="S2881" s="205" t="s">
        <v>2276</v>
      </c>
      <c r="T2881" s="21">
        <v>50</v>
      </c>
      <c r="U2881" s="205" t="s">
        <v>2276</v>
      </c>
      <c r="V2881" s="205" t="s">
        <v>2276</v>
      </c>
      <c r="W2881" s="205" t="s">
        <v>2276</v>
      </c>
      <c r="X2881" s="21">
        <f>T2881/'Record info'!K1147</f>
        <v>1.6592663387956383E-4</v>
      </c>
      <c r="Y2881" s="205" t="s">
        <v>2276</v>
      </c>
      <c r="Z2881" s="205" t="s">
        <v>68</v>
      </c>
      <c r="AA2881" s="205" t="s">
        <v>189</v>
      </c>
      <c r="AB2881" s="205" t="s">
        <v>64</v>
      </c>
      <c r="AC2881" s="205"/>
      <c r="AD2881" s="205"/>
    </row>
    <row r="2882" spans="1:30" ht="37.5" customHeight="1">
      <c r="A2882" s="19" t="s">
        <v>7666</v>
      </c>
      <c r="B2882" s="19" t="s">
        <v>7690</v>
      </c>
      <c r="C2882" s="11" t="s">
        <v>24</v>
      </c>
      <c r="D2882" s="11" t="s">
        <v>1242</v>
      </c>
      <c r="E2882" s="11" t="s">
        <v>3209</v>
      </c>
      <c r="F2882" s="19" t="s">
        <v>2662</v>
      </c>
      <c r="G2882" s="19" t="s">
        <v>2662</v>
      </c>
      <c r="H2882" s="11" t="s">
        <v>523</v>
      </c>
      <c r="I2882" s="11"/>
      <c r="J2882" s="11" t="s">
        <v>2276</v>
      </c>
      <c r="K2882" s="11" t="s">
        <v>2276</v>
      </c>
      <c r="L2882" s="11" t="s">
        <v>2276</v>
      </c>
      <c r="M2882" s="11" t="s">
        <v>2276</v>
      </c>
      <c r="N2882" s="74">
        <v>67</v>
      </c>
      <c r="O2882" s="11" t="s">
        <v>2276</v>
      </c>
      <c r="P2882" s="74">
        <v>5.35</v>
      </c>
      <c r="Q2882" s="11" t="s">
        <v>2276</v>
      </c>
      <c r="R2882" s="11" t="s">
        <v>2276</v>
      </c>
      <c r="S2882" s="11" t="s">
        <v>2276</v>
      </c>
      <c r="T2882" s="11" t="s">
        <v>2276</v>
      </c>
      <c r="U2882" s="11" t="s">
        <v>2276</v>
      </c>
      <c r="V2882" s="11" t="s">
        <v>2276</v>
      </c>
      <c r="W2882" s="11" t="s">
        <v>2276</v>
      </c>
      <c r="X2882" s="11" t="s">
        <v>2276</v>
      </c>
      <c r="Y2882" s="11" t="s">
        <v>2276</v>
      </c>
      <c r="Z2882" s="205" t="s">
        <v>188</v>
      </c>
      <c r="AA2882" s="205" t="s">
        <v>189</v>
      </c>
      <c r="AB2882" s="205" t="s">
        <v>64</v>
      </c>
      <c r="AC2882" s="19" t="s">
        <v>7701</v>
      </c>
      <c r="AD2882" s="11"/>
    </row>
    <row r="2883" spans="1:30" s="204" customFormat="1" ht="31" customHeight="1">
      <c r="A2883" s="19" t="s">
        <v>7666</v>
      </c>
      <c r="B2883" s="19" t="s">
        <v>7698</v>
      </c>
      <c r="C2883" s="11" t="s">
        <v>24</v>
      </c>
      <c r="D2883" s="11" t="s">
        <v>1242</v>
      </c>
      <c r="E2883" s="11" t="s">
        <v>3209</v>
      </c>
      <c r="F2883" s="19" t="s">
        <v>74</v>
      </c>
      <c r="G2883" s="19" t="s">
        <v>74</v>
      </c>
      <c r="H2883" s="11" t="s">
        <v>523</v>
      </c>
      <c r="I2883" s="11"/>
      <c r="J2883" s="11" t="s">
        <v>2276</v>
      </c>
      <c r="K2883" s="11" t="s">
        <v>2276</v>
      </c>
      <c r="L2883" s="11" t="s">
        <v>2276</v>
      </c>
      <c r="M2883" s="11" t="s">
        <v>2276</v>
      </c>
      <c r="N2883" s="11" t="s">
        <v>2276</v>
      </c>
      <c r="O2883" s="11" t="s">
        <v>2276</v>
      </c>
      <c r="P2883" s="74">
        <v>2.13</v>
      </c>
      <c r="Q2883" s="11" t="s">
        <v>2276</v>
      </c>
      <c r="R2883" s="11" t="s">
        <v>2276</v>
      </c>
      <c r="S2883" s="11" t="s">
        <v>2276</v>
      </c>
      <c r="T2883" s="11" t="s">
        <v>2276</v>
      </c>
      <c r="U2883" s="11" t="s">
        <v>2276</v>
      </c>
      <c r="V2883" s="11" t="s">
        <v>2276</v>
      </c>
      <c r="W2883" s="11" t="s">
        <v>2276</v>
      </c>
      <c r="X2883" s="11" t="s">
        <v>2276</v>
      </c>
      <c r="Y2883" s="11" t="s">
        <v>2276</v>
      </c>
      <c r="Z2883" s="205" t="s">
        <v>188</v>
      </c>
      <c r="AA2883" s="205" t="s">
        <v>189</v>
      </c>
      <c r="AB2883" s="205" t="s">
        <v>64</v>
      </c>
      <c r="AC2883" s="19" t="s">
        <v>7701</v>
      </c>
      <c r="AD2883" s="11"/>
    </row>
    <row r="2884" spans="1:30" ht="39" customHeight="1">
      <c r="A2884" s="19" t="s">
        <v>7691</v>
      </c>
      <c r="B2884" s="19" t="s">
        <v>7693</v>
      </c>
      <c r="C2884" s="205" t="s">
        <v>24</v>
      </c>
      <c r="D2884" s="205" t="s">
        <v>1242</v>
      </c>
      <c r="E2884" s="205" t="s">
        <v>3209</v>
      </c>
      <c r="F2884" s="4" t="s">
        <v>74</v>
      </c>
      <c r="G2884" s="4" t="s">
        <v>74</v>
      </c>
      <c r="H2884" s="205" t="s">
        <v>523</v>
      </c>
      <c r="I2884" s="205"/>
      <c r="J2884" s="205" t="s">
        <v>2276</v>
      </c>
      <c r="K2884" s="205" t="s">
        <v>2276</v>
      </c>
      <c r="L2884" s="205" t="s">
        <v>2276</v>
      </c>
      <c r="M2884" s="205" t="s">
        <v>2276</v>
      </c>
      <c r="N2884" s="21">
        <v>146</v>
      </c>
      <c r="O2884" s="205" t="s">
        <v>2276</v>
      </c>
      <c r="P2884" s="21">
        <v>8.1999999999999993</v>
      </c>
      <c r="Q2884" s="205" t="s">
        <v>2276</v>
      </c>
      <c r="R2884" s="205" t="s">
        <v>2276</v>
      </c>
      <c r="S2884" s="205" t="s">
        <v>2276</v>
      </c>
      <c r="T2884" s="205" t="s">
        <v>2276</v>
      </c>
      <c r="U2884" s="205" t="s">
        <v>2276</v>
      </c>
      <c r="V2884" s="205" t="s">
        <v>2276</v>
      </c>
      <c r="W2884" s="205" t="s">
        <v>2276</v>
      </c>
      <c r="X2884" s="205" t="s">
        <v>2276</v>
      </c>
      <c r="Y2884" s="205" t="s">
        <v>2276</v>
      </c>
      <c r="Z2884" s="205" t="s">
        <v>68</v>
      </c>
      <c r="AA2884" s="205" t="s">
        <v>86</v>
      </c>
      <c r="AB2884" s="205" t="s">
        <v>76</v>
      </c>
      <c r="AC2884" s="4" t="s">
        <v>7700</v>
      </c>
      <c r="AD2884" s="205"/>
    </row>
    <row r="2885" spans="1:30" ht="31" customHeight="1">
      <c r="A2885" s="19" t="s">
        <v>7692</v>
      </c>
      <c r="B2885" s="19" t="s">
        <v>7694</v>
      </c>
      <c r="C2885" s="205" t="s">
        <v>24</v>
      </c>
      <c r="D2885" s="205" t="s">
        <v>1242</v>
      </c>
      <c r="E2885" s="205" t="s">
        <v>3209</v>
      </c>
      <c r="F2885" s="4" t="s">
        <v>74</v>
      </c>
      <c r="G2885" s="4" t="s">
        <v>74</v>
      </c>
      <c r="H2885" s="205" t="s">
        <v>523</v>
      </c>
      <c r="I2885" s="205"/>
      <c r="J2885" s="205" t="s">
        <v>2276</v>
      </c>
      <c r="K2885" s="205" t="s">
        <v>2276</v>
      </c>
      <c r="L2885" s="205" t="s">
        <v>2276</v>
      </c>
      <c r="M2885" s="205" t="s">
        <v>2276</v>
      </c>
      <c r="N2885" s="21">
        <v>179</v>
      </c>
      <c r="O2885" s="205" t="s">
        <v>2276</v>
      </c>
      <c r="P2885" s="21">
        <v>11.54</v>
      </c>
      <c r="Q2885" s="205" t="s">
        <v>2276</v>
      </c>
      <c r="R2885" s="205" t="s">
        <v>2276</v>
      </c>
      <c r="S2885" s="205" t="s">
        <v>2276</v>
      </c>
      <c r="T2885" s="205" t="s">
        <v>2276</v>
      </c>
      <c r="U2885" s="205" t="s">
        <v>2276</v>
      </c>
      <c r="V2885" s="205" t="s">
        <v>2276</v>
      </c>
      <c r="W2885" s="205" t="s">
        <v>2276</v>
      </c>
      <c r="X2885" s="205" t="s">
        <v>2276</v>
      </c>
      <c r="Y2885" s="205" t="s">
        <v>2276</v>
      </c>
      <c r="Z2885" s="205" t="s">
        <v>35</v>
      </c>
      <c r="AA2885" s="205" t="s">
        <v>38</v>
      </c>
      <c r="AB2885" s="205" t="s">
        <v>64</v>
      </c>
      <c r="AC2885" s="205" t="s">
        <v>7699</v>
      </c>
      <c r="AD2885" s="205"/>
    </row>
    <row r="2886" spans="1:30" ht="41" customHeight="1">
      <c r="A2886" s="19" t="s">
        <v>7692</v>
      </c>
      <c r="B2886" s="19" t="s">
        <v>7697</v>
      </c>
      <c r="C2886" s="205" t="s">
        <v>24</v>
      </c>
      <c r="D2886" s="205" t="s">
        <v>1242</v>
      </c>
      <c r="E2886" s="205" t="s">
        <v>3209</v>
      </c>
      <c r="F2886" s="4" t="s">
        <v>2662</v>
      </c>
      <c r="G2886" s="4" t="s">
        <v>2662</v>
      </c>
      <c r="H2886" s="205" t="s">
        <v>523</v>
      </c>
      <c r="I2886" s="205"/>
      <c r="J2886" s="205" t="s">
        <v>2276</v>
      </c>
      <c r="K2886" s="205" t="s">
        <v>2276</v>
      </c>
      <c r="L2886" s="205" t="s">
        <v>2276</v>
      </c>
      <c r="M2886" s="205" t="s">
        <v>2276</v>
      </c>
      <c r="N2886" s="205" t="s">
        <v>2276</v>
      </c>
      <c r="O2886" s="205" t="s">
        <v>2276</v>
      </c>
      <c r="P2886" s="21">
        <v>4.93</v>
      </c>
      <c r="Q2886" s="205" t="s">
        <v>2276</v>
      </c>
      <c r="R2886" s="205" t="s">
        <v>2276</v>
      </c>
      <c r="S2886" s="205" t="s">
        <v>2276</v>
      </c>
      <c r="T2886" s="205" t="s">
        <v>2276</v>
      </c>
      <c r="U2886" s="205" t="s">
        <v>2276</v>
      </c>
      <c r="V2886" s="205" t="s">
        <v>2276</v>
      </c>
      <c r="W2886" s="205" t="s">
        <v>2276</v>
      </c>
      <c r="X2886" s="205" t="s">
        <v>2276</v>
      </c>
      <c r="Y2886" s="205" t="s">
        <v>2276</v>
      </c>
      <c r="Z2886" s="205" t="s">
        <v>68</v>
      </c>
      <c r="AA2886" s="205" t="s">
        <v>86</v>
      </c>
      <c r="AB2886" s="205" t="s">
        <v>76</v>
      </c>
      <c r="AC2886" s="4" t="s">
        <v>7700</v>
      </c>
      <c r="AD2886" s="205"/>
    </row>
    <row r="2887" spans="1:30" ht="43.5" customHeight="1">
      <c r="A2887" s="19" t="s">
        <v>7691</v>
      </c>
      <c r="B2887" s="19" t="s">
        <v>7695</v>
      </c>
      <c r="C2887" s="205" t="s">
        <v>24</v>
      </c>
      <c r="D2887" s="205" t="s">
        <v>1242</v>
      </c>
      <c r="E2887" s="205" t="s">
        <v>3209</v>
      </c>
      <c r="F2887" s="4" t="s">
        <v>2662</v>
      </c>
      <c r="G2887" s="4" t="s">
        <v>2662</v>
      </c>
      <c r="H2887" s="205" t="s">
        <v>523</v>
      </c>
      <c r="I2887" s="205"/>
      <c r="J2887" s="205" t="s">
        <v>2276</v>
      </c>
      <c r="K2887" s="205" t="s">
        <v>2276</v>
      </c>
      <c r="L2887" s="205" t="s">
        <v>2276</v>
      </c>
      <c r="M2887" s="205" t="s">
        <v>2276</v>
      </c>
      <c r="N2887" s="205" t="s">
        <v>2276</v>
      </c>
      <c r="O2887" s="205" t="s">
        <v>2276</v>
      </c>
      <c r="P2887" s="21">
        <v>5.23</v>
      </c>
      <c r="Q2887" s="205" t="s">
        <v>2276</v>
      </c>
      <c r="R2887" s="205" t="s">
        <v>2276</v>
      </c>
      <c r="S2887" s="205" t="s">
        <v>2276</v>
      </c>
      <c r="T2887" s="205" t="s">
        <v>2276</v>
      </c>
      <c r="U2887" s="205" t="s">
        <v>2276</v>
      </c>
      <c r="V2887" s="205" t="s">
        <v>2276</v>
      </c>
      <c r="W2887" s="205" t="s">
        <v>2276</v>
      </c>
      <c r="X2887" s="205" t="s">
        <v>2276</v>
      </c>
      <c r="Y2887" s="205" t="s">
        <v>2276</v>
      </c>
      <c r="Z2887" s="205" t="s">
        <v>35</v>
      </c>
      <c r="AA2887" s="205" t="s">
        <v>38</v>
      </c>
      <c r="AB2887" s="205" t="s">
        <v>64</v>
      </c>
      <c r="AC2887" s="205" t="s">
        <v>7699</v>
      </c>
      <c r="AD2887" s="205"/>
    </row>
    <row r="2888" spans="1:30" ht="38.5" customHeight="1">
      <c r="A2888" s="19" t="s">
        <v>7715</v>
      </c>
      <c r="B2888" s="19" t="s">
        <v>7851</v>
      </c>
      <c r="C2888" s="205" t="s">
        <v>24</v>
      </c>
      <c r="D2888" s="205" t="s">
        <v>1242</v>
      </c>
      <c r="E2888" s="205" t="s">
        <v>3209</v>
      </c>
      <c r="F2888" s="4" t="s">
        <v>2662</v>
      </c>
      <c r="G2888" s="4" t="s">
        <v>2662</v>
      </c>
      <c r="H2888" s="205" t="s">
        <v>523</v>
      </c>
      <c r="I2888" s="11"/>
      <c r="J2888" s="205" t="s">
        <v>2276</v>
      </c>
      <c r="K2888" s="205" t="s">
        <v>2276</v>
      </c>
      <c r="L2888" s="205" t="s">
        <v>2276</v>
      </c>
      <c r="M2888" s="205" t="s">
        <v>2276</v>
      </c>
      <c r="N2888" s="205" t="s">
        <v>2276</v>
      </c>
      <c r="O2888" s="205" t="s">
        <v>2276</v>
      </c>
      <c r="P2888" s="74">
        <v>34.51</v>
      </c>
      <c r="Q2888" s="205" t="s">
        <v>2276</v>
      </c>
      <c r="R2888" s="205" t="s">
        <v>2276</v>
      </c>
      <c r="S2888" s="205" t="s">
        <v>2276</v>
      </c>
      <c r="T2888" s="74">
        <f>1631087/13</f>
        <v>125468.23076923077</v>
      </c>
      <c r="U2888" s="205" t="s">
        <v>2276</v>
      </c>
      <c r="V2888" s="205" t="s">
        <v>2276</v>
      </c>
      <c r="W2888" s="205" t="s">
        <v>2276</v>
      </c>
      <c r="X2888" s="74">
        <f>T2888/'Record info'!K$1150</f>
        <v>1.6371240241719318E-3</v>
      </c>
      <c r="Y2888" s="205" t="s">
        <v>2276</v>
      </c>
      <c r="Z2888" s="205" t="s">
        <v>2276</v>
      </c>
      <c r="AA2888" s="205" t="s">
        <v>2276</v>
      </c>
      <c r="AB2888" s="205" t="s">
        <v>2276</v>
      </c>
      <c r="AC2888" s="11" t="s">
        <v>7853</v>
      </c>
      <c r="AD2888" s="11"/>
    </row>
    <row r="2889" spans="1:30" ht="37.5" customHeight="1">
      <c r="A2889" s="19" t="s">
        <v>7715</v>
      </c>
      <c r="B2889" s="19" t="s">
        <v>7852</v>
      </c>
      <c r="C2889" s="205" t="s">
        <v>24</v>
      </c>
      <c r="D2889" s="205" t="s">
        <v>1242</v>
      </c>
      <c r="E2889" s="205" t="s">
        <v>3209</v>
      </c>
      <c r="F2889" s="4" t="s">
        <v>74</v>
      </c>
      <c r="G2889" s="4" t="s">
        <v>74</v>
      </c>
      <c r="H2889" s="205" t="s">
        <v>523</v>
      </c>
      <c r="I2889" s="103"/>
      <c r="J2889" s="205" t="s">
        <v>2276</v>
      </c>
      <c r="K2889" s="205" t="s">
        <v>2276</v>
      </c>
      <c r="L2889" s="205" t="s">
        <v>2276</v>
      </c>
      <c r="M2889" s="205" t="s">
        <v>2276</v>
      </c>
      <c r="N2889" s="205" t="s">
        <v>2276</v>
      </c>
      <c r="O2889" s="205" t="s">
        <v>2276</v>
      </c>
      <c r="P2889" s="74">
        <v>11.42</v>
      </c>
      <c r="Q2889" s="205" t="s">
        <v>2276</v>
      </c>
      <c r="R2889" s="205" t="s">
        <v>2276</v>
      </c>
      <c r="S2889" s="205" t="s">
        <v>2276</v>
      </c>
      <c r="T2889" s="74">
        <f>107311/13</f>
        <v>8254.6923076923085</v>
      </c>
      <c r="U2889" s="205" t="s">
        <v>2276</v>
      </c>
      <c r="V2889" s="205" t="s">
        <v>2276</v>
      </c>
      <c r="W2889" s="205" t="s">
        <v>2276</v>
      </c>
      <c r="X2889" s="74">
        <f>T2889/'Record info'!K$1150</f>
        <v>1.0770818243166318E-4</v>
      </c>
      <c r="Y2889" s="205" t="s">
        <v>2276</v>
      </c>
      <c r="Z2889" s="205" t="s">
        <v>2276</v>
      </c>
      <c r="AA2889" s="205" t="s">
        <v>2276</v>
      </c>
      <c r="AB2889" s="205" t="s">
        <v>2276</v>
      </c>
      <c r="AC2889" s="11" t="s">
        <v>7854</v>
      </c>
      <c r="AD2889" s="11"/>
    </row>
    <row r="2890" spans="1:30" ht="33.5" customHeight="1">
      <c r="A2890" s="19" t="s">
        <v>7716</v>
      </c>
      <c r="B2890" s="205" t="s">
        <v>7857</v>
      </c>
      <c r="C2890" s="205" t="s">
        <v>24</v>
      </c>
      <c r="D2890" s="205" t="s">
        <v>1242</v>
      </c>
      <c r="E2890" s="205" t="s">
        <v>3209</v>
      </c>
      <c r="F2890" s="4" t="s">
        <v>2276</v>
      </c>
      <c r="G2890" s="4" t="s">
        <v>2276</v>
      </c>
      <c r="H2890" s="205" t="s">
        <v>523</v>
      </c>
      <c r="I2890" s="103"/>
      <c r="J2890" s="205" t="s">
        <v>2276</v>
      </c>
      <c r="K2890" s="205" t="s">
        <v>2276</v>
      </c>
      <c r="L2890" s="205" t="s">
        <v>2276</v>
      </c>
      <c r="M2890" s="205" t="s">
        <v>2276</v>
      </c>
      <c r="N2890" s="205" t="s">
        <v>2276</v>
      </c>
      <c r="O2890" s="205" t="s">
        <v>2276</v>
      </c>
      <c r="P2890" s="205" t="s">
        <v>2276</v>
      </c>
      <c r="Q2890" s="205" t="s">
        <v>2276</v>
      </c>
      <c r="R2890" s="205" t="s">
        <v>2276</v>
      </c>
      <c r="S2890" s="205" t="s">
        <v>2276</v>
      </c>
      <c r="T2890" s="205" t="s">
        <v>2276</v>
      </c>
      <c r="U2890" s="205" t="s">
        <v>2276</v>
      </c>
      <c r="V2890" s="205" t="s">
        <v>2276</v>
      </c>
      <c r="W2890" s="205" t="s">
        <v>2276</v>
      </c>
      <c r="X2890" s="205" t="s">
        <v>2276</v>
      </c>
      <c r="Y2890" s="205" t="s">
        <v>2276</v>
      </c>
      <c r="Z2890" s="205" t="s">
        <v>2276</v>
      </c>
      <c r="AA2890" s="205" t="s">
        <v>2276</v>
      </c>
      <c r="AB2890" s="205" t="s">
        <v>2276</v>
      </c>
      <c r="AC2890" s="205"/>
      <c r="AD2890" s="205"/>
    </row>
    <row r="2891" spans="1:30" ht="33.5" customHeight="1">
      <c r="A2891" s="19" t="s">
        <v>7717</v>
      </c>
      <c r="B2891" s="205" t="s">
        <v>7858</v>
      </c>
      <c r="C2891" s="205" t="s">
        <v>24</v>
      </c>
      <c r="D2891" s="205" t="s">
        <v>1242</v>
      </c>
      <c r="E2891" s="205" t="s">
        <v>3209</v>
      </c>
      <c r="F2891" s="4" t="s">
        <v>2276</v>
      </c>
      <c r="G2891" s="4" t="s">
        <v>2276</v>
      </c>
      <c r="H2891" s="205" t="s">
        <v>523</v>
      </c>
      <c r="I2891" s="103"/>
      <c r="J2891" s="205" t="s">
        <v>2276</v>
      </c>
      <c r="K2891" s="205" t="s">
        <v>2276</v>
      </c>
      <c r="L2891" s="205" t="s">
        <v>2276</v>
      </c>
      <c r="M2891" s="205" t="s">
        <v>2276</v>
      </c>
      <c r="N2891" s="205" t="s">
        <v>2276</v>
      </c>
      <c r="O2891" s="205" t="s">
        <v>2276</v>
      </c>
      <c r="P2891" s="205" t="s">
        <v>2276</v>
      </c>
      <c r="Q2891" s="205" t="s">
        <v>2276</v>
      </c>
      <c r="R2891" s="205" t="s">
        <v>2276</v>
      </c>
      <c r="S2891" s="205" t="s">
        <v>2276</v>
      </c>
      <c r="T2891" s="205" t="s">
        <v>2276</v>
      </c>
      <c r="U2891" s="205" t="s">
        <v>2276</v>
      </c>
      <c r="V2891" s="205" t="s">
        <v>2276</v>
      </c>
      <c r="W2891" s="205" t="s">
        <v>2276</v>
      </c>
      <c r="X2891" s="205" t="s">
        <v>2276</v>
      </c>
      <c r="Y2891" s="205" t="s">
        <v>2276</v>
      </c>
      <c r="Z2891" s="205" t="s">
        <v>2276</v>
      </c>
      <c r="AA2891" s="205" t="s">
        <v>2276</v>
      </c>
      <c r="AB2891" s="205" t="s">
        <v>2276</v>
      </c>
      <c r="AC2891" s="205"/>
      <c r="AD2891" s="205"/>
    </row>
    <row r="2892" spans="1:30" ht="33.5" customHeight="1">
      <c r="A2892" s="19" t="s">
        <v>7718</v>
      </c>
      <c r="B2892" s="205" t="s">
        <v>7859</v>
      </c>
      <c r="C2892" s="205" t="s">
        <v>24</v>
      </c>
      <c r="D2892" s="205" t="s">
        <v>1242</v>
      </c>
      <c r="E2892" s="205" t="s">
        <v>3209</v>
      </c>
      <c r="F2892" s="4" t="s">
        <v>2276</v>
      </c>
      <c r="G2892" s="4" t="s">
        <v>2276</v>
      </c>
      <c r="H2892" s="205" t="s">
        <v>523</v>
      </c>
      <c r="I2892" s="103"/>
      <c r="J2892" s="205" t="s">
        <v>2276</v>
      </c>
      <c r="K2892" s="205" t="s">
        <v>2276</v>
      </c>
      <c r="L2892" s="205" t="s">
        <v>2276</v>
      </c>
      <c r="M2892" s="205" t="s">
        <v>2276</v>
      </c>
      <c r="N2892" s="205" t="s">
        <v>2276</v>
      </c>
      <c r="O2892" s="205" t="s">
        <v>2276</v>
      </c>
      <c r="P2892" s="205" t="s">
        <v>2276</v>
      </c>
      <c r="Q2892" s="205" t="s">
        <v>2276</v>
      </c>
      <c r="R2892" s="205" t="s">
        <v>2276</v>
      </c>
      <c r="S2892" s="205" t="s">
        <v>2276</v>
      </c>
      <c r="T2892" s="205" t="s">
        <v>2276</v>
      </c>
      <c r="U2892" s="205" t="s">
        <v>2276</v>
      </c>
      <c r="V2892" s="205" t="s">
        <v>2276</v>
      </c>
      <c r="W2892" s="205" t="s">
        <v>2276</v>
      </c>
      <c r="X2892" s="205" t="s">
        <v>2276</v>
      </c>
      <c r="Y2892" s="205" t="s">
        <v>2276</v>
      </c>
      <c r="Z2892" s="205" t="s">
        <v>2276</v>
      </c>
      <c r="AA2892" s="205" t="s">
        <v>2276</v>
      </c>
      <c r="AB2892" s="205" t="s">
        <v>2276</v>
      </c>
      <c r="AC2892" s="205"/>
      <c r="AD2892" s="205"/>
    </row>
    <row r="2893" spans="1:30" ht="33.5" customHeight="1">
      <c r="A2893" s="19" t="s">
        <v>7719</v>
      </c>
      <c r="B2893" s="205" t="s">
        <v>7860</v>
      </c>
      <c r="C2893" s="205" t="s">
        <v>24</v>
      </c>
      <c r="D2893" s="205" t="s">
        <v>1242</v>
      </c>
      <c r="E2893" s="205" t="s">
        <v>3209</v>
      </c>
      <c r="F2893" s="4" t="s">
        <v>2276</v>
      </c>
      <c r="G2893" s="4" t="s">
        <v>2276</v>
      </c>
      <c r="H2893" s="205" t="s">
        <v>523</v>
      </c>
      <c r="I2893" s="103"/>
      <c r="J2893" s="205" t="s">
        <v>2276</v>
      </c>
      <c r="K2893" s="205" t="s">
        <v>2276</v>
      </c>
      <c r="L2893" s="205" t="s">
        <v>2276</v>
      </c>
      <c r="M2893" s="205" t="s">
        <v>2276</v>
      </c>
      <c r="N2893" s="205" t="s">
        <v>2276</v>
      </c>
      <c r="O2893" s="205" t="s">
        <v>2276</v>
      </c>
      <c r="P2893" s="205" t="s">
        <v>2276</v>
      </c>
      <c r="Q2893" s="205" t="s">
        <v>2276</v>
      </c>
      <c r="R2893" s="205" t="s">
        <v>2276</v>
      </c>
      <c r="S2893" s="205" t="s">
        <v>2276</v>
      </c>
      <c r="T2893" s="205" t="s">
        <v>2276</v>
      </c>
      <c r="U2893" s="205" t="s">
        <v>2276</v>
      </c>
      <c r="V2893" s="205" t="s">
        <v>2276</v>
      </c>
      <c r="W2893" s="205" t="s">
        <v>2276</v>
      </c>
      <c r="X2893" s="205" t="s">
        <v>2276</v>
      </c>
      <c r="Y2893" s="205" t="s">
        <v>2276</v>
      </c>
      <c r="Z2893" s="205" t="s">
        <v>2276</v>
      </c>
      <c r="AA2893" s="205" t="s">
        <v>2276</v>
      </c>
      <c r="AB2893" s="205" t="s">
        <v>2276</v>
      </c>
      <c r="AC2893" s="205"/>
      <c r="AD2893" s="205"/>
    </row>
    <row r="2894" spans="1:30" ht="33.5" customHeight="1">
      <c r="A2894" s="19" t="s">
        <v>7720</v>
      </c>
      <c r="B2894" s="205" t="s">
        <v>7861</v>
      </c>
      <c r="C2894" s="205" t="s">
        <v>24</v>
      </c>
      <c r="D2894" s="205" t="s">
        <v>1242</v>
      </c>
      <c r="E2894" s="205" t="s">
        <v>3209</v>
      </c>
      <c r="F2894" s="4" t="s">
        <v>2276</v>
      </c>
      <c r="G2894" s="4" t="s">
        <v>2276</v>
      </c>
      <c r="H2894" s="205" t="s">
        <v>523</v>
      </c>
      <c r="I2894" s="103"/>
      <c r="J2894" s="205" t="s">
        <v>2276</v>
      </c>
      <c r="K2894" s="205" t="s">
        <v>2276</v>
      </c>
      <c r="L2894" s="205" t="s">
        <v>2276</v>
      </c>
      <c r="M2894" s="205" t="s">
        <v>2276</v>
      </c>
      <c r="N2894" s="205" t="s">
        <v>2276</v>
      </c>
      <c r="O2894" s="205" t="s">
        <v>2276</v>
      </c>
      <c r="P2894" s="205" t="s">
        <v>2276</v>
      </c>
      <c r="Q2894" s="205" t="s">
        <v>2276</v>
      </c>
      <c r="R2894" s="205" t="s">
        <v>2276</v>
      </c>
      <c r="S2894" s="205" t="s">
        <v>2276</v>
      </c>
      <c r="T2894" s="205" t="s">
        <v>2276</v>
      </c>
      <c r="U2894" s="205" t="s">
        <v>2276</v>
      </c>
      <c r="V2894" s="205" t="s">
        <v>2276</v>
      </c>
      <c r="W2894" s="205" t="s">
        <v>2276</v>
      </c>
      <c r="X2894" s="205" t="s">
        <v>2276</v>
      </c>
      <c r="Y2894" s="205" t="s">
        <v>2276</v>
      </c>
      <c r="Z2894" s="205" t="s">
        <v>2276</v>
      </c>
      <c r="AA2894" s="205" t="s">
        <v>2276</v>
      </c>
      <c r="AB2894" s="205" t="s">
        <v>2276</v>
      </c>
      <c r="AC2894" s="205"/>
      <c r="AD2894" s="205"/>
    </row>
    <row r="2895" spans="1:30" ht="33.5" customHeight="1">
      <c r="A2895" s="19" t="s">
        <v>7721</v>
      </c>
      <c r="B2895" s="205" t="s">
        <v>7862</v>
      </c>
      <c r="C2895" s="205" t="s">
        <v>24</v>
      </c>
      <c r="D2895" s="205" t="s">
        <v>1242</v>
      </c>
      <c r="E2895" s="205" t="s">
        <v>3209</v>
      </c>
      <c r="F2895" s="4" t="s">
        <v>2276</v>
      </c>
      <c r="G2895" s="4" t="s">
        <v>2276</v>
      </c>
      <c r="H2895" s="205" t="s">
        <v>523</v>
      </c>
      <c r="I2895" s="103"/>
      <c r="J2895" s="205" t="s">
        <v>2276</v>
      </c>
      <c r="K2895" s="205" t="s">
        <v>2276</v>
      </c>
      <c r="L2895" s="205" t="s">
        <v>2276</v>
      </c>
      <c r="M2895" s="205" t="s">
        <v>2276</v>
      </c>
      <c r="N2895" s="205" t="s">
        <v>2276</v>
      </c>
      <c r="O2895" s="205" t="s">
        <v>2276</v>
      </c>
      <c r="P2895" s="205" t="s">
        <v>2276</v>
      </c>
      <c r="Q2895" s="205" t="s">
        <v>2276</v>
      </c>
      <c r="R2895" s="205" t="s">
        <v>2276</v>
      </c>
      <c r="S2895" s="205" t="s">
        <v>2276</v>
      </c>
      <c r="T2895" s="205" t="s">
        <v>2276</v>
      </c>
      <c r="U2895" s="205" t="s">
        <v>2276</v>
      </c>
      <c r="V2895" s="205" t="s">
        <v>2276</v>
      </c>
      <c r="W2895" s="205" t="s">
        <v>2276</v>
      </c>
      <c r="X2895" s="205" t="s">
        <v>2276</v>
      </c>
      <c r="Y2895" s="205" t="s">
        <v>2276</v>
      </c>
      <c r="Z2895" s="205" t="s">
        <v>2276</v>
      </c>
      <c r="AA2895" s="205" t="s">
        <v>2276</v>
      </c>
      <c r="AB2895" s="205" t="s">
        <v>2276</v>
      </c>
      <c r="AC2895" s="205"/>
      <c r="AD2895" s="205"/>
    </row>
    <row r="2896" spans="1:30" ht="33.5" customHeight="1">
      <c r="A2896" s="19" t="s">
        <v>7722</v>
      </c>
      <c r="B2896" s="205" t="s">
        <v>7863</v>
      </c>
      <c r="C2896" s="205" t="s">
        <v>24</v>
      </c>
      <c r="D2896" s="205" t="s">
        <v>1242</v>
      </c>
      <c r="E2896" s="205" t="s">
        <v>3209</v>
      </c>
      <c r="F2896" s="4" t="s">
        <v>2276</v>
      </c>
      <c r="G2896" s="4" t="s">
        <v>2276</v>
      </c>
      <c r="H2896" s="205" t="s">
        <v>523</v>
      </c>
      <c r="I2896" s="103"/>
      <c r="J2896" s="205" t="s">
        <v>2276</v>
      </c>
      <c r="K2896" s="205" t="s">
        <v>2276</v>
      </c>
      <c r="L2896" s="205" t="s">
        <v>2276</v>
      </c>
      <c r="M2896" s="205" t="s">
        <v>2276</v>
      </c>
      <c r="N2896" s="205" t="s">
        <v>2276</v>
      </c>
      <c r="O2896" s="205" t="s">
        <v>2276</v>
      </c>
      <c r="P2896" s="205" t="s">
        <v>2276</v>
      </c>
      <c r="Q2896" s="205" t="s">
        <v>2276</v>
      </c>
      <c r="R2896" s="205" t="s">
        <v>2276</v>
      </c>
      <c r="S2896" s="205" t="s">
        <v>2276</v>
      </c>
      <c r="T2896" s="205" t="s">
        <v>2276</v>
      </c>
      <c r="U2896" s="205" t="s">
        <v>2276</v>
      </c>
      <c r="V2896" s="205" t="s">
        <v>2276</v>
      </c>
      <c r="W2896" s="205" t="s">
        <v>2276</v>
      </c>
      <c r="X2896" s="205" t="s">
        <v>2276</v>
      </c>
      <c r="Y2896" s="205" t="s">
        <v>2276</v>
      </c>
      <c r="Z2896" s="205" t="s">
        <v>2276</v>
      </c>
      <c r="AA2896" s="205" t="s">
        <v>2276</v>
      </c>
      <c r="AB2896" s="205" t="s">
        <v>2276</v>
      </c>
      <c r="AC2896" s="205"/>
      <c r="AD2896" s="205"/>
    </row>
    <row r="2897" spans="1:30" ht="33.5" customHeight="1">
      <c r="A2897" s="19" t="s">
        <v>7723</v>
      </c>
      <c r="B2897" s="205" t="s">
        <v>7864</v>
      </c>
      <c r="C2897" s="205" t="s">
        <v>24</v>
      </c>
      <c r="D2897" s="205" t="s">
        <v>1242</v>
      </c>
      <c r="E2897" s="205" t="s">
        <v>3209</v>
      </c>
      <c r="F2897" s="4" t="s">
        <v>2276</v>
      </c>
      <c r="G2897" s="4" t="s">
        <v>2276</v>
      </c>
      <c r="H2897" s="205" t="s">
        <v>523</v>
      </c>
      <c r="I2897" s="103"/>
      <c r="J2897" s="205" t="s">
        <v>2276</v>
      </c>
      <c r="K2897" s="205" t="s">
        <v>2276</v>
      </c>
      <c r="L2897" s="205" t="s">
        <v>2276</v>
      </c>
      <c r="M2897" s="205" t="s">
        <v>2276</v>
      </c>
      <c r="N2897" s="205" t="s">
        <v>2276</v>
      </c>
      <c r="O2897" s="205" t="s">
        <v>2276</v>
      </c>
      <c r="P2897" s="205" t="s">
        <v>2276</v>
      </c>
      <c r="Q2897" s="205" t="s">
        <v>2276</v>
      </c>
      <c r="R2897" s="205" t="s">
        <v>2276</v>
      </c>
      <c r="S2897" s="205" t="s">
        <v>2276</v>
      </c>
      <c r="T2897" s="205" t="s">
        <v>2276</v>
      </c>
      <c r="U2897" s="205" t="s">
        <v>2276</v>
      </c>
      <c r="V2897" s="205" t="s">
        <v>2276</v>
      </c>
      <c r="W2897" s="205" t="s">
        <v>2276</v>
      </c>
      <c r="X2897" s="205" t="s">
        <v>2276</v>
      </c>
      <c r="Y2897" s="205" t="s">
        <v>2276</v>
      </c>
      <c r="Z2897" s="205" t="s">
        <v>2276</v>
      </c>
      <c r="AA2897" s="205" t="s">
        <v>2276</v>
      </c>
      <c r="AB2897" s="205" t="s">
        <v>2276</v>
      </c>
      <c r="AC2897" s="205"/>
      <c r="AD2897" s="205"/>
    </row>
    <row r="2898" spans="1:30" ht="33.5" customHeight="1">
      <c r="A2898" s="19" t="s">
        <v>7724</v>
      </c>
      <c r="B2898" s="205" t="s">
        <v>7865</v>
      </c>
      <c r="C2898" s="205" t="s">
        <v>24</v>
      </c>
      <c r="D2898" s="205" t="s">
        <v>1242</v>
      </c>
      <c r="E2898" s="205" t="s">
        <v>3209</v>
      </c>
      <c r="F2898" s="4" t="s">
        <v>2276</v>
      </c>
      <c r="G2898" s="4" t="s">
        <v>2276</v>
      </c>
      <c r="H2898" s="205" t="s">
        <v>523</v>
      </c>
      <c r="I2898" s="103"/>
      <c r="J2898" s="205" t="s">
        <v>2276</v>
      </c>
      <c r="K2898" s="205" t="s">
        <v>2276</v>
      </c>
      <c r="L2898" s="205" t="s">
        <v>2276</v>
      </c>
      <c r="M2898" s="205" t="s">
        <v>2276</v>
      </c>
      <c r="N2898" s="205" t="s">
        <v>2276</v>
      </c>
      <c r="O2898" s="205" t="s">
        <v>2276</v>
      </c>
      <c r="P2898" s="205" t="s">
        <v>2276</v>
      </c>
      <c r="Q2898" s="205" t="s">
        <v>2276</v>
      </c>
      <c r="R2898" s="205" t="s">
        <v>2276</v>
      </c>
      <c r="S2898" s="205" t="s">
        <v>2276</v>
      </c>
      <c r="T2898" s="205" t="s">
        <v>2276</v>
      </c>
      <c r="U2898" s="205" t="s">
        <v>2276</v>
      </c>
      <c r="V2898" s="205" t="s">
        <v>2276</v>
      </c>
      <c r="W2898" s="205" t="s">
        <v>2276</v>
      </c>
      <c r="X2898" s="205" t="s">
        <v>2276</v>
      </c>
      <c r="Y2898" s="205" t="s">
        <v>2276</v>
      </c>
      <c r="Z2898" s="205" t="s">
        <v>2276</v>
      </c>
      <c r="AA2898" s="205" t="s">
        <v>2276</v>
      </c>
      <c r="AB2898" s="205" t="s">
        <v>2276</v>
      </c>
      <c r="AC2898" s="205"/>
      <c r="AD2898" s="205"/>
    </row>
    <row r="2899" spans="1:30" ht="33.5" customHeight="1">
      <c r="A2899" s="19" t="s">
        <v>7725</v>
      </c>
      <c r="B2899" s="205" t="s">
        <v>7866</v>
      </c>
      <c r="C2899" s="205" t="s">
        <v>24</v>
      </c>
      <c r="D2899" s="205" t="s">
        <v>1242</v>
      </c>
      <c r="E2899" s="205" t="s">
        <v>3209</v>
      </c>
      <c r="F2899" s="4" t="s">
        <v>2276</v>
      </c>
      <c r="G2899" s="4" t="s">
        <v>2276</v>
      </c>
      <c r="H2899" s="205" t="s">
        <v>523</v>
      </c>
      <c r="I2899" s="103"/>
      <c r="J2899" s="205" t="s">
        <v>2276</v>
      </c>
      <c r="K2899" s="205" t="s">
        <v>2276</v>
      </c>
      <c r="L2899" s="205" t="s">
        <v>2276</v>
      </c>
      <c r="M2899" s="205" t="s">
        <v>2276</v>
      </c>
      <c r="N2899" s="205" t="s">
        <v>2276</v>
      </c>
      <c r="O2899" s="205" t="s">
        <v>2276</v>
      </c>
      <c r="P2899" s="205" t="s">
        <v>2276</v>
      </c>
      <c r="Q2899" s="205" t="s">
        <v>2276</v>
      </c>
      <c r="R2899" s="205" t="s">
        <v>2276</v>
      </c>
      <c r="S2899" s="205" t="s">
        <v>2276</v>
      </c>
      <c r="T2899" s="205" t="s">
        <v>2276</v>
      </c>
      <c r="U2899" s="205" t="s">
        <v>2276</v>
      </c>
      <c r="V2899" s="205" t="s">
        <v>2276</v>
      </c>
      <c r="W2899" s="205" t="s">
        <v>2276</v>
      </c>
      <c r="X2899" s="205" t="s">
        <v>2276</v>
      </c>
      <c r="Y2899" s="205" t="s">
        <v>2276</v>
      </c>
      <c r="Z2899" s="205" t="s">
        <v>2276</v>
      </c>
      <c r="AA2899" s="205" t="s">
        <v>2276</v>
      </c>
      <c r="AB2899" s="205" t="s">
        <v>2276</v>
      </c>
      <c r="AC2899" s="205"/>
      <c r="AD2899" s="205"/>
    </row>
    <row r="2900" spans="1:30" ht="33.5" customHeight="1">
      <c r="A2900" s="19" t="s">
        <v>7726</v>
      </c>
      <c r="B2900" s="205" t="s">
        <v>7867</v>
      </c>
      <c r="C2900" s="205" t="s">
        <v>24</v>
      </c>
      <c r="D2900" s="205" t="s">
        <v>1242</v>
      </c>
      <c r="E2900" s="205" t="s">
        <v>3209</v>
      </c>
      <c r="F2900" s="4" t="s">
        <v>2276</v>
      </c>
      <c r="G2900" s="4" t="s">
        <v>2276</v>
      </c>
      <c r="H2900" s="205" t="s">
        <v>523</v>
      </c>
      <c r="I2900" s="103"/>
      <c r="J2900" s="205" t="s">
        <v>2276</v>
      </c>
      <c r="K2900" s="205" t="s">
        <v>2276</v>
      </c>
      <c r="L2900" s="205" t="s">
        <v>2276</v>
      </c>
      <c r="M2900" s="205" t="s">
        <v>2276</v>
      </c>
      <c r="N2900" s="205" t="s">
        <v>2276</v>
      </c>
      <c r="O2900" s="205" t="s">
        <v>2276</v>
      </c>
      <c r="P2900" s="205" t="s">
        <v>2276</v>
      </c>
      <c r="Q2900" s="205" t="s">
        <v>2276</v>
      </c>
      <c r="R2900" s="205" t="s">
        <v>2276</v>
      </c>
      <c r="S2900" s="205" t="s">
        <v>2276</v>
      </c>
      <c r="T2900" s="205" t="s">
        <v>2276</v>
      </c>
      <c r="U2900" s="205" t="s">
        <v>2276</v>
      </c>
      <c r="V2900" s="205" t="s">
        <v>2276</v>
      </c>
      <c r="W2900" s="205" t="s">
        <v>2276</v>
      </c>
      <c r="X2900" s="205" t="s">
        <v>2276</v>
      </c>
      <c r="Y2900" s="205" t="s">
        <v>2276</v>
      </c>
      <c r="Z2900" s="205" t="s">
        <v>2276</v>
      </c>
      <c r="AA2900" s="205" t="s">
        <v>2276</v>
      </c>
      <c r="AB2900" s="205" t="s">
        <v>2276</v>
      </c>
      <c r="AC2900" s="205"/>
      <c r="AD2900" s="205"/>
    </row>
    <row r="2901" spans="1:30" ht="33.5" customHeight="1">
      <c r="A2901" s="19" t="s">
        <v>7727</v>
      </c>
      <c r="B2901" s="205" t="s">
        <v>7868</v>
      </c>
      <c r="C2901" s="205" t="s">
        <v>24</v>
      </c>
      <c r="D2901" s="205" t="s">
        <v>1242</v>
      </c>
      <c r="E2901" s="205" t="s">
        <v>3209</v>
      </c>
      <c r="F2901" s="4" t="s">
        <v>2276</v>
      </c>
      <c r="G2901" s="4" t="s">
        <v>2276</v>
      </c>
      <c r="H2901" s="205" t="s">
        <v>523</v>
      </c>
      <c r="I2901" s="103"/>
      <c r="J2901" s="205" t="s">
        <v>2276</v>
      </c>
      <c r="K2901" s="205" t="s">
        <v>2276</v>
      </c>
      <c r="L2901" s="205" t="s">
        <v>2276</v>
      </c>
      <c r="M2901" s="205" t="s">
        <v>2276</v>
      </c>
      <c r="N2901" s="205" t="s">
        <v>2276</v>
      </c>
      <c r="O2901" s="205" t="s">
        <v>2276</v>
      </c>
      <c r="P2901" s="205" t="s">
        <v>2276</v>
      </c>
      <c r="Q2901" s="205" t="s">
        <v>2276</v>
      </c>
      <c r="R2901" s="205" t="s">
        <v>2276</v>
      </c>
      <c r="S2901" s="205" t="s">
        <v>2276</v>
      </c>
      <c r="T2901" s="205" t="s">
        <v>2276</v>
      </c>
      <c r="U2901" s="205" t="s">
        <v>2276</v>
      </c>
      <c r="V2901" s="205" t="s">
        <v>2276</v>
      </c>
      <c r="W2901" s="205" t="s">
        <v>2276</v>
      </c>
      <c r="X2901" s="205" t="s">
        <v>2276</v>
      </c>
      <c r="Y2901" s="205" t="s">
        <v>2276</v>
      </c>
      <c r="Z2901" s="205" t="s">
        <v>2276</v>
      </c>
      <c r="AA2901" s="205" t="s">
        <v>2276</v>
      </c>
      <c r="AB2901" s="205" t="s">
        <v>2276</v>
      </c>
      <c r="AC2901" s="205"/>
      <c r="AD2901" s="205"/>
    </row>
    <row r="2902" spans="1:30" ht="33.5" customHeight="1">
      <c r="A2902" s="19" t="s">
        <v>7728</v>
      </c>
      <c r="B2902" s="205" t="s">
        <v>7869</v>
      </c>
      <c r="C2902" s="205" t="s">
        <v>24</v>
      </c>
      <c r="D2902" s="205" t="s">
        <v>1242</v>
      </c>
      <c r="E2902" s="205" t="s">
        <v>3209</v>
      </c>
      <c r="F2902" s="4" t="s">
        <v>2276</v>
      </c>
      <c r="G2902" s="4" t="s">
        <v>2276</v>
      </c>
      <c r="H2902" s="205" t="s">
        <v>523</v>
      </c>
      <c r="I2902" s="103"/>
      <c r="J2902" s="205" t="s">
        <v>2276</v>
      </c>
      <c r="K2902" s="205" t="s">
        <v>2276</v>
      </c>
      <c r="L2902" s="205" t="s">
        <v>2276</v>
      </c>
      <c r="M2902" s="205" t="s">
        <v>2276</v>
      </c>
      <c r="N2902" s="205" t="s">
        <v>2276</v>
      </c>
      <c r="O2902" s="205" t="s">
        <v>2276</v>
      </c>
      <c r="P2902" s="205" t="s">
        <v>2276</v>
      </c>
      <c r="Q2902" s="205" t="s">
        <v>2276</v>
      </c>
      <c r="R2902" s="205" t="s">
        <v>2276</v>
      </c>
      <c r="S2902" s="205" t="s">
        <v>2276</v>
      </c>
      <c r="T2902" s="205" t="s">
        <v>2276</v>
      </c>
      <c r="U2902" s="205" t="s">
        <v>2276</v>
      </c>
      <c r="V2902" s="205" t="s">
        <v>2276</v>
      </c>
      <c r="W2902" s="205" t="s">
        <v>2276</v>
      </c>
      <c r="X2902" s="205" t="s">
        <v>2276</v>
      </c>
      <c r="Y2902" s="205" t="s">
        <v>2276</v>
      </c>
      <c r="Z2902" s="205" t="s">
        <v>2276</v>
      </c>
      <c r="AA2902" s="205" t="s">
        <v>2276</v>
      </c>
      <c r="AB2902" s="205" t="s">
        <v>2276</v>
      </c>
      <c r="AC2902" s="205"/>
      <c r="AD2902" s="205"/>
    </row>
    <row r="2903" spans="1:30" ht="33.5" customHeight="1">
      <c r="A2903" s="19" t="s">
        <v>7729</v>
      </c>
      <c r="B2903" s="205" t="s">
        <v>7870</v>
      </c>
      <c r="C2903" s="205" t="s">
        <v>24</v>
      </c>
      <c r="D2903" s="205" t="s">
        <v>1242</v>
      </c>
      <c r="E2903" s="205" t="s">
        <v>3209</v>
      </c>
      <c r="F2903" s="4" t="s">
        <v>2276</v>
      </c>
      <c r="G2903" s="4" t="s">
        <v>2276</v>
      </c>
      <c r="H2903" s="205" t="s">
        <v>523</v>
      </c>
      <c r="I2903" s="103"/>
      <c r="J2903" s="205" t="s">
        <v>2276</v>
      </c>
      <c r="K2903" s="205" t="s">
        <v>2276</v>
      </c>
      <c r="L2903" s="205" t="s">
        <v>2276</v>
      </c>
      <c r="M2903" s="205" t="s">
        <v>2276</v>
      </c>
      <c r="N2903" s="205" t="s">
        <v>2276</v>
      </c>
      <c r="O2903" s="205" t="s">
        <v>2276</v>
      </c>
      <c r="P2903" s="205" t="s">
        <v>2276</v>
      </c>
      <c r="Q2903" s="205" t="s">
        <v>2276</v>
      </c>
      <c r="R2903" s="205" t="s">
        <v>2276</v>
      </c>
      <c r="S2903" s="205" t="s">
        <v>2276</v>
      </c>
      <c r="T2903" s="205" t="s">
        <v>2276</v>
      </c>
      <c r="U2903" s="205" t="s">
        <v>2276</v>
      </c>
      <c r="V2903" s="205" t="s">
        <v>2276</v>
      </c>
      <c r="W2903" s="205" t="s">
        <v>2276</v>
      </c>
      <c r="X2903" s="205" t="s">
        <v>2276</v>
      </c>
      <c r="Y2903" s="205" t="s">
        <v>2276</v>
      </c>
      <c r="Z2903" s="205" t="s">
        <v>2276</v>
      </c>
      <c r="AA2903" s="205" t="s">
        <v>2276</v>
      </c>
      <c r="AB2903" s="205" t="s">
        <v>2276</v>
      </c>
      <c r="AC2903" s="205"/>
      <c r="AD2903" s="205"/>
    </row>
    <row r="2904" spans="1:30" ht="33.5" customHeight="1">
      <c r="A2904" s="19" t="s">
        <v>7730</v>
      </c>
      <c r="B2904" s="205" t="s">
        <v>7871</v>
      </c>
      <c r="C2904" s="205" t="s">
        <v>24</v>
      </c>
      <c r="D2904" s="205" t="s">
        <v>1242</v>
      </c>
      <c r="E2904" s="205" t="s">
        <v>3209</v>
      </c>
      <c r="F2904" s="4" t="s">
        <v>2276</v>
      </c>
      <c r="G2904" s="4" t="s">
        <v>2276</v>
      </c>
      <c r="H2904" s="205" t="s">
        <v>523</v>
      </c>
      <c r="I2904" s="103"/>
      <c r="J2904" s="205" t="s">
        <v>2276</v>
      </c>
      <c r="K2904" s="205" t="s">
        <v>2276</v>
      </c>
      <c r="L2904" s="205" t="s">
        <v>2276</v>
      </c>
      <c r="M2904" s="205" t="s">
        <v>2276</v>
      </c>
      <c r="N2904" s="205" t="s">
        <v>2276</v>
      </c>
      <c r="O2904" s="205" t="s">
        <v>2276</v>
      </c>
      <c r="P2904" s="205" t="s">
        <v>2276</v>
      </c>
      <c r="Q2904" s="205" t="s">
        <v>2276</v>
      </c>
      <c r="R2904" s="205" t="s">
        <v>2276</v>
      </c>
      <c r="S2904" s="205" t="s">
        <v>2276</v>
      </c>
      <c r="T2904" s="205" t="s">
        <v>2276</v>
      </c>
      <c r="U2904" s="205" t="s">
        <v>2276</v>
      </c>
      <c r="V2904" s="205" t="s">
        <v>2276</v>
      </c>
      <c r="W2904" s="205" t="s">
        <v>2276</v>
      </c>
      <c r="X2904" s="205" t="s">
        <v>2276</v>
      </c>
      <c r="Y2904" s="205" t="s">
        <v>2276</v>
      </c>
      <c r="Z2904" s="205" t="s">
        <v>2276</v>
      </c>
      <c r="AA2904" s="205" t="s">
        <v>2276</v>
      </c>
      <c r="AB2904" s="205" t="s">
        <v>2276</v>
      </c>
      <c r="AC2904" s="205"/>
      <c r="AD2904" s="205"/>
    </row>
    <row r="2905" spans="1:30" ht="33.5" customHeight="1">
      <c r="A2905" s="19" t="s">
        <v>7731</v>
      </c>
      <c r="B2905" s="205" t="s">
        <v>7872</v>
      </c>
      <c r="C2905" s="205" t="s">
        <v>24</v>
      </c>
      <c r="D2905" s="205" t="s">
        <v>1242</v>
      </c>
      <c r="E2905" s="205" t="s">
        <v>3209</v>
      </c>
      <c r="F2905" s="4" t="s">
        <v>2276</v>
      </c>
      <c r="G2905" s="4" t="s">
        <v>2276</v>
      </c>
      <c r="H2905" s="205" t="s">
        <v>523</v>
      </c>
      <c r="I2905" s="103"/>
      <c r="J2905" s="205" t="s">
        <v>2276</v>
      </c>
      <c r="K2905" s="205" t="s">
        <v>2276</v>
      </c>
      <c r="L2905" s="205" t="s">
        <v>2276</v>
      </c>
      <c r="M2905" s="205" t="s">
        <v>2276</v>
      </c>
      <c r="N2905" s="205" t="s">
        <v>2276</v>
      </c>
      <c r="O2905" s="205" t="s">
        <v>2276</v>
      </c>
      <c r="P2905" s="205" t="s">
        <v>2276</v>
      </c>
      <c r="Q2905" s="205" t="s">
        <v>2276</v>
      </c>
      <c r="R2905" s="205" t="s">
        <v>2276</v>
      </c>
      <c r="S2905" s="205" t="s">
        <v>2276</v>
      </c>
      <c r="T2905" s="205" t="s">
        <v>2276</v>
      </c>
      <c r="U2905" s="205" t="s">
        <v>2276</v>
      </c>
      <c r="V2905" s="205" t="s">
        <v>2276</v>
      </c>
      <c r="W2905" s="205" t="s">
        <v>2276</v>
      </c>
      <c r="X2905" s="205" t="s">
        <v>2276</v>
      </c>
      <c r="Y2905" s="205" t="s">
        <v>2276</v>
      </c>
      <c r="Z2905" s="205" t="s">
        <v>2276</v>
      </c>
      <c r="AA2905" s="205" t="s">
        <v>2276</v>
      </c>
      <c r="AB2905" s="205" t="s">
        <v>2276</v>
      </c>
      <c r="AC2905" s="205"/>
      <c r="AD2905" s="205"/>
    </row>
    <row r="2906" spans="1:30" ht="33.5" customHeight="1">
      <c r="A2906" s="19" t="s">
        <v>7732</v>
      </c>
      <c r="B2906" s="205" t="s">
        <v>7873</v>
      </c>
      <c r="C2906" s="205" t="s">
        <v>24</v>
      </c>
      <c r="D2906" s="205" t="s">
        <v>1242</v>
      </c>
      <c r="E2906" s="205" t="s">
        <v>3209</v>
      </c>
      <c r="F2906" s="4" t="s">
        <v>2276</v>
      </c>
      <c r="G2906" s="4" t="s">
        <v>2276</v>
      </c>
      <c r="H2906" s="205" t="s">
        <v>523</v>
      </c>
      <c r="I2906" s="103"/>
      <c r="J2906" s="205" t="s">
        <v>2276</v>
      </c>
      <c r="K2906" s="205" t="s">
        <v>2276</v>
      </c>
      <c r="L2906" s="205" t="s">
        <v>2276</v>
      </c>
      <c r="M2906" s="205" t="s">
        <v>2276</v>
      </c>
      <c r="N2906" s="205" t="s">
        <v>2276</v>
      </c>
      <c r="O2906" s="205" t="s">
        <v>2276</v>
      </c>
      <c r="P2906" s="205" t="s">
        <v>2276</v>
      </c>
      <c r="Q2906" s="205" t="s">
        <v>2276</v>
      </c>
      <c r="R2906" s="205" t="s">
        <v>2276</v>
      </c>
      <c r="S2906" s="205" t="s">
        <v>2276</v>
      </c>
      <c r="T2906" s="205" t="s">
        <v>2276</v>
      </c>
      <c r="U2906" s="205" t="s">
        <v>2276</v>
      </c>
      <c r="V2906" s="205" t="s">
        <v>2276</v>
      </c>
      <c r="W2906" s="205" t="s">
        <v>2276</v>
      </c>
      <c r="X2906" s="205" t="s">
        <v>2276</v>
      </c>
      <c r="Y2906" s="205" t="s">
        <v>2276</v>
      </c>
      <c r="Z2906" s="205" t="s">
        <v>2276</v>
      </c>
      <c r="AA2906" s="205" t="s">
        <v>2276</v>
      </c>
      <c r="AB2906" s="205" t="s">
        <v>2276</v>
      </c>
      <c r="AC2906" s="205"/>
      <c r="AD2906" s="205"/>
    </row>
    <row r="2907" spans="1:30" ht="33.5" customHeight="1">
      <c r="A2907" s="19" t="s">
        <v>7733</v>
      </c>
      <c r="B2907" s="205" t="s">
        <v>7874</v>
      </c>
      <c r="C2907" s="205" t="s">
        <v>24</v>
      </c>
      <c r="D2907" s="205" t="s">
        <v>1242</v>
      </c>
      <c r="E2907" s="205" t="s">
        <v>3209</v>
      </c>
      <c r="F2907" s="4" t="s">
        <v>2276</v>
      </c>
      <c r="G2907" s="4" t="s">
        <v>2276</v>
      </c>
      <c r="H2907" s="205" t="s">
        <v>523</v>
      </c>
      <c r="I2907" s="103"/>
      <c r="J2907" s="205" t="s">
        <v>2276</v>
      </c>
      <c r="K2907" s="205" t="s">
        <v>2276</v>
      </c>
      <c r="L2907" s="205" t="s">
        <v>2276</v>
      </c>
      <c r="M2907" s="205" t="s">
        <v>2276</v>
      </c>
      <c r="N2907" s="205" t="s">
        <v>2276</v>
      </c>
      <c r="O2907" s="205" t="s">
        <v>2276</v>
      </c>
      <c r="P2907" s="205" t="s">
        <v>2276</v>
      </c>
      <c r="Q2907" s="205" t="s">
        <v>2276</v>
      </c>
      <c r="R2907" s="205" t="s">
        <v>2276</v>
      </c>
      <c r="S2907" s="205" t="s">
        <v>2276</v>
      </c>
      <c r="T2907" s="205" t="s">
        <v>2276</v>
      </c>
      <c r="U2907" s="205" t="s">
        <v>2276</v>
      </c>
      <c r="V2907" s="205" t="s">
        <v>2276</v>
      </c>
      <c r="W2907" s="205" t="s">
        <v>2276</v>
      </c>
      <c r="X2907" s="205" t="s">
        <v>2276</v>
      </c>
      <c r="Y2907" s="205" t="s">
        <v>2276</v>
      </c>
      <c r="Z2907" s="205" t="s">
        <v>2276</v>
      </c>
      <c r="AA2907" s="205" t="s">
        <v>2276</v>
      </c>
      <c r="AB2907" s="205" t="s">
        <v>2276</v>
      </c>
      <c r="AC2907" s="205"/>
      <c r="AD2907" s="205"/>
    </row>
    <row r="2908" spans="1:30" ht="33.5" customHeight="1">
      <c r="A2908" s="19" t="s">
        <v>7734</v>
      </c>
      <c r="B2908" s="205" t="s">
        <v>7875</v>
      </c>
      <c r="C2908" s="205" t="s">
        <v>24</v>
      </c>
      <c r="D2908" s="205" t="s">
        <v>1242</v>
      </c>
      <c r="E2908" s="205" t="s">
        <v>3209</v>
      </c>
      <c r="F2908" s="4" t="s">
        <v>2276</v>
      </c>
      <c r="G2908" s="4" t="s">
        <v>2276</v>
      </c>
      <c r="H2908" s="205" t="s">
        <v>523</v>
      </c>
      <c r="I2908" s="103"/>
      <c r="J2908" s="205" t="s">
        <v>2276</v>
      </c>
      <c r="K2908" s="205" t="s">
        <v>2276</v>
      </c>
      <c r="L2908" s="205" t="s">
        <v>2276</v>
      </c>
      <c r="M2908" s="205" t="s">
        <v>2276</v>
      </c>
      <c r="N2908" s="205" t="s">
        <v>2276</v>
      </c>
      <c r="O2908" s="205" t="s">
        <v>2276</v>
      </c>
      <c r="P2908" s="205" t="s">
        <v>2276</v>
      </c>
      <c r="Q2908" s="205" t="s">
        <v>2276</v>
      </c>
      <c r="R2908" s="205" t="s">
        <v>2276</v>
      </c>
      <c r="S2908" s="205" t="s">
        <v>2276</v>
      </c>
      <c r="T2908" s="205" t="s">
        <v>2276</v>
      </c>
      <c r="U2908" s="205" t="s">
        <v>2276</v>
      </c>
      <c r="V2908" s="205" t="s">
        <v>2276</v>
      </c>
      <c r="W2908" s="205" t="s">
        <v>2276</v>
      </c>
      <c r="X2908" s="205" t="s">
        <v>2276</v>
      </c>
      <c r="Y2908" s="205" t="s">
        <v>2276</v>
      </c>
      <c r="Z2908" s="205" t="s">
        <v>2276</v>
      </c>
      <c r="AA2908" s="205" t="s">
        <v>2276</v>
      </c>
      <c r="AB2908" s="205" t="s">
        <v>2276</v>
      </c>
      <c r="AC2908" s="205"/>
      <c r="AD2908" s="205"/>
    </row>
    <row r="2909" spans="1:30" ht="33.5" customHeight="1">
      <c r="A2909" s="19" t="s">
        <v>7735</v>
      </c>
      <c r="B2909" s="205" t="s">
        <v>7876</v>
      </c>
      <c r="C2909" s="205" t="s">
        <v>24</v>
      </c>
      <c r="D2909" s="205" t="s">
        <v>1242</v>
      </c>
      <c r="E2909" s="205" t="s">
        <v>3209</v>
      </c>
      <c r="F2909" s="4" t="s">
        <v>2276</v>
      </c>
      <c r="G2909" s="4" t="s">
        <v>2276</v>
      </c>
      <c r="H2909" s="205" t="s">
        <v>523</v>
      </c>
      <c r="I2909" s="103"/>
      <c r="J2909" s="205" t="s">
        <v>2276</v>
      </c>
      <c r="K2909" s="205" t="s">
        <v>2276</v>
      </c>
      <c r="L2909" s="205" t="s">
        <v>2276</v>
      </c>
      <c r="M2909" s="205" t="s">
        <v>2276</v>
      </c>
      <c r="N2909" s="205" t="s">
        <v>2276</v>
      </c>
      <c r="O2909" s="205" t="s">
        <v>2276</v>
      </c>
      <c r="P2909" s="205" t="s">
        <v>2276</v>
      </c>
      <c r="Q2909" s="205" t="s">
        <v>2276</v>
      </c>
      <c r="R2909" s="205" t="s">
        <v>2276</v>
      </c>
      <c r="S2909" s="205" t="s">
        <v>2276</v>
      </c>
      <c r="T2909" s="205" t="s">
        <v>2276</v>
      </c>
      <c r="U2909" s="205" t="s">
        <v>2276</v>
      </c>
      <c r="V2909" s="205" t="s">
        <v>2276</v>
      </c>
      <c r="W2909" s="205" t="s">
        <v>2276</v>
      </c>
      <c r="X2909" s="205" t="s">
        <v>2276</v>
      </c>
      <c r="Y2909" s="205" t="s">
        <v>2276</v>
      </c>
      <c r="Z2909" s="205" t="s">
        <v>2276</v>
      </c>
      <c r="AA2909" s="205" t="s">
        <v>2276</v>
      </c>
      <c r="AB2909" s="205" t="s">
        <v>2276</v>
      </c>
      <c r="AC2909" s="205"/>
      <c r="AD2909" s="205"/>
    </row>
    <row r="2910" spans="1:30" ht="33.5" customHeight="1">
      <c r="A2910" s="19" t="s">
        <v>7736</v>
      </c>
      <c r="B2910" s="205" t="s">
        <v>7877</v>
      </c>
      <c r="C2910" s="205" t="s">
        <v>24</v>
      </c>
      <c r="D2910" s="205" t="s">
        <v>1242</v>
      </c>
      <c r="E2910" s="205" t="s">
        <v>3209</v>
      </c>
      <c r="F2910" s="4" t="s">
        <v>2276</v>
      </c>
      <c r="G2910" s="4" t="s">
        <v>2276</v>
      </c>
      <c r="H2910" s="205" t="s">
        <v>523</v>
      </c>
      <c r="I2910" s="103"/>
      <c r="J2910" s="205" t="s">
        <v>2276</v>
      </c>
      <c r="K2910" s="205" t="s">
        <v>2276</v>
      </c>
      <c r="L2910" s="205" t="s">
        <v>2276</v>
      </c>
      <c r="M2910" s="205" t="s">
        <v>2276</v>
      </c>
      <c r="N2910" s="205" t="s">
        <v>2276</v>
      </c>
      <c r="O2910" s="205" t="s">
        <v>2276</v>
      </c>
      <c r="P2910" s="205" t="s">
        <v>2276</v>
      </c>
      <c r="Q2910" s="205" t="s">
        <v>2276</v>
      </c>
      <c r="R2910" s="205" t="s">
        <v>2276</v>
      </c>
      <c r="S2910" s="205" t="s">
        <v>2276</v>
      </c>
      <c r="T2910" s="205" t="s">
        <v>2276</v>
      </c>
      <c r="U2910" s="205" t="s">
        <v>2276</v>
      </c>
      <c r="V2910" s="205" t="s">
        <v>2276</v>
      </c>
      <c r="W2910" s="205" t="s">
        <v>2276</v>
      </c>
      <c r="X2910" s="205" t="s">
        <v>2276</v>
      </c>
      <c r="Y2910" s="205" t="s">
        <v>2276</v>
      </c>
      <c r="Z2910" s="205" t="s">
        <v>2276</v>
      </c>
      <c r="AA2910" s="205" t="s">
        <v>2276</v>
      </c>
      <c r="AB2910" s="205" t="s">
        <v>2276</v>
      </c>
      <c r="AC2910" s="205"/>
      <c r="AD2910" s="205"/>
    </row>
    <row r="2911" spans="1:30" ht="33.5" customHeight="1">
      <c r="A2911" s="19" t="s">
        <v>7737</v>
      </c>
      <c r="B2911" s="205" t="s">
        <v>7878</v>
      </c>
      <c r="C2911" s="205" t="s">
        <v>24</v>
      </c>
      <c r="D2911" s="205" t="s">
        <v>1242</v>
      </c>
      <c r="E2911" s="205" t="s">
        <v>3209</v>
      </c>
      <c r="F2911" s="4" t="s">
        <v>2276</v>
      </c>
      <c r="G2911" s="4" t="s">
        <v>2276</v>
      </c>
      <c r="H2911" s="205" t="s">
        <v>523</v>
      </c>
      <c r="I2911" s="103"/>
      <c r="J2911" s="205" t="s">
        <v>2276</v>
      </c>
      <c r="K2911" s="205" t="s">
        <v>2276</v>
      </c>
      <c r="L2911" s="205" t="s">
        <v>2276</v>
      </c>
      <c r="M2911" s="205" t="s">
        <v>2276</v>
      </c>
      <c r="N2911" s="205" t="s">
        <v>2276</v>
      </c>
      <c r="O2911" s="205" t="s">
        <v>2276</v>
      </c>
      <c r="P2911" s="205" t="s">
        <v>2276</v>
      </c>
      <c r="Q2911" s="205" t="s">
        <v>2276</v>
      </c>
      <c r="R2911" s="205" t="s">
        <v>2276</v>
      </c>
      <c r="S2911" s="205" t="s">
        <v>2276</v>
      </c>
      <c r="T2911" s="205" t="s">
        <v>2276</v>
      </c>
      <c r="U2911" s="205" t="s">
        <v>2276</v>
      </c>
      <c r="V2911" s="205" t="s">
        <v>2276</v>
      </c>
      <c r="W2911" s="205" t="s">
        <v>2276</v>
      </c>
      <c r="X2911" s="205" t="s">
        <v>2276</v>
      </c>
      <c r="Y2911" s="205" t="s">
        <v>2276</v>
      </c>
      <c r="Z2911" s="205" t="s">
        <v>2276</v>
      </c>
      <c r="AA2911" s="205" t="s">
        <v>2276</v>
      </c>
      <c r="AB2911" s="205" t="s">
        <v>2276</v>
      </c>
      <c r="AC2911" s="205"/>
      <c r="AD2911" s="205"/>
    </row>
    <row r="2912" spans="1:30" ht="33.5" customHeight="1">
      <c r="A2912" s="19" t="s">
        <v>7738</v>
      </c>
      <c r="B2912" s="205" t="s">
        <v>7879</v>
      </c>
      <c r="C2912" s="205" t="s">
        <v>24</v>
      </c>
      <c r="D2912" s="205" t="s">
        <v>1242</v>
      </c>
      <c r="E2912" s="205" t="s">
        <v>3209</v>
      </c>
      <c r="F2912" s="4" t="s">
        <v>2276</v>
      </c>
      <c r="G2912" s="4" t="s">
        <v>2276</v>
      </c>
      <c r="H2912" s="205" t="s">
        <v>523</v>
      </c>
      <c r="I2912" s="103"/>
      <c r="J2912" s="205" t="s">
        <v>2276</v>
      </c>
      <c r="K2912" s="205" t="s">
        <v>2276</v>
      </c>
      <c r="L2912" s="205" t="s">
        <v>2276</v>
      </c>
      <c r="M2912" s="205" t="s">
        <v>2276</v>
      </c>
      <c r="N2912" s="205" t="s">
        <v>2276</v>
      </c>
      <c r="O2912" s="205" t="s">
        <v>2276</v>
      </c>
      <c r="P2912" s="205" t="s">
        <v>2276</v>
      </c>
      <c r="Q2912" s="205" t="s">
        <v>2276</v>
      </c>
      <c r="R2912" s="205" t="s">
        <v>2276</v>
      </c>
      <c r="S2912" s="205" t="s">
        <v>2276</v>
      </c>
      <c r="T2912" s="205" t="s">
        <v>2276</v>
      </c>
      <c r="U2912" s="205" t="s">
        <v>2276</v>
      </c>
      <c r="V2912" s="205" t="s">
        <v>2276</v>
      </c>
      <c r="W2912" s="205" t="s">
        <v>2276</v>
      </c>
      <c r="X2912" s="205" t="s">
        <v>2276</v>
      </c>
      <c r="Y2912" s="205" t="s">
        <v>2276</v>
      </c>
      <c r="Z2912" s="205" t="s">
        <v>2276</v>
      </c>
      <c r="AA2912" s="205" t="s">
        <v>2276</v>
      </c>
      <c r="AB2912" s="205" t="s">
        <v>2276</v>
      </c>
      <c r="AC2912" s="205"/>
      <c r="AD2912" s="205"/>
    </row>
    <row r="2913" spans="1:30" ht="33.5" customHeight="1">
      <c r="A2913" s="19" t="s">
        <v>7739</v>
      </c>
      <c r="B2913" s="205" t="s">
        <v>7880</v>
      </c>
      <c r="C2913" s="205" t="s">
        <v>24</v>
      </c>
      <c r="D2913" s="205" t="s">
        <v>1242</v>
      </c>
      <c r="E2913" s="205" t="s">
        <v>3209</v>
      </c>
      <c r="F2913" s="4" t="s">
        <v>2276</v>
      </c>
      <c r="G2913" s="4" t="s">
        <v>2276</v>
      </c>
      <c r="H2913" s="205" t="s">
        <v>523</v>
      </c>
      <c r="I2913" s="103"/>
      <c r="J2913" s="205" t="s">
        <v>2276</v>
      </c>
      <c r="K2913" s="205" t="s">
        <v>2276</v>
      </c>
      <c r="L2913" s="205" t="s">
        <v>2276</v>
      </c>
      <c r="M2913" s="205" t="s">
        <v>2276</v>
      </c>
      <c r="N2913" s="205" t="s">
        <v>2276</v>
      </c>
      <c r="O2913" s="205" t="s">
        <v>2276</v>
      </c>
      <c r="P2913" s="205" t="s">
        <v>2276</v>
      </c>
      <c r="Q2913" s="205" t="s">
        <v>2276</v>
      </c>
      <c r="R2913" s="205" t="s">
        <v>2276</v>
      </c>
      <c r="S2913" s="205" t="s">
        <v>2276</v>
      </c>
      <c r="T2913" s="205" t="s">
        <v>2276</v>
      </c>
      <c r="U2913" s="205" t="s">
        <v>2276</v>
      </c>
      <c r="V2913" s="205" t="s">
        <v>2276</v>
      </c>
      <c r="W2913" s="205" t="s">
        <v>2276</v>
      </c>
      <c r="X2913" s="205" t="s">
        <v>2276</v>
      </c>
      <c r="Y2913" s="205" t="s">
        <v>2276</v>
      </c>
      <c r="Z2913" s="205" t="s">
        <v>2276</v>
      </c>
      <c r="AA2913" s="205" t="s">
        <v>2276</v>
      </c>
      <c r="AB2913" s="205" t="s">
        <v>2276</v>
      </c>
      <c r="AC2913" s="205"/>
      <c r="AD2913" s="205"/>
    </row>
    <row r="2914" spans="1:30" ht="33.5" customHeight="1">
      <c r="A2914" s="19" t="s">
        <v>7740</v>
      </c>
      <c r="B2914" s="205" t="s">
        <v>7881</v>
      </c>
      <c r="C2914" s="205" t="s">
        <v>24</v>
      </c>
      <c r="D2914" s="205" t="s">
        <v>1242</v>
      </c>
      <c r="E2914" s="205" t="s">
        <v>3209</v>
      </c>
      <c r="F2914" s="4" t="s">
        <v>2276</v>
      </c>
      <c r="G2914" s="4" t="s">
        <v>2276</v>
      </c>
      <c r="H2914" s="205" t="s">
        <v>523</v>
      </c>
      <c r="I2914" s="103"/>
      <c r="J2914" s="205" t="s">
        <v>2276</v>
      </c>
      <c r="K2914" s="205" t="s">
        <v>2276</v>
      </c>
      <c r="L2914" s="205" t="s">
        <v>2276</v>
      </c>
      <c r="M2914" s="205" t="s">
        <v>2276</v>
      </c>
      <c r="N2914" s="205" t="s">
        <v>2276</v>
      </c>
      <c r="O2914" s="205" t="s">
        <v>2276</v>
      </c>
      <c r="P2914" s="205" t="s">
        <v>2276</v>
      </c>
      <c r="Q2914" s="205" t="s">
        <v>2276</v>
      </c>
      <c r="R2914" s="205" t="s">
        <v>2276</v>
      </c>
      <c r="S2914" s="205" t="s">
        <v>2276</v>
      </c>
      <c r="T2914" s="205" t="s">
        <v>2276</v>
      </c>
      <c r="U2914" s="205" t="s">
        <v>2276</v>
      </c>
      <c r="V2914" s="205" t="s">
        <v>2276</v>
      </c>
      <c r="W2914" s="205" t="s">
        <v>2276</v>
      </c>
      <c r="X2914" s="205" t="s">
        <v>2276</v>
      </c>
      <c r="Y2914" s="205" t="s">
        <v>2276</v>
      </c>
      <c r="Z2914" s="205" t="s">
        <v>2276</v>
      </c>
      <c r="AA2914" s="205" t="s">
        <v>2276</v>
      </c>
      <c r="AB2914" s="205" t="s">
        <v>2276</v>
      </c>
      <c r="AC2914" s="205"/>
      <c r="AD2914" s="205"/>
    </row>
    <row r="2915" spans="1:30" ht="33.5" customHeight="1">
      <c r="A2915" s="19" t="s">
        <v>7741</v>
      </c>
      <c r="B2915" s="205" t="s">
        <v>7882</v>
      </c>
      <c r="C2915" s="205" t="s">
        <v>24</v>
      </c>
      <c r="D2915" s="205" t="s">
        <v>1242</v>
      </c>
      <c r="E2915" s="205" t="s">
        <v>3209</v>
      </c>
      <c r="F2915" s="4" t="s">
        <v>2276</v>
      </c>
      <c r="G2915" s="4" t="s">
        <v>2276</v>
      </c>
      <c r="H2915" s="205" t="s">
        <v>523</v>
      </c>
      <c r="I2915" s="103"/>
      <c r="J2915" s="205" t="s">
        <v>2276</v>
      </c>
      <c r="K2915" s="205" t="s">
        <v>2276</v>
      </c>
      <c r="L2915" s="205" t="s">
        <v>2276</v>
      </c>
      <c r="M2915" s="205" t="s">
        <v>2276</v>
      </c>
      <c r="N2915" s="205" t="s">
        <v>2276</v>
      </c>
      <c r="O2915" s="205" t="s">
        <v>2276</v>
      </c>
      <c r="P2915" s="205" t="s">
        <v>2276</v>
      </c>
      <c r="Q2915" s="205" t="s">
        <v>2276</v>
      </c>
      <c r="R2915" s="205" t="s">
        <v>2276</v>
      </c>
      <c r="S2915" s="205" t="s">
        <v>2276</v>
      </c>
      <c r="T2915" s="205" t="s">
        <v>2276</v>
      </c>
      <c r="U2915" s="205" t="s">
        <v>2276</v>
      </c>
      <c r="V2915" s="205" t="s">
        <v>2276</v>
      </c>
      <c r="W2915" s="205" t="s">
        <v>2276</v>
      </c>
      <c r="X2915" s="205" t="s">
        <v>2276</v>
      </c>
      <c r="Y2915" s="205" t="s">
        <v>2276</v>
      </c>
      <c r="Z2915" s="205" t="s">
        <v>2276</v>
      </c>
      <c r="AA2915" s="205" t="s">
        <v>2276</v>
      </c>
      <c r="AB2915" s="205" t="s">
        <v>2276</v>
      </c>
      <c r="AC2915" s="205"/>
      <c r="AD2915" s="205"/>
    </row>
    <row r="2916" spans="1:30" ht="33.5" customHeight="1">
      <c r="A2916" s="19" t="s">
        <v>7742</v>
      </c>
      <c r="B2916" s="205" t="s">
        <v>7883</v>
      </c>
      <c r="C2916" s="205" t="s">
        <v>24</v>
      </c>
      <c r="D2916" s="205" t="s">
        <v>1242</v>
      </c>
      <c r="E2916" s="205" t="s">
        <v>3209</v>
      </c>
      <c r="F2916" s="4" t="s">
        <v>2276</v>
      </c>
      <c r="G2916" s="4" t="s">
        <v>2276</v>
      </c>
      <c r="H2916" s="205" t="s">
        <v>523</v>
      </c>
      <c r="I2916" s="103"/>
      <c r="J2916" s="205" t="s">
        <v>2276</v>
      </c>
      <c r="K2916" s="205" t="s">
        <v>2276</v>
      </c>
      <c r="L2916" s="205" t="s">
        <v>2276</v>
      </c>
      <c r="M2916" s="205" t="s">
        <v>2276</v>
      </c>
      <c r="N2916" s="205" t="s">
        <v>2276</v>
      </c>
      <c r="O2916" s="205" t="s">
        <v>2276</v>
      </c>
      <c r="P2916" s="205" t="s">
        <v>2276</v>
      </c>
      <c r="Q2916" s="205" t="s">
        <v>2276</v>
      </c>
      <c r="R2916" s="205" t="s">
        <v>2276</v>
      </c>
      <c r="S2916" s="205" t="s">
        <v>2276</v>
      </c>
      <c r="T2916" s="205" t="s">
        <v>2276</v>
      </c>
      <c r="U2916" s="205" t="s">
        <v>2276</v>
      </c>
      <c r="V2916" s="205" t="s">
        <v>2276</v>
      </c>
      <c r="W2916" s="205" t="s">
        <v>2276</v>
      </c>
      <c r="X2916" s="205" t="s">
        <v>2276</v>
      </c>
      <c r="Y2916" s="205" t="s">
        <v>2276</v>
      </c>
      <c r="Z2916" s="205" t="s">
        <v>2276</v>
      </c>
      <c r="AA2916" s="205" t="s">
        <v>2276</v>
      </c>
      <c r="AB2916" s="205" t="s">
        <v>2276</v>
      </c>
      <c r="AC2916" s="205"/>
      <c r="AD2916" s="205"/>
    </row>
    <row r="2917" spans="1:30" ht="33.5" customHeight="1">
      <c r="A2917" s="19" t="s">
        <v>7743</v>
      </c>
      <c r="B2917" s="205" t="s">
        <v>7884</v>
      </c>
      <c r="C2917" s="205" t="s">
        <v>24</v>
      </c>
      <c r="D2917" s="205" t="s">
        <v>1242</v>
      </c>
      <c r="E2917" s="205" t="s">
        <v>3209</v>
      </c>
      <c r="F2917" s="4" t="s">
        <v>2276</v>
      </c>
      <c r="G2917" s="4" t="s">
        <v>2276</v>
      </c>
      <c r="H2917" s="205" t="s">
        <v>523</v>
      </c>
      <c r="I2917" s="103"/>
      <c r="J2917" s="205" t="s">
        <v>2276</v>
      </c>
      <c r="K2917" s="205" t="s">
        <v>2276</v>
      </c>
      <c r="L2917" s="205" t="s">
        <v>2276</v>
      </c>
      <c r="M2917" s="205" t="s">
        <v>2276</v>
      </c>
      <c r="N2917" s="205" t="s">
        <v>2276</v>
      </c>
      <c r="O2917" s="205" t="s">
        <v>2276</v>
      </c>
      <c r="P2917" s="205" t="s">
        <v>2276</v>
      </c>
      <c r="Q2917" s="205" t="s">
        <v>2276</v>
      </c>
      <c r="R2917" s="205" t="s">
        <v>2276</v>
      </c>
      <c r="S2917" s="205" t="s">
        <v>2276</v>
      </c>
      <c r="T2917" s="205" t="s">
        <v>2276</v>
      </c>
      <c r="U2917" s="205" t="s">
        <v>2276</v>
      </c>
      <c r="V2917" s="205" t="s">
        <v>2276</v>
      </c>
      <c r="W2917" s="205" t="s">
        <v>2276</v>
      </c>
      <c r="X2917" s="205" t="s">
        <v>2276</v>
      </c>
      <c r="Y2917" s="205" t="s">
        <v>2276</v>
      </c>
      <c r="Z2917" s="205" t="s">
        <v>2276</v>
      </c>
      <c r="AA2917" s="205" t="s">
        <v>2276</v>
      </c>
      <c r="AB2917" s="205" t="s">
        <v>2276</v>
      </c>
      <c r="AC2917" s="205"/>
      <c r="AD2917" s="205"/>
    </row>
    <row r="2918" spans="1:30" ht="33.5" customHeight="1">
      <c r="A2918" s="19" t="s">
        <v>7744</v>
      </c>
      <c r="B2918" s="205" t="s">
        <v>7885</v>
      </c>
      <c r="C2918" s="205" t="s">
        <v>24</v>
      </c>
      <c r="D2918" s="205" t="s">
        <v>1242</v>
      </c>
      <c r="E2918" s="205" t="s">
        <v>3209</v>
      </c>
      <c r="F2918" s="4" t="s">
        <v>2276</v>
      </c>
      <c r="G2918" s="4" t="s">
        <v>2276</v>
      </c>
      <c r="H2918" s="205" t="s">
        <v>523</v>
      </c>
      <c r="I2918" s="103"/>
      <c r="J2918" s="205" t="s">
        <v>2276</v>
      </c>
      <c r="K2918" s="205" t="s">
        <v>2276</v>
      </c>
      <c r="L2918" s="205" t="s">
        <v>2276</v>
      </c>
      <c r="M2918" s="205" t="s">
        <v>2276</v>
      </c>
      <c r="N2918" s="205" t="s">
        <v>2276</v>
      </c>
      <c r="O2918" s="205" t="s">
        <v>2276</v>
      </c>
      <c r="P2918" s="205" t="s">
        <v>2276</v>
      </c>
      <c r="Q2918" s="205" t="s">
        <v>2276</v>
      </c>
      <c r="R2918" s="205" t="s">
        <v>2276</v>
      </c>
      <c r="S2918" s="205" t="s">
        <v>2276</v>
      </c>
      <c r="T2918" s="205" t="s">
        <v>2276</v>
      </c>
      <c r="U2918" s="205" t="s">
        <v>2276</v>
      </c>
      <c r="V2918" s="205" t="s">
        <v>2276</v>
      </c>
      <c r="W2918" s="205" t="s">
        <v>2276</v>
      </c>
      <c r="X2918" s="205" t="s">
        <v>2276</v>
      </c>
      <c r="Y2918" s="205" t="s">
        <v>2276</v>
      </c>
      <c r="Z2918" s="205" t="s">
        <v>2276</v>
      </c>
      <c r="AA2918" s="205" t="s">
        <v>2276</v>
      </c>
      <c r="AB2918" s="205" t="s">
        <v>2276</v>
      </c>
      <c r="AC2918" s="205"/>
      <c r="AD2918" s="205"/>
    </row>
    <row r="2919" spans="1:30" ht="33.5" customHeight="1">
      <c r="A2919" s="19" t="s">
        <v>7745</v>
      </c>
      <c r="B2919" s="205" t="s">
        <v>7886</v>
      </c>
      <c r="C2919" s="205" t="s">
        <v>24</v>
      </c>
      <c r="D2919" s="205" t="s">
        <v>1242</v>
      </c>
      <c r="E2919" s="205" t="s">
        <v>3209</v>
      </c>
      <c r="F2919" s="4" t="s">
        <v>2276</v>
      </c>
      <c r="G2919" s="4" t="s">
        <v>2276</v>
      </c>
      <c r="H2919" s="205" t="s">
        <v>523</v>
      </c>
      <c r="I2919" s="103"/>
      <c r="J2919" s="205" t="s">
        <v>2276</v>
      </c>
      <c r="K2919" s="205" t="s">
        <v>2276</v>
      </c>
      <c r="L2919" s="205" t="s">
        <v>2276</v>
      </c>
      <c r="M2919" s="205" t="s">
        <v>2276</v>
      </c>
      <c r="N2919" s="205" t="s">
        <v>2276</v>
      </c>
      <c r="O2919" s="205" t="s">
        <v>2276</v>
      </c>
      <c r="P2919" s="205" t="s">
        <v>2276</v>
      </c>
      <c r="Q2919" s="205" t="s">
        <v>2276</v>
      </c>
      <c r="R2919" s="205" t="s">
        <v>2276</v>
      </c>
      <c r="S2919" s="205" t="s">
        <v>2276</v>
      </c>
      <c r="T2919" s="205" t="s">
        <v>2276</v>
      </c>
      <c r="U2919" s="205" t="s">
        <v>2276</v>
      </c>
      <c r="V2919" s="205" t="s">
        <v>2276</v>
      </c>
      <c r="W2919" s="205" t="s">
        <v>2276</v>
      </c>
      <c r="X2919" s="205" t="s">
        <v>2276</v>
      </c>
      <c r="Y2919" s="205" t="s">
        <v>2276</v>
      </c>
      <c r="Z2919" s="205" t="s">
        <v>2276</v>
      </c>
      <c r="AA2919" s="205" t="s">
        <v>2276</v>
      </c>
      <c r="AB2919" s="205" t="s">
        <v>2276</v>
      </c>
      <c r="AC2919" s="205"/>
      <c r="AD2919" s="205"/>
    </row>
    <row r="2920" spans="1:30" ht="33.5" customHeight="1">
      <c r="A2920" s="19" t="s">
        <v>7665</v>
      </c>
      <c r="B2920" s="205" t="s">
        <v>7887</v>
      </c>
      <c r="C2920" s="205" t="s">
        <v>24</v>
      </c>
      <c r="D2920" s="205" t="s">
        <v>1242</v>
      </c>
      <c r="E2920" s="205" t="s">
        <v>3209</v>
      </c>
      <c r="F2920" s="4" t="s">
        <v>2276</v>
      </c>
      <c r="G2920" s="4" t="s">
        <v>2276</v>
      </c>
      <c r="H2920" s="205" t="s">
        <v>523</v>
      </c>
      <c r="I2920" s="103"/>
      <c r="J2920" s="205" t="s">
        <v>2276</v>
      </c>
      <c r="K2920" s="205" t="s">
        <v>2276</v>
      </c>
      <c r="L2920" s="205" t="s">
        <v>2276</v>
      </c>
      <c r="M2920" s="205" t="s">
        <v>2276</v>
      </c>
      <c r="N2920" s="205" t="s">
        <v>2276</v>
      </c>
      <c r="O2920" s="205" t="s">
        <v>2276</v>
      </c>
      <c r="P2920" s="205" t="s">
        <v>2276</v>
      </c>
      <c r="Q2920" s="205" t="s">
        <v>2276</v>
      </c>
      <c r="R2920" s="205" t="s">
        <v>2276</v>
      </c>
      <c r="S2920" s="205" t="s">
        <v>2276</v>
      </c>
      <c r="T2920" s="205" t="s">
        <v>2276</v>
      </c>
      <c r="U2920" s="205" t="s">
        <v>2276</v>
      </c>
      <c r="V2920" s="205" t="s">
        <v>2276</v>
      </c>
      <c r="W2920" s="205" t="s">
        <v>2276</v>
      </c>
      <c r="X2920" s="205" t="s">
        <v>2276</v>
      </c>
      <c r="Y2920" s="205" t="s">
        <v>2276</v>
      </c>
      <c r="Z2920" s="205" t="s">
        <v>2276</v>
      </c>
      <c r="AA2920" s="205" t="s">
        <v>2276</v>
      </c>
      <c r="AB2920" s="205" t="s">
        <v>2276</v>
      </c>
      <c r="AC2920" s="205"/>
      <c r="AD2920" s="205"/>
    </row>
    <row r="2921" spans="1:30" ht="33.5" customHeight="1">
      <c r="A2921" s="19" t="s">
        <v>7686</v>
      </c>
      <c r="B2921" s="205" t="s">
        <v>7687</v>
      </c>
      <c r="C2921" s="205" t="s">
        <v>24</v>
      </c>
      <c r="D2921" s="205" t="s">
        <v>1242</v>
      </c>
      <c r="E2921" s="205" t="s">
        <v>3209</v>
      </c>
      <c r="F2921" s="4" t="s">
        <v>2276</v>
      </c>
      <c r="G2921" s="4" t="s">
        <v>2276</v>
      </c>
      <c r="H2921" s="205" t="s">
        <v>523</v>
      </c>
      <c r="I2921" s="103"/>
      <c r="J2921" s="205" t="s">
        <v>2276</v>
      </c>
      <c r="K2921" s="205" t="s">
        <v>2276</v>
      </c>
      <c r="L2921" s="205" t="s">
        <v>2276</v>
      </c>
      <c r="M2921" s="205" t="s">
        <v>2276</v>
      </c>
      <c r="N2921" s="205" t="s">
        <v>2276</v>
      </c>
      <c r="O2921" s="205" t="s">
        <v>2276</v>
      </c>
      <c r="P2921" s="205" t="s">
        <v>2276</v>
      </c>
      <c r="Q2921" s="205" t="s">
        <v>2276</v>
      </c>
      <c r="R2921" s="205" t="s">
        <v>2276</v>
      </c>
      <c r="S2921" s="205" t="s">
        <v>2276</v>
      </c>
      <c r="T2921" s="205" t="s">
        <v>2276</v>
      </c>
      <c r="U2921" s="205" t="s">
        <v>2276</v>
      </c>
      <c r="V2921" s="205" t="s">
        <v>2276</v>
      </c>
      <c r="W2921" s="205" t="s">
        <v>2276</v>
      </c>
      <c r="X2921" s="205" t="s">
        <v>2276</v>
      </c>
      <c r="Y2921" s="205" t="s">
        <v>2276</v>
      </c>
      <c r="Z2921" s="205" t="s">
        <v>2276</v>
      </c>
      <c r="AA2921" s="205" t="s">
        <v>2276</v>
      </c>
      <c r="AB2921" s="205" t="s">
        <v>2276</v>
      </c>
      <c r="AC2921" s="205"/>
      <c r="AD2921" s="205"/>
    </row>
    <row r="2922" spans="1:30" ht="33.5" customHeight="1">
      <c r="A2922" s="19" t="s">
        <v>7746</v>
      </c>
      <c r="B2922" s="205" t="s">
        <v>7888</v>
      </c>
      <c r="C2922" s="205" t="s">
        <v>24</v>
      </c>
      <c r="D2922" s="205" t="s">
        <v>1242</v>
      </c>
      <c r="E2922" s="205" t="s">
        <v>3209</v>
      </c>
      <c r="F2922" s="4" t="s">
        <v>2276</v>
      </c>
      <c r="G2922" s="4" t="s">
        <v>2276</v>
      </c>
      <c r="H2922" s="205" t="s">
        <v>523</v>
      </c>
      <c r="I2922" s="103"/>
      <c r="J2922" s="205" t="s">
        <v>2276</v>
      </c>
      <c r="K2922" s="205" t="s">
        <v>2276</v>
      </c>
      <c r="L2922" s="205" t="s">
        <v>2276</v>
      </c>
      <c r="M2922" s="205" t="s">
        <v>2276</v>
      </c>
      <c r="N2922" s="205" t="s">
        <v>2276</v>
      </c>
      <c r="O2922" s="205" t="s">
        <v>2276</v>
      </c>
      <c r="P2922" s="205" t="s">
        <v>2276</v>
      </c>
      <c r="Q2922" s="205" t="s">
        <v>2276</v>
      </c>
      <c r="R2922" s="205" t="s">
        <v>2276</v>
      </c>
      <c r="S2922" s="205" t="s">
        <v>2276</v>
      </c>
      <c r="T2922" s="205" t="s">
        <v>2276</v>
      </c>
      <c r="U2922" s="205" t="s">
        <v>2276</v>
      </c>
      <c r="V2922" s="205" t="s">
        <v>2276</v>
      </c>
      <c r="W2922" s="205" t="s">
        <v>2276</v>
      </c>
      <c r="X2922" s="205" t="s">
        <v>2276</v>
      </c>
      <c r="Y2922" s="205" t="s">
        <v>2276</v>
      </c>
      <c r="Z2922" s="205" t="s">
        <v>2276</v>
      </c>
      <c r="AA2922" s="205" t="s">
        <v>2276</v>
      </c>
      <c r="AB2922" s="205" t="s">
        <v>2276</v>
      </c>
      <c r="AC2922" s="205"/>
      <c r="AD2922" s="205"/>
    </row>
    <row r="2923" spans="1:30" ht="33.5" customHeight="1">
      <c r="A2923" s="19" t="s">
        <v>7747</v>
      </c>
      <c r="B2923" s="205" t="s">
        <v>7889</v>
      </c>
      <c r="C2923" s="205" t="s">
        <v>24</v>
      </c>
      <c r="D2923" s="205" t="s">
        <v>1242</v>
      </c>
      <c r="E2923" s="205" t="s">
        <v>3209</v>
      </c>
      <c r="F2923" s="4" t="s">
        <v>2276</v>
      </c>
      <c r="G2923" s="4" t="s">
        <v>2276</v>
      </c>
      <c r="H2923" s="205" t="s">
        <v>524</v>
      </c>
      <c r="I2923" s="103"/>
      <c r="J2923" s="21">
        <v>0</v>
      </c>
      <c r="K2923" s="21">
        <v>0</v>
      </c>
      <c r="L2923" s="21">
        <v>0</v>
      </c>
      <c r="M2923" s="21">
        <v>0</v>
      </c>
      <c r="N2923" s="21">
        <v>0</v>
      </c>
      <c r="O2923" s="21">
        <v>0</v>
      </c>
      <c r="P2923" s="21">
        <v>0</v>
      </c>
      <c r="Q2923" s="21">
        <v>0</v>
      </c>
      <c r="R2923" s="21">
        <v>0</v>
      </c>
      <c r="S2923" s="21">
        <v>0</v>
      </c>
      <c r="T2923" s="21">
        <v>0</v>
      </c>
      <c r="U2923" s="21">
        <v>0</v>
      </c>
      <c r="V2923" s="21">
        <v>0</v>
      </c>
      <c r="W2923" s="21">
        <v>0</v>
      </c>
      <c r="X2923" s="21">
        <v>0</v>
      </c>
      <c r="Y2923" s="21">
        <v>0</v>
      </c>
      <c r="Z2923" s="205" t="s">
        <v>2276</v>
      </c>
      <c r="AA2923" s="205" t="s">
        <v>2276</v>
      </c>
      <c r="AB2923" s="205" t="s">
        <v>2276</v>
      </c>
      <c r="AC2923" s="205"/>
      <c r="AD2923" s="205"/>
    </row>
    <row r="2924" spans="1:30" ht="33.5" customHeight="1">
      <c r="A2924" s="19" t="s">
        <v>7748</v>
      </c>
      <c r="B2924" s="205" t="s">
        <v>7890</v>
      </c>
      <c r="C2924" s="205" t="s">
        <v>24</v>
      </c>
      <c r="D2924" s="205" t="s">
        <v>1242</v>
      </c>
      <c r="E2924" s="205" t="s">
        <v>3209</v>
      </c>
      <c r="F2924" s="4" t="s">
        <v>2276</v>
      </c>
      <c r="G2924" s="4" t="s">
        <v>2276</v>
      </c>
      <c r="H2924" s="205" t="s">
        <v>523</v>
      </c>
      <c r="I2924" s="103"/>
      <c r="J2924" s="205" t="s">
        <v>2276</v>
      </c>
      <c r="K2924" s="205" t="s">
        <v>2276</v>
      </c>
      <c r="L2924" s="205" t="s">
        <v>2276</v>
      </c>
      <c r="M2924" s="205" t="s">
        <v>2276</v>
      </c>
      <c r="N2924" s="205" t="s">
        <v>2276</v>
      </c>
      <c r="O2924" s="205" t="s">
        <v>2276</v>
      </c>
      <c r="P2924" s="205" t="s">
        <v>2276</v>
      </c>
      <c r="Q2924" s="205" t="s">
        <v>2276</v>
      </c>
      <c r="R2924" s="205" t="s">
        <v>2276</v>
      </c>
      <c r="S2924" s="205" t="s">
        <v>2276</v>
      </c>
      <c r="T2924" s="205" t="s">
        <v>2276</v>
      </c>
      <c r="U2924" s="205" t="s">
        <v>2276</v>
      </c>
      <c r="V2924" s="205" t="s">
        <v>2276</v>
      </c>
      <c r="W2924" s="205" t="s">
        <v>2276</v>
      </c>
      <c r="X2924" s="205" t="s">
        <v>2276</v>
      </c>
      <c r="Y2924" s="205" t="s">
        <v>2276</v>
      </c>
      <c r="Z2924" s="205" t="s">
        <v>2276</v>
      </c>
      <c r="AA2924" s="205" t="s">
        <v>2276</v>
      </c>
      <c r="AB2924" s="205" t="s">
        <v>2276</v>
      </c>
      <c r="AC2924" s="205"/>
      <c r="AD2924" s="205"/>
    </row>
    <row r="2925" spans="1:30" ht="33.5" customHeight="1">
      <c r="A2925" s="19" t="s">
        <v>7749</v>
      </c>
      <c r="B2925" s="205" t="s">
        <v>7891</v>
      </c>
      <c r="C2925" s="205" t="s">
        <v>24</v>
      </c>
      <c r="D2925" s="205" t="s">
        <v>1242</v>
      </c>
      <c r="E2925" s="205" t="s">
        <v>3209</v>
      </c>
      <c r="F2925" s="4" t="s">
        <v>2276</v>
      </c>
      <c r="G2925" s="4" t="s">
        <v>2276</v>
      </c>
      <c r="H2925" s="205" t="s">
        <v>523</v>
      </c>
      <c r="I2925" s="103"/>
      <c r="J2925" s="205" t="s">
        <v>2276</v>
      </c>
      <c r="K2925" s="205" t="s">
        <v>2276</v>
      </c>
      <c r="L2925" s="205" t="s">
        <v>2276</v>
      </c>
      <c r="M2925" s="205" t="s">
        <v>2276</v>
      </c>
      <c r="N2925" s="205" t="s">
        <v>2276</v>
      </c>
      <c r="O2925" s="205" t="s">
        <v>2276</v>
      </c>
      <c r="P2925" s="205" t="s">
        <v>2276</v>
      </c>
      <c r="Q2925" s="205" t="s">
        <v>2276</v>
      </c>
      <c r="R2925" s="205" t="s">
        <v>2276</v>
      </c>
      <c r="S2925" s="205" t="s">
        <v>2276</v>
      </c>
      <c r="T2925" s="205" t="s">
        <v>2276</v>
      </c>
      <c r="U2925" s="205" t="s">
        <v>2276</v>
      </c>
      <c r="V2925" s="205" t="s">
        <v>2276</v>
      </c>
      <c r="W2925" s="205" t="s">
        <v>2276</v>
      </c>
      <c r="X2925" s="205" t="s">
        <v>2276</v>
      </c>
      <c r="Y2925" s="205" t="s">
        <v>2276</v>
      </c>
      <c r="Z2925" s="205" t="s">
        <v>2276</v>
      </c>
      <c r="AA2925" s="205" t="s">
        <v>2276</v>
      </c>
      <c r="AB2925" s="205" t="s">
        <v>2276</v>
      </c>
      <c r="AC2925" s="205"/>
      <c r="AD2925" s="205"/>
    </row>
    <row r="2926" spans="1:30" ht="33.5" customHeight="1">
      <c r="A2926" s="19" t="s">
        <v>7750</v>
      </c>
      <c r="B2926" s="205" t="s">
        <v>7892</v>
      </c>
      <c r="C2926" s="205" t="s">
        <v>24</v>
      </c>
      <c r="D2926" s="205" t="s">
        <v>1242</v>
      </c>
      <c r="E2926" s="205" t="s">
        <v>3209</v>
      </c>
      <c r="F2926" s="4" t="s">
        <v>2276</v>
      </c>
      <c r="G2926" s="4" t="s">
        <v>2276</v>
      </c>
      <c r="H2926" s="205" t="s">
        <v>523</v>
      </c>
      <c r="I2926" s="103"/>
      <c r="J2926" s="205" t="s">
        <v>2276</v>
      </c>
      <c r="K2926" s="205" t="s">
        <v>2276</v>
      </c>
      <c r="L2926" s="205" t="s">
        <v>2276</v>
      </c>
      <c r="M2926" s="205" t="s">
        <v>2276</v>
      </c>
      <c r="N2926" s="205" t="s">
        <v>2276</v>
      </c>
      <c r="O2926" s="205" t="s">
        <v>2276</v>
      </c>
      <c r="P2926" s="205" t="s">
        <v>2276</v>
      </c>
      <c r="Q2926" s="205" t="s">
        <v>2276</v>
      </c>
      <c r="R2926" s="205" t="s">
        <v>2276</v>
      </c>
      <c r="S2926" s="205" t="s">
        <v>2276</v>
      </c>
      <c r="T2926" s="205" t="s">
        <v>2276</v>
      </c>
      <c r="U2926" s="205" t="s">
        <v>2276</v>
      </c>
      <c r="V2926" s="205" t="s">
        <v>2276</v>
      </c>
      <c r="W2926" s="205" t="s">
        <v>2276</v>
      </c>
      <c r="X2926" s="205" t="s">
        <v>2276</v>
      </c>
      <c r="Y2926" s="205" t="s">
        <v>2276</v>
      </c>
      <c r="Z2926" s="205" t="s">
        <v>2276</v>
      </c>
      <c r="AA2926" s="205" t="s">
        <v>2276</v>
      </c>
      <c r="AB2926" s="205" t="s">
        <v>2276</v>
      </c>
      <c r="AC2926" s="205"/>
      <c r="AD2926" s="205"/>
    </row>
    <row r="2927" spans="1:30" ht="33.5" customHeight="1">
      <c r="A2927" s="19" t="s">
        <v>7751</v>
      </c>
      <c r="B2927" s="205" t="s">
        <v>7893</v>
      </c>
      <c r="C2927" s="205" t="s">
        <v>24</v>
      </c>
      <c r="D2927" s="205" t="s">
        <v>1242</v>
      </c>
      <c r="E2927" s="205" t="s">
        <v>3209</v>
      </c>
      <c r="F2927" s="4" t="s">
        <v>2276</v>
      </c>
      <c r="G2927" s="4" t="s">
        <v>2276</v>
      </c>
      <c r="H2927" s="205" t="s">
        <v>523</v>
      </c>
      <c r="I2927" s="103"/>
      <c r="J2927" s="205" t="s">
        <v>2276</v>
      </c>
      <c r="K2927" s="205" t="s">
        <v>2276</v>
      </c>
      <c r="L2927" s="205" t="s">
        <v>2276</v>
      </c>
      <c r="M2927" s="205" t="s">
        <v>2276</v>
      </c>
      <c r="N2927" s="205" t="s">
        <v>2276</v>
      </c>
      <c r="O2927" s="205" t="s">
        <v>2276</v>
      </c>
      <c r="P2927" s="205" t="s">
        <v>2276</v>
      </c>
      <c r="Q2927" s="205" t="s">
        <v>2276</v>
      </c>
      <c r="R2927" s="205" t="s">
        <v>2276</v>
      </c>
      <c r="S2927" s="205" t="s">
        <v>2276</v>
      </c>
      <c r="T2927" s="205" t="s">
        <v>2276</v>
      </c>
      <c r="U2927" s="205" t="s">
        <v>2276</v>
      </c>
      <c r="V2927" s="205" t="s">
        <v>2276</v>
      </c>
      <c r="W2927" s="205" t="s">
        <v>2276</v>
      </c>
      <c r="X2927" s="205" t="s">
        <v>2276</v>
      </c>
      <c r="Y2927" s="205" t="s">
        <v>2276</v>
      </c>
      <c r="Z2927" s="205" t="s">
        <v>2276</v>
      </c>
      <c r="AA2927" s="205" t="s">
        <v>2276</v>
      </c>
      <c r="AB2927" s="205" t="s">
        <v>2276</v>
      </c>
      <c r="AC2927" s="205"/>
      <c r="AD2927" s="205"/>
    </row>
    <row r="2928" spans="1:30" ht="33.5" customHeight="1">
      <c r="A2928" s="19" t="s">
        <v>7752</v>
      </c>
      <c r="B2928" s="205" t="s">
        <v>7894</v>
      </c>
      <c r="C2928" s="205" t="s">
        <v>24</v>
      </c>
      <c r="D2928" s="205" t="s">
        <v>1242</v>
      </c>
      <c r="E2928" s="205" t="s">
        <v>3209</v>
      </c>
      <c r="F2928" s="4" t="s">
        <v>2276</v>
      </c>
      <c r="G2928" s="4" t="s">
        <v>2276</v>
      </c>
      <c r="H2928" s="205" t="s">
        <v>523</v>
      </c>
      <c r="I2928" s="103"/>
      <c r="J2928" s="205" t="s">
        <v>2276</v>
      </c>
      <c r="K2928" s="205" t="s">
        <v>2276</v>
      </c>
      <c r="L2928" s="205" t="s">
        <v>2276</v>
      </c>
      <c r="M2928" s="205" t="s">
        <v>2276</v>
      </c>
      <c r="N2928" s="205" t="s">
        <v>2276</v>
      </c>
      <c r="O2928" s="205" t="s">
        <v>2276</v>
      </c>
      <c r="P2928" s="205" t="s">
        <v>2276</v>
      </c>
      <c r="Q2928" s="205" t="s">
        <v>2276</v>
      </c>
      <c r="R2928" s="205" t="s">
        <v>2276</v>
      </c>
      <c r="S2928" s="205" t="s">
        <v>2276</v>
      </c>
      <c r="T2928" s="205" t="s">
        <v>2276</v>
      </c>
      <c r="U2928" s="205" t="s">
        <v>2276</v>
      </c>
      <c r="V2928" s="205" t="s">
        <v>2276</v>
      </c>
      <c r="W2928" s="205" t="s">
        <v>2276</v>
      </c>
      <c r="X2928" s="205" t="s">
        <v>2276</v>
      </c>
      <c r="Y2928" s="205" t="s">
        <v>2276</v>
      </c>
      <c r="Z2928" s="205" t="s">
        <v>2276</v>
      </c>
      <c r="AA2928" s="205" t="s">
        <v>2276</v>
      </c>
      <c r="AB2928" s="205" t="s">
        <v>2276</v>
      </c>
      <c r="AC2928" s="205"/>
      <c r="AD2928" s="205"/>
    </row>
    <row r="2929" spans="1:30" ht="33.5" customHeight="1">
      <c r="A2929" s="19" t="s">
        <v>7753</v>
      </c>
      <c r="B2929" s="205" t="s">
        <v>7895</v>
      </c>
      <c r="C2929" s="205" t="s">
        <v>24</v>
      </c>
      <c r="D2929" s="205" t="s">
        <v>1242</v>
      </c>
      <c r="E2929" s="205" t="s">
        <v>3209</v>
      </c>
      <c r="F2929" s="4" t="s">
        <v>2276</v>
      </c>
      <c r="G2929" s="4" t="s">
        <v>2276</v>
      </c>
      <c r="H2929" s="205" t="s">
        <v>523</v>
      </c>
      <c r="I2929" s="103"/>
      <c r="J2929" s="205" t="s">
        <v>2276</v>
      </c>
      <c r="K2929" s="205" t="s">
        <v>2276</v>
      </c>
      <c r="L2929" s="205" t="s">
        <v>2276</v>
      </c>
      <c r="M2929" s="205" t="s">
        <v>2276</v>
      </c>
      <c r="N2929" s="205" t="s">
        <v>2276</v>
      </c>
      <c r="O2929" s="205" t="s">
        <v>2276</v>
      </c>
      <c r="P2929" s="205" t="s">
        <v>2276</v>
      </c>
      <c r="Q2929" s="205" t="s">
        <v>2276</v>
      </c>
      <c r="R2929" s="205" t="s">
        <v>2276</v>
      </c>
      <c r="S2929" s="205" t="s">
        <v>2276</v>
      </c>
      <c r="T2929" s="205" t="s">
        <v>2276</v>
      </c>
      <c r="U2929" s="205" t="s">
        <v>2276</v>
      </c>
      <c r="V2929" s="205" t="s">
        <v>2276</v>
      </c>
      <c r="W2929" s="205" t="s">
        <v>2276</v>
      </c>
      <c r="X2929" s="205" t="s">
        <v>2276</v>
      </c>
      <c r="Y2929" s="205" t="s">
        <v>2276</v>
      </c>
      <c r="Z2929" s="205" t="s">
        <v>2276</v>
      </c>
      <c r="AA2929" s="205" t="s">
        <v>2276</v>
      </c>
      <c r="AB2929" s="205" t="s">
        <v>2276</v>
      </c>
      <c r="AC2929" s="205"/>
      <c r="AD2929" s="205"/>
    </row>
    <row r="2930" spans="1:30" ht="33.5" customHeight="1">
      <c r="A2930" s="19" t="s">
        <v>7754</v>
      </c>
      <c r="B2930" s="205" t="s">
        <v>7896</v>
      </c>
      <c r="C2930" s="205" t="s">
        <v>24</v>
      </c>
      <c r="D2930" s="205" t="s">
        <v>1242</v>
      </c>
      <c r="E2930" s="205" t="s">
        <v>3209</v>
      </c>
      <c r="F2930" s="4" t="s">
        <v>2276</v>
      </c>
      <c r="G2930" s="4" t="s">
        <v>2276</v>
      </c>
      <c r="H2930" s="205" t="s">
        <v>523</v>
      </c>
      <c r="I2930" s="103"/>
      <c r="J2930" s="205" t="s">
        <v>2276</v>
      </c>
      <c r="K2930" s="205" t="s">
        <v>2276</v>
      </c>
      <c r="L2930" s="205" t="s">
        <v>2276</v>
      </c>
      <c r="M2930" s="205" t="s">
        <v>2276</v>
      </c>
      <c r="N2930" s="205" t="s">
        <v>2276</v>
      </c>
      <c r="O2930" s="205" t="s">
        <v>2276</v>
      </c>
      <c r="P2930" s="205" t="s">
        <v>2276</v>
      </c>
      <c r="Q2930" s="205" t="s">
        <v>2276</v>
      </c>
      <c r="R2930" s="205" t="s">
        <v>2276</v>
      </c>
      <c r="S2930" s="205" t="s">
        <v>2276</v>
      </c>
      <c r="T2930" s="205" t="s">
        <v>2276</v>
      </c>
      <c r="U2930" s="205" t="s">
        <v>2276</v>
      </c>
      <c r="V2930" s="205" t="s">
        <v>2276</v>
      </c>
      <c r="W2930" s="205" t="s">
        <v>2276</v>
      </c>
      <c r="X2930" s="205" t="s">
        <v>2276</v>
      </c>
      <c r="Y2930" s="205" t="s">
        <v>2276</v>
      </c>
      <c r="Z2930" s="205" t="s">
        <v>2276</v>
      </c>
      <c r="AA2930" s="205" t="s">
        <v>2276</v>
      </c>
      <c r="AB2930" s="205" t="s">
        <v>2276</v>
      </c>
      <c r="AC2930" s="205"/>
      <c r="AD2930" s="205"/>
    </row>
    <row r="2931" spans="1:30" ht="33.5" customHeight="1">
      <c r="A2931" s="19" t="s">
        <v>7755</v>
      </c>
      <c r="B2931" s="205" t="s">
        <v>7897</v>
      </c>
      <c r="C2931" s="205" t="s">
        <v>24</v>
      </c>
      <c r="D2931" s="205" t="s">
        <v>1242</v>
      </c>
      <c r="E2931" s="205" t="s">
        <v>3209</v>
      </c>
      <c r="F2931" s="4" t="s">
        <v>2276</v>
      </c>
      <c r="G2931" s="4" t="s">
        <v>2276</v>
      </c>
      <c r="H2931" s="205" t="s">
        <v>523</v>
      </c>
      <c r="I2931" s="103"/>
      <c r="J2931" s="205" t="s">
        <v>2276</v>
      </c>
      <c r="K2931" s="205" t="s">
        <v>2276</v>
      </c>
      <c r="L2931" s="205" t="s">
        <v>2276</v>
      </c>
      <c r="M2931" s="205" t="s">
        <v>2276</v>
      </c>
      <c r="N2931" s="205" t="s">
        <v>2276</v>
      </c>
      <c r="O2931" s="205" t="s">
        <v>2276</v>
      </c>
      <c r="P2931" s="205" t="s">
        <v>2276</v>
      </c>
      <c r="Q2931" s="205" t="s">
        <v>2276</v>
      </c>
      <c r="R2931" s="205" t="s">
        <v>2276</v>
      </c>
      <c r="S2931" s="205" t="s">
        <v>2276</v>
      </c>
      <c r="T2931" s="205" t="s">
        <v>2276</v>
      </c>
      <c r="U2931" s="205" t="s">
        <v>2276</v>
      </c>
      <c r="V2931" s="205" t="s">
        <v>2276</v>
      </c>
      <c r="W2931" s="205" t="s">
        <v>2276</v>
      </c>
      <c r="X2931" s="205" t="s">
        <v>2276</v>
      </c>
      <c r="Y2931" s="205" t="s">
        <v>2276</v>
      </c>
      <c r="Z2931" s="205" t="s">
        <v>2276</v>
      </c>
      <c r="AA2931" s="205" t="s">
        <v>2276</v>
      </c>
      <c r="AB2931" s="205" t="s">
        <v>2276</v>
      </c>
      <c r="AC2931" s="205"/>
      <c r="AD2931" s="205"/>
    </row>
    <row r="2932" spans="1:30" ht="33.5" customHeight="1">
      <c r="A2932" s="19" t="s">
        <v>7756</v>
      </c>
      <c r="B2932" s="205" t="s">
        <v>7898</v>
      </c>
      <c r="C2932" s="205" t="s">
        <v>24</v>
      </c>
      <c r="D2932" s="205" t="s">
        <v>1242</v>
      </c>
      <c r="E2932" s="205" t="s">
        <v>3209</v>
      </c>
      <c r="F2932" s="4" t="s">
        <v>2276</v>
      </c>
      <c r="G2932" s="4" t="s">
        <v>2276</v>
      </c>
      <c r="H2932" s="205" t="s">
        <v>523</v>
      </c>
      <c r="I2932" s="103"/>
      <c r="J2932" s="205" t="s">
        <v>2276</v>
      </c>
      <c r="K2932" s="205" t="s">
        <v>2276</v>
      </c>
      <c r="L2932" s="205" t="s">
        <v>2276</v>
      </c>
      <c r="M2932" s="205" t="s">
        <v>2276</v>
      </c>
      <c r="N2932" s="205" t="s">
        <v>2276</v>
      </c>
      <c r="O2932" s="205" t="s">
        <v>2276</v>
      </c>
      <c r="P2932" s="205" t="s">
        <v>2276</v>
      </c>
      <c r="Q2932" s="205" t="s">
        <v>2276</v>
      </c>
      <c r="R2932" s="205" t="s">
        <v>2276</v>
      </c>
      <c r="S2932" s="205" t="s">
        <v>2276</v>
      </c>
      <c r="T2932" s="205" t="s">
        <v>2276</v>
      </c>
      <c r="U2932" s="205" t="s">
        <v>2276</v>
      </c>
      <c r="V2932" s="205" t="s">
        <v>2276</v>
      </c>
      <c r="W2932" s="205" t="s">
        <v>2276</v>
      </c>
      <c r="X2932" s="205" t="s">
        <v>2276</v>
      </c>
      <c r="Y2932" s="205" t="s">
        <v>2276</v>
      </c>
      <c r="Z2932" s="205" t="s">
        <v>2276</v>
      </c>
      <c r="AA2932" s="205" t="s">
        <v>2276</v>
      </c>
      <c r="AB2932" s="205" t="s">
        <v>2276</v>
      </c>
      <c r="AC2932" s="205"/>
      <c r="AD2932" s="205"/>
    </row>
    <row r="2933" spans="1:30" ht="33.5" customHeight="1">
      <c r="A2933" s="19" t="s">
        <v>7757</v>
      </c>
      <c r="B2933" s="205" t="s">
        <v>7899</v>
      </c>
      <c r="C2933" s="205" t="s">
        <v>24</v>
      </c>
      <c r="D2933" s="205" t="s">
        <v>1242</v>
      </c>
      <c r="E2933" s="205" t="s">
        <v>3209</v>
      </c>
      <c r="F2933" s="4" t="s">
        <v>2276</v>
      </c>
      <c r="G2933" s="4" t="s">
        <v>2276</v>
      </c>
      <c r="H2933" s="205" t="s">
        <v>523</v>
      </c>
      <c r="I2933" s="103"/>
      <c r="J2933" s="205" t="s">
        <v>2276</v>
      </c>
      <c r="K2933" s="205" t="s">
        <v>2276</v>
      </c>
      <c r="L2933" s="205" t="s">
        <v>2276</v>
      </c>
      <c r="M2933" s="205" t="s">
        <v>2276</v>
      </c>
      <c r="N2933" s="205" t="s">
        <v>2276</v>
      </c>
      <c r="O2933" s="205" t="s">
        <v>2276</v>
      </c>
      <c r="P2933" s="205" t="s">
        <v>2276</v>
      </c>
      <c r="Q2933" s="205" t="s">
        <v>2276</v>
      </c>
      <c r="R2933" s="205" t="s">
        <v>2276</v>
      </c>
      <c r="S2933" s="205" t="s">
        <v>2276</v>
      </c>
      <c r="T2933" s="205" t="s">
        <v>2276</v>
      </c>
      <c r="U2933" s="205" t="s">
        <v>2276</v>
      </c>
      <c r="V2933" s="205" t="s">
        <v>2276</v>
      </c>
      <c r="W2933" s="205" t="s">
        <v>2276</v>
      </c>
      <c r="X2933" s="205" t="s">
        <v>2276</v>
      </c>
      <c r="Y2933" s="205" t="s">
        <v>2276</v>
      </c>
      <c r="Z2933" s="205" t="s">
        <v>2276</v>
      </c>
      <c r="AA2933" s="205" t="s">
        <v>2276</v>
      </c>
      <c r="AB2933" s="205" t="s">
        <v>2276</v>
      </c>
      <c r="AC2933" s="205"/>
      <c r="AD2933" s="205"/>
    </row>
    <row r="2934" spans="1:30" ht="33.5" customHeight="1">
      <c r="A2934" s="19" t="s">
        <v>7758</v>
      </c>
      <c r="B2934" s="205" t="s">
        <v>7900</v>
      </c>
      <c r="C2934" s="205" t="s">
        <v>24</v>
      </c>
      <c r="D2934" s="205" t="s">
        <v>1242</v>
      </c>
      <c r="E2934" s="205" t="s">
        <v>3209</v>
      </c>
      <c r="F2934" s="4" t="s">
        <v>2276</v>
      </c>
      <c r="G2934" s="4" t="s">
        <v>2276</v>
      </c>
      <c r="H2934" s="205" t="s">
        <v>523</v>
      </c>
      <c r="I2934" s="103"/>
      <c r="J2934" s="205" t="s">
        <v>2276</v>
      </c>
      <c r="K2934" s="205" t="s">
        <v>2276</v>
      </c>
      <c r="L2934" s="205" t="s">
        <v>2276</v>
      </c>
      <c r="M2934" s="205" t="s">
        <v>2276</v>
      </c>
      <c r="N2934" s="205" t="s">
        <v>2276</v>
      </c>
      <c r="O2934" s="205" t="s">
        <v>2276</v>
      </c>
      <c r="P2934" s="205" t="s">
        <v>2276</v>
      </c>
      <c r="Q2934" s="205" t="s">
        <v>2276</v>
      </c>
      <c r="R2934" s="205" t="s">
        <v>2276</v>
      </c>
      <c r="S2934" s="205" t="s">
        <v>2276</v>
      </c>
      <c r="T2934" s="205" t="s">
        <v>2276</v>
      </c>
      <c r="U2934" s="205" t="s">
        <v>2276</v>
      </c>
      <c r="V2934" s="205" t="s">
        <v>2276</v>
      </c>
      <c r="W2934" s="205" t="s">
        <v>2276</v>
      </c>
      <c r="X2934" s="205" t="s">
        <v>2276</v>
      </c>
      <c r="Y2934" s="205" t="s">
        <v>2276</v>
      </c>
      <c r="Z2934" s="205" t="s">
        <v>2276</v>
      </c>
      <c r="AA2934" s="205" t="s">
        <v>2276</v>
      </c>
      <c r="AB2934" s="205" t="s">
        <v>2276</v>
      </c>
      <c r="AC2934" s="205"/>
      <c r="AD2934" s="205"/>
    </row>
    <row r="2935" spans="1:30" ht="33.5" customHeight="1">
      <c r="A2935" s="19" t="s">
        <v>7759</v>
      </c>
      <c r="B2935" s="205" t="s">
        <v>7901</v>
      </c>
      <c r="C2935" s="205" t="s">
        <v>24</v>
      </c>
      <c r="D2935" s="205" t="s">
        <v>1242</v>
      </c>
      <c r="E2935" s="205" t="s">
        <v>3209</v>
      </c>
      <c r="F2935" s="4" t="s">
        <v>2276</v>
      </c>
      <c r="G2935" s="4" t="s">
        <v>2276</v>
      </c>
      <c r="H2935" s="205" t="s">
        <v>523</v>
      </c>
      <c r="I2935" s="103"/>
      <c r="J2935" s="205" t="s">
        <v>2276</v>
      </c>
      <c r="K2935" s="205" t="s">
        <v>2276</v>
      </c>
      <c r="L2935" s="205" t="s">
        <v>2276</v>
      </c>
      <c r="M2935" s="205" t="s">
        <v>2276</v>
      </c>
      <c r="N2935" s="205" t="s">
        <v>2276</v>
      </c>
      <c r="O2935" s="205" t="s">
        <v>2276</v>
      </c>
      <c r="P2935" s="205" t="s">
        <v>2276</v>
      </c>
      <c r="Q2935" s="205" t="s">
        <v>2276</v>
      </c>
      <c r="R2935" s="205" t="s">
        <v>2276</v>
      </c>
      <c r="S2935" s="205" t="s">
        <v>2276</v>
      </c>
      <c r="T2935" s="205" t="s">
        <v>2276</v>
      </c>
      <c r="U2935" s="205" t="s">
        <v>2276</v>
      </c>
      <c r="V2935" s="205" t="s">
        <v>2276</v>
      </c>
      <c r="W2935" s="205" t="s">
        <v>2276</v>
      </c>
      <c r="X2935" s="205" t="s">
        <v>2276</v>
      </c>
      <c r="Y2935" s="205" t="s">
        <v>2276</v>
      </c>
      <c r="Z2935" s="205" t="s">
        <v>2276</v>
      </c>
      <c r="AA2935" s="205" t="s">
        <v>2276</v>
      </c>
      <c r="AB2935" s="205" t="s">
        <v>2276</v>
      </c>
      <c r="AC2935" s="205"/>
      <c r="AD2935" s="205"/>
    </row>
    <row r="2936" spans="1:30" ht="33.5" customHeight="1">
      <c r="A2936" s="19" t="s">
        <v>7760</v>
      </c>
      <c r="B2936" s="205" t="s">
        <v>7902</v>
      </c>
      <c r="C2936" s="205" t="s">
        <v>24</v>
      </c>
      <c r="D2936" s="205" t="s">
        <v>1242</v>
      </c>
      <c r="E2936" s="205" t="s">
        <v>3209</v>
      </c>
      <c r="F2936" s="4" t="s">
        <v>2276</v>
      </c>
      <c r="G2936" s="4" t="s">
        <v>2276</v>
      </c>
      <c r="H2936" s="205" t="s">
        <v>523</v>
      </c>
      <c r="I2936" s="103"/>
      <c r="J2936" s="205" t="s">
        <v>2276</v>
      </c>
      <c r="K2936" s="205" t="s">
        <v>2276</v>
      </c>
      <c r="L2936" s="205" t="s">
        <v>2276</v>
      </c>
      <c r="M2936" s="205" t="s">
        <v>2276</v>
      </c>
      <c r="N2936" s="205" t="s">
        <v>2276</v>
      </c>
      <c r="O2936" s="205" t="s">
        <v>2276</v>
      </c>
      <c r="P2936" s="205" t="s">
        <v>2276</v>
      </c>
      <c r="Q2936" s="205" t="s">
        <v>2276</v>
      </c>
      <c r="R2936" s="205" t="s">
        <v>2276</v>
      </c>
      <c r="S2936" s="205" t="s">
        <v>2276</v>
      </c>
      <c r="T2936" s="205" t="s">
        <v>2276</v>
      </c>
      <c r="U2936" s="205" t="s">
        <v>2276</v>
      </c>
      <c r="V2936" s="205" t="s">
        <v>2276</v>
      </c>
      <c r="W2936" s="205" t="s">
        <v>2276</v>
      </c>
      <c r="X2936" s="205" t="s">
        <v>2276</v>
      </c>
      <c r="Y2936" s="205" t="s">
        <v>2276</v>
      </c>
      <c r="Z2936" s="205" t="s">
        <v>2276</v>
      </c>
      <c r="AA2936" s="205" t="s">
        <v>2276</v>
      </c>
      <c r="AB2936" s="205" t="s">
        <v>2276</v>
      </c>
      <c r="AC2936" s="205"/>
      <c r="AD2936" s="205"/>
    </row>
    <row r="2937" spans="1:30" ht="33.5" customHeight="1">
      <c r="A2937" s="19" t="s">
        <v>7761</v>
      </c>
      <c r="B2937" s="205" t="s">
        <v>7903</v>
      </c>
      <c r="C2937" s="205" t="s">
        <v>24</v>
      </c>
      <c r="D2937" s="205" t="s">
        <v>1242</v>
      </c>
      <c r="E2937" s="205" t="s">
        <v>3209</v>
      </c>
      <c r="F2937" s="4" t="s">
        <v>2276</v>
      </c>
      <c r="G2937" s="4" t="s">
        <v>2276</v>
      </c>
      <c r="H2937" s="205" t="s">
        <v>523</v>
      </c>
      <c r="I2937" s="103"/>
      <c r="J2937" s="205" t="s">
        <v>2276</v>
      </c>
      <c r="K2937" s="205" t="s">
        <v>2276</v>
      </c>
      <c r="L2937" s="205" t="s">
        <v>2276</v>
      </c>
      <c r="M2937" s="205" t="s">
        <v>2276</v>
      </c>
      <c r="N2937" s="205" t="s">
        <v>2276</v>
      </c>
      <c r="O2937" s="205" t="s">
        <v>2276</v>
      </c>
      <c r="P2937" s="205" t="s">
        <v>2276</v>
      </c>
      <c r="Q2937" s="205" t="s">
        <v>2276</v>
      </c>
      <c r="R2937" s="205" t="s">
        <v>2276</v>
      </c>
      <c r="S2937" s="205" t="s">
        <v>2276</v>
      </c>
      <c r="T2937" s="205" t="s">
        <v>2276</v>
      </c>
      <c r="U2937" s="205" t="s">
        <v>2276</v>
      </c>
      <c r="V2937" s="205" t="s">
        <v>2276</v>
      </c>
      <c r="W2937" s="205" t="s">
        <v>2276</v>
      </c>
      <c r="X2937" s="205" t="s">
        <v>2276</v>
      </c>
      <c r="Y2937" s="205" t="s">
        <v>2276</v>
      </c>
      <c r="Z2937" s="205" t="s">
        <v>2276</v>
      </c>
      <c r="AA2937" s="205" t="s">
        <v>2276</v>
      </c>
      <c r="AB2937" s="205" t="s">
        <v>2276</v>
      </c>
      <c r="AC2937" s="205"/>
      <c r="AD2937" s="205"/>
    </row>
    <row r="2938" spans="1:30" ht="33.5" customHeight="1">
      <c r="A2938" s="19" t="s">
        <v>7762</v>
      </c>
      <c r="B2938" s="205" t="s">
        <v>7904</v>
      </c>
      <c r="C2938" s="205" t="s">
        <v>24</v>
      </c>
      <c r="D2938" s="205" t="s">
        <v>1242</v>
      </c>
      <c r="E2938" s="205" t="s">
        <v>3209</v>
      </c>
      <c r="F2938" s="4" t="s">
        <v>2276</v>
      </c>
      <c r="G2938" s="4" t="s">
        <v>2276</v>
      </c>
      <c r="H2938" s="205" t="s">
        <v>523</v>
      </c>
      <c r="I2938" s="103"/>
      <c r="J2938" s="205" t="s">
        <v>2276</v>
      </c>
      <c r="K2938" s="205" t="s">
        <v>2276</v>
      </c>
      <c r="L2938" s="205" t="s">
        <v>2276</v>
      </c>
      <c r="M2938" s="205" t="s">
        <v>2276</v>
      </c>
      <c r="N2938" s="205" t="s">
        <v>2276</v>
      </c>
      <c r="O2938" s="205" t="s">
        <v>2276</v>
      </c>
      <c r="P2938" s="205" t="s">
        <v>2276</v>
      </c>
      <c r="Q2938" s="205" t="s">
        <v>2276</v>
      </c>
      <c r="R2938" s="205" t="s">
        <v>2276</v>
      </c>
      <c r="S2938" s="205" t="s">
        <v>2276</v>
      </c>
      <c r="T2938" s="205" t="s">
        <v>2276</v>
      </c>
      <c r="U2938" s="205" t="s">
        <v>2276</v>
      </c>
      <c r="V2938" s="205" t="s">
        <v>2276</v>
      </c>
      <c r="W2938" s="205" t="s">
        <v>2276</v>
      </c>
      <c r="X2938" s="205" t="s">
        <v>2276</v>
      </c>
      <c r="Y2938" s="205" t="s">
        <v>2276</v>
      </c>
      <c r="Z2938" s="205" t="s">
        <v>2276</v>
      </c>
      <c r="AA2938" s="205" t="s">
        <v>2276</v>
      </c>
      <c r="AB2938" s="205" t="s">
        <v>2276</v>
      </c>
      <c r="AC2938" s="205"/>
      <c r="AD2938" s="205"/>
    </row>
    <row r="2939" spans="1:30" ht="33.5" customHeight="1">
      <c r="A2939" s="19" t="s">
        <v>7763</v>
      </c>
      <c r="B2939" s="205" t="s">
        <v>7905</v>
      </c>
      <c r="C2939" s="205" t="s">
        <v>24</v>
      </c>
      <c r="D2939" s="205" t="s">
        <v>1242</v>
      </c>
      <c r="E2939" s="205" t="s">
        <v>3209</v>
      </c>
      <c r="F2939" s="4" t="s">
        <v>2276</v>
      </c>
      <c r="G2939" s="4" t="s">
        <v>2276</v>
      </c>
      <c r="H2939" s="205" t="s">
        <v>523</v>
      </c>
      <c r="I2939" s="103"/>
      <c r="J2939" s="205" t="s">
        <v>2276</v>
      </c>
      <c r="K2939" s="205" t="s">
        <v>2276</v>
      </c>
      <c r="L2939" s="205" t="s">
        <v>2276</v>
      </c>
      <c r="M2939" s="205" t="s">
        <v>2276</v>
      </c>
      <c r="N2939" s="205" t="s">
        <v>2276</v>
      </c>
      <c r="O2939" s="205" t="s">
        <v>2276</v>
      </c>
      <c r="P2939" s="205" t="s">
        <v>2276</v>
      </c>
      <c r="Q2939" s="205" t="s">
        <v>2276</v>
      </c>
      <c r="R2939" s="205" t="s">
        <v>2276</v>
      </c>
      <c r="S2939" s="205" t="s">
        <v>2276</v>
      </c>
      <c r="T2939" s="205" t="s">
        <v>2276</v>
      </c>
      <c r="U2939" s="205" t="s">
        <v>2276</v>
      </c>
      <c r="V2939" s="205" t="s">
        <v>2276</v>
      </c>
      <c r="W2939" s="205" t="s">
        <v>2276</v>
      </c>
      <c r="X2939" s="205" t="s">
        <v>2276</v>
      </c>
      <c r="Y2939" s="205" t="s">
        <v>2276</v>
      </c>
      <c r="Z2939" s="205" t="s">
        <v>2276</v>
      </c>
      <c r="AA2939" s="205" t="s">
        <v>2276</v>
      </c>
      <c r="AB2939" s="205" t="s">
        <v>2276</v>
      </c>
      <c r="AC2939" s="205"/>
      <c r="AD2939" s="205"/>
    </row>
    <row r="2940" spans="1:30" ht="33.5" customHeight="1">
      <c r="A2940" s="19" t="s">
        <v>7764</v>
      </c>
      <c r="B2940" s="205" t="s">
        <v>7906</v>
      </c>
      <c r="C2940" s="205" t="s">
        <v>24</v>
      </c>
      <c r="D2940" s="205" t="s">
        <v>1242</v>
      </c>
      <c r="E2940" s="205" t="s">
        <v>3209</v>
      </c>
      <c r="F2940" s="4" t="s">
        <v>2276</v>
      </c>
      <c r="G2940" s="4" t="s">
        <v>2276</v>
      </c>
      <c r="H2940" s="205" t="s">
        <v>524</v>
      </c>
      <c r="I2940" s="103"/>
      <c r="J2940" s="21">
        <v>0</v>
      </c>
      <c r="K2940" s="21">
        <v>0</v>
      </c>
      <c r="L2940" s="21">
        <v>0</v>
      </c>
      <c r="M2940" s="21">
        <v>0</v>
      </c>
      <c r="N2940" s="21">
        <v>0</v>
      </c>
      <c r="O2940" s="21">
        <v>0</v>
      </c>
      <c r="P2940" s="21">
        <v>0</v>
      </c>
      <c r="Q2940" s="21">
        <v>0</v>
      </c>
      <c r="R2940" s="21">
        <v>0</v>
      </c>
      <c r="S2940" s="21">
        <v>0</v>
      </c>
      <c r="T2940" s="21">
        <v>0</v>
      </c>
      <c r="U2940" s="21">
        <v>0</v>
      </c>
      <c r="V2940" s="21">
        <v>0</v>
      </c>
      <c r="W2940" s="21">
        <v>0</v>
      </c>
      <c r="X2940" s="21">
        <v>0</v>
      </c>
      <c r="Y2940" s="21">
        <v>0</v>
      </c>
      <c r="Z2940" s="205" t="s">
        <v>2276</v>
      </c>
      <c r="AA2940" s="205" t="s">
        <v>2276</v>
      </c>
      <c r="AB2940" s="205" t="s">
        <v>2276</v>
      </c>
      <c r="AC2940" s="205"/>
      <c r="AD2940" s="205"/>
    </row>
    <row r="2941" spans="1:30" ht="33.5" customHeight="1">
      <c r="A2941" s="19" t="s">
        <v>7832</v>
      </c>
      <c r="B2941" s="205" t="s">
        <v>7907</v>
      </c>
      <c r="C2941" s="205" t="s">
        <v>24</v>
      </c>
      <c r="D2941" s="205" t="s">
        <v>1242</v>
      </c>
      <c r="E2941" s="205" t="s">
        <v>3209</v>
      </c>
      <c r="F2941" s="4" t="s">
        <v>2276</v>
      </c>
      <c r="G2941" s="4" t="s">
        <v>2276</v>
      </c>
      <c r="H2941" s="205" t="s">
        <v>523</v>
      </c>
      <c r="I2941" s="103"/>
      <c r="J2941" s="205" t="s">
        <v>2276</v>
      </c>
      <c r="K2941" s="205" t="s">
        <v>2276</v>
      </c>
      <c r="L2941" s="205" t="s">
        <v>2276</v>
      </c>
      <c r="M2941" s="205" t="s">
        <v>2276</v>
      </c>
      <c r="N2941" s="205" t="s">
        <v>2276</v>
      </c>
      <c r="O2941" s="205" t="s">
        <v>2276</v>
      </c>
      <c r="P2941" s="205" t="s">
        <v>2276</v>
      </c>
      <c r="Q2941" s="205" t="s">
        <v>2276</v>
      </c>
      <c r="R2941" s="205" t="s">
        <v>2276</v>
      </c>
      <c r="S2941" s="205" t="s">
        <v>2276</v>
      </c>
      <c r="T2941" s="205" t="s">
        <v>2276</v>
      </c>
      <c r="U2941" s="205" t="s">
        <v>2276</v>
      </c>
      <c r="V2941" s="205" t="s">
        <v>2276</v>
      </c>
      <c r="W2941" s="205" t="s">
        <v>2276</v>
      </c>
      <c r="X2941" s="205" t="s">
        <v>2276</v>
      </c>
      <c r="Y2941" s="205" t="s">
        <v>2276</v>
      </c>
      <c r="Z2941" s="205" t="s">
        <v>2276</v>
      </c>
      <c r="AA2941" s="205" t="s">
        <v>2276</v>
      </c>
      <c r="AB2941" s="205" t="s">
        <v>2276</v>
      </c>
      <c r="AC2941" s="205"/>
      <c r="AD2941" s="205"/>
    </row>
    <row r="2942" spans="1:30" ht="33.5" customHeight="1">
      <c r="A2942" s="19" t="s">
        <v>7833</v>
      </c>
      <c r="B2942" s="205" t="s">
        <v>7908</v>
      </c>
      <c r="C2942" s="205" t="s">
        <v>24</v>
      </c>
      <c r="D2942" s="205" t="s">
        <v>1242</v>
      </c>
      <c r="E2942" s="205" t="s">
        <v>3209</v>
      </c>
      <c r="F2942" s="4" t="s">
        <v>2276</v>
      </c>
      <c r="G2942" s="4" t="s">
        <v>2276</v>
      </c>
      <c r="H2942" s="205" t="s">
        <v>523</v>
      </c>
      <c r="I2942" s="103"/>
      <c r="J2942" s="205" t="s">
        <v>2276</v>
      </c>
      <c r="K2942" s="205" t="s">
        <v>2276</v>
      </c>
      <c r="L2942" s="205" t="s">
        <v>2276</v>
      </c>
      <c r="M2942" s="205" t="s">
        <v>2276</v>
      </c>
      <c r="N2942" s="205" t="s">
        <v>2276</v>
      </c>
      <c r="O2942" s="205" t="s">
        <v>2276</v>
      </c>
      <c r="P2942" s="205" t="s">
        <v>2276</v>
      </c>
      <c r="Q2942" s="205" t="s">
        <v>2276</v>
      </c>
      <c r="R2942" s="205" t="s">
        <v>2276</v>
      </c>
      <c r="S2942" s="205" t="s">
        <v>2276</v>
      </c>
      <c r="T2942" s="205" t="s">
        <v>2276</v>
      </c>
      <c r="U2942" s="205" t="s">
        <v>2276</v>
      </c>
      <c r="V2942" s="205" t="s">
        <v>2276</v>
      </c>
      <c r="W2942" s="205" t="s">
        <v>2276</v>
      </c>
      <c r="X2942" s="205" t="s">
        <v>2276</v>
      </c>
      <c r="Y2942" s="205" t="s">
        <v>2276</v>
      </c>
      <c r="Z2942" s="205" t="s">
        <v>2276</v>
      </c>
      <c r="AA2942" s="205" t="s">
        <v>2276</v>
      </c>
      <c r="AB2942" s="205" t="s">
        <v>2276</v>
      </c>
      <c r="AC2942" s="205"/>
      <c r="AD2942" s="205"/>
    </row>
    <row r="2943" spans="1:30" ht="33.5" customHeight="1">
      <c r="A2943" s="19" t="s">
        <v>7834</v>
      </c>
      <c r="B2943" s="205" t="s">
        <v>7909</v>
      </c>
      <c r="C2943" s="205" t="s">
        <v>24</v>
      </c>
      <c r="D2943" s="205" t="s">
        <v>1242</v>
      </c>
      <c r="E2943" s="205" t="s">
        <v>3209</v>
      </c>
      <c r="F2943" s="4" t="s">
        <v>2276</v>
      </c>
      <c r="G2943" s="4" t="s">
        <v>2276</v>
      </c>
      <c r="H2943" s="205" t="s">
        <v>523</v>
      </c>
      <c r="I2943" s="103"/>
      <c r="J2943" s="205" t="s">
        <v>2276</v>
      </c>
      <c r="K2943" s="205" t="s">
        <v>2276</v>
      </c>
      <c r="L2943" s="205" t="s">
        <v>2276</v>
      </c>
      <c r="M2943" s="205" t="s">
        <v>2276</v>
      </c>
      <c r="N2943" s="205" t="s">
        <v>2276</v>
      </c>
      <c r="O2943" s="205" t="s">
        <v>2276</v>
      </c>
      <c r="P2943" s="205" t="s">
        <v>2276</v>
      </c>
      <c r="Q2943" s="205" t="s">
        <v>2276</v>
      </c>
      <c r="R2943" s="205" t="s">
        <v>2276</v>
      </c>
      <c r="S2943" s="205" t="s">
        <v>2276</v>
      </c>
      <c r="T2943" s="205" t="s">
        <v>2276</v>
      </c>
      <c r="U2943" s="205" t="s">
        <v>2276</v>
      </c>
      <c r="V2943" s="205" t="s">
        <v>2276</v>
      </c>
      <c r="W2943" s="205" t="s">
        <v>2276</v>
      </c>
      <c r="X2943" s="205" t="s">
        <v>2276</v>
      </c>
      <c r="Y2943" s="205" t="s">
        <v>2276</v>
      </c>
      <c r="Z2943" s="205" t="s">
        <v>2276</v>
      </c>
      <c r="AA2943" s="205" t="s">
        <v>2276</v>
      </c>
      <c r="AB2943" s="205" t="s">
        <v>2276</v>
      </c>
      <c r="AC2943" s="205"/>
      <c r="AD2943" s="205"/>
    </row>
    <row r="2944" spans="1:30" ht="33.5" customHeight="1">
      <c r="A2944" s="19" t="s">
        <v>7835</v>
      </c>
      <c r="B2944" s="205" t="s">
        <v>7910</v>
      </c>
      <c r="C2944" s="205" t="s">
        <v>24</v>
      </c>
      <c r="D2944" s="205" t="s">
        <v>1242</v>
      </c>
      <c r="E2944" s="205" t="s">
        <v>3209</v>
      </c>
      <c r="F2944" s="4" t="s">
        <v>2276</v>
      </c>
      <c r="G2944" s="4" t="s">
        <v>2276</v>
      </c>
      <c r="H2944" s="205" t="s">
        <v>523</v>
      </c>
      <c r="I2944" s="103"/>
      <c r="J2944" s="205" t="s">
        <v>2276</v>
      </c>
      <c r="K2944" s="205" t="s">
        <v>2276</v>
      </c>
      <c r="L2944" s="205" t="s">
        <v>2276</v>
      </c>
      <c r="M2944" s="205" t="s">
        <v>2276</v>
      </c>
      <c r="N2944" s="205" t="s">
        <v>2276</v>
      </c>
      <c r="O2944" s="205" t="s">
        <v>2276</v>
      </c>
      <c r="P2944" s="205" t="s">
        <v>2276</v>
      </c>
      <c r="Q2944" s="205" t="s">
        <v>2276</v>
      </c>
      <c r="R2944" s="205" t="s">
        <v>2276</v>
      </c>
      <c r="S2944" s="205" t="s">
        <v>2276</v>
      </c>
      <c r="T2944" s="205" t="s">
        <v>2276</v>
      </c>
      <c r="U2944" s="205" t="s">
        <v>2276</v>
      </c>
      <c r="V2944" s="205" t="s">
        <v>2276</v>
      </c>
      <c r="W2944" s="205" t="s">
        <v>2276</v>
      </c>
      <c r="X2944" s="205" t="s">
        <v>2276</v>
      </c>
      <c r="Y2944" s="205" t="s">
        <v>2276</v>
      </c>
      <c r="Z2944" s="205" t="s">
        <v>2276</v>
      </c>
      <c r="AA2944" s="205" t="s">
        <v>2276</v>
      </c>
      <c r="AB2944" s="205" t="s">
        <v>2276</v>
      </c>
      <c r="AC2944" s="205"/>
      <c r="AD2944" s="205"/>
    </row>
    <row r="2945" spans="1:30" ht="33.5" customHeight="1">
      <c r="A2945" s="19" t="s">
        <v>7836</v>
      </c>
      <c r="B2945" s="205" t="s">
        <v>7911</v>
      </c>
      <c r="C2945" s="205" t="s">
        <v>24</v>
      </c>
      <c r="D2945" s="205" t="s">
        <v>1242</v>
      </c>
      <c r="E2945" s="205" t="s">
        <v>3209</v>
      </c>
      <c r="F2945" s="4" t="s">
        <v>2276</v>
      </c>
      <c r="G2945" s="4" t="s">
        <v>2276</v>
      </c>
      <c r="H2945" s="205" t="s">
        <v>523</v>
      </c>
      <c r="I2945" s="103"/>
      <c r="J2945" s="205" t="s">
        <v>2276</v>
      </c>
      <c r="K2945" s="205" t="s">
        <v>2276</v>
      </c>
      <c r="L2945" s="205" t="s">
        <v>2276</v>
      </c>
      <c r="M2945" s="205" t="s">
        <v>2276</v>
      </c>
      <c r="N2945" s="205" t="s">
        <v>2276</v>
      </c>
      <c r="O2945" s="205" t="s">
        <v>2276</v>
      </c>
      <c r="P2945" s="205" t="s">
        <v>2276</v>
      </c>
      <c r="Q2945" s="205" t="s">
        <v>2276</v>
      </c>
      <c r="R2945" s="205" t="s">
        <v>2276</v>
      </c>
      <c r="S2945" s="205" t="s">
        <v>2276</v>
      </c>
      <c r="T2945" s="205" t="s">
        <v>2276</v>
      </c>
      <c r="U2945" s="205" t="s">
        <v>2276</v>
      </c>
      <c r="V2945" s="205" t="s">
        <v>2276</v>
      </c>
      <c r="W2945" s="205" t="s">
        <v>2276</v>
      </c>
      <c r="X2945" s="205" t="s">
        <v>2276</v>
      </c>
      <c r="Y2945" s="205" t="s">
        <v>2276</v>
      </c>
      <c r="Z2945" s="205" t="s">
        <v>2276</v>
      </c>
      <c r="AA2945" s="205" t="s">
        <v>2276</v>
      </c>
      <c r="AB2945" s="205" t="s">
        <v>2276</v>
      </c>
      <c r="AC2945" s="205"/>
      <c r="AD2945" s="205"/>
    </row>
    <row r="2946" spans="1:30" ht="33.5" customHeight="1">
      <c r="A2946" s="19" t="s">
        <v>7837</v>
      </c>
      <c r="B2946" s="205" t="s">
        <v>7912</v>
      </c>
      <c r="C2946" s="205" t="s">
        <v>24</v>
      </c>
      <c r="D2946" s="205" t="s">
        <v>1242</v>
      </c>
      <c r="E2946" s="205" t="s">
        <v>3209</v>
      </c>
      <c r="F2946" s="4" t="s">
        <v>2276</v>
      </c>
      <c r="G2946" s="4" t="s">
        <v>2276</v>
      </c>
      <c r="H2946" s="205" t="s">
        <v>523</v>
      </c>
      <c r="I2946" s="103"/>
      <c r="J2946" s="205" t="s">
        <v>2276</v>
      </c>
      <c r="K2946" s="205" t="s">
        <v>2276</v>
      </c>
      <c r="L2946" s="205" t="s">
        <v>2276</v>
      </c>
      <c r="M2946" s="205" t="s">
        <v>2276</v>
      </c>
      <c r="N2946" s="205" t="s">
        <v>2276</v>
      </c>
      <c r="O2946" s="205" t="s">
        <v>2276</v>
      </c>
      <c r="P2946" s="205" t="s">
        <v>2276</v>
      </c>
      <c r="Q2946" s="205" t="s">
        <v>2276</v>
      </c>
      <c r="R2946" s="205" t="s">
        <v>2276</v>
      </c>
      <c r="S2946" s="205" t="s">
        <v>2276</v>
      </c>
      <c r="T2946" s="205" t="s">
        <v>2276</v>
      </c>
      <c r="U2946" s="205" t="s">
        <v>2276</v>
      </c>
      <c r="V2946" s="205" t="s">
        <v>2276</v>
      </c>
      <c r="W2946" s="205" t="s">
        <v>2276</v>
      </c>
      <c r="X2946" s="205" t="s">
        <v>2276</v>
      </c>
      <c r="Y2946" s="205" t="s">
        <v>2276</v>
      </c>
      <c r="Z2946" s="205" t="s">
        <v>2276</v>
      </c>
      <c r="AA2946" s="205" t="s">
        <v>2276</v>
      </c>
      <c r="AB2946" s="205" t="s">
        <v>2276</v>
      </c>
      <c r="AC2946" s="205"/>
      <c r="AD2946" s="205"/>
    </row>
    <row r="2947" spans="1:30" ht="33.5" customHeight="1">
      <c r="A2947" s="19" t="s">
        <v>7838</v>
      </c>
      <c r="B2947" s="205" t="s">
        <v>7913</v>
      </c>
      <c r="C2947" s="205" t="s">
        <v>24</v>
      </c>
      <c r="D2947" s="205" t="s">
        <v>1242</v>
      </c>
      <c r="E2947" s="205" t="s">
        <v>3209</v>
      </c>
      <c r="F2947" s="4" t="s">
        <v>2276</v>
      </c>
      <c r="G2947" s="4" t="s">
        <v>2276</v>
      </c>
      <c r="H2947" s="205" t="s">
        <v>523</v>
      </c>
      <c r="I2947" s="103"/>
      <c r="J2947" s="205" t="s">
        <v>2276</v>
      </c>
      <c r="K2947" s="205" t="s">
        <v>2276</v>
      </c>
      <c r="L2947" s="205" t="s">
        <v>2276</v>
      </c>
      <c r="M2947" s="205" t="s">
        <v>2276</v>
      </c>
      <c r="N2947" s="205" t="s">
        <v>2276</v>
      </c>
      <c r="O2947" s="205" t="s">
        <v>2276</v>
      </c>
      <c r="P2947" s="205" t="s">
        <v>2276</v>
      </c>
      <c r="Q2947" s="205" t="s">
        <v>2276</v>
      </c>
      <c r="R2947" s="205" t="s">
        <v>2276</v>
      </c>
      <c r="S2947" s="205" t="s">
        <v>2276</v>
      </c>
      <c r="T2947" s="205" t="s">
        <v>2276</v>
      </c>
      <c r="U2947" s="205" t="s">
        <v>2276</v>
      </c>
      <c r="V2947" s="205" t="s">
        <v>2276</v>
      </c>
      <c r="W2947" s="205" t="s">
        <v>2276</v>
      </c>
      <c r="X2947" s="205" t="s">
        <v>2276</v>
      </c>
      <c r="Y2947" s="205" t="s">
        <v>2276</v>
      </c>
      <c r="Z2947" s="205" t="s">
        <v>2276</v>
      </c>
      <c r="AA2947" s="205" t="s">
        <v>2276</v>
      </c>
      <c r="AB2947" s="205" t="s">
        <v>2276</v>
      </c>
      <c r="AC2947" s="205"/>
      <c r="AD2947" s="205"/>
    </row>
    <row r="2948" spans="1:30" ht="33.5" customHeight="1">
      <c r="A2948" s="19" t="s">
        <v>7742</v>
      </c>
      <c r="B2948" s="205" t="s">
        <v>7883</v>
      </c>
      <c r="C2948" s="205" t="s">
        <v>24</v>
      </c>
      <c r="D2948" s="205" t="s">
        <v>1242</v>
      </c>
      <c r="E2948" s="205" t="s">
        <v>3209</v>
      </c>
      <c r="F2948" s="4" t="s">
        <v>2276</v>
      </c>
      <c r="G2948" s="4" t="s">
        <v>2276</v>
      </c>
      <c r="H2948" s="205" t="s">
        <v>523</v>
      </c>
      <c r="I2948" s="103"/>
      <c r="J2948" s="205" t="s">
        <v>2276</v>
      </c>
      <c r="K2948" s="205" t="s">
        <v>2276</v>
      </c>
      <c r="L2948" s="205" t="s">
        <v>2276</v>
      </c>
      <c r="M2948" s="205" t="s">
        <v>2276</v>
      </c>
      <c r="N2948" s="205" t="s">
        <v>2276</v>
      </c>
      <c r="O2948" s="205" t="s">
        <v>2276</v>
      </c>
      <c r="P2948" s="205" t="s">
        <v>2276</v>
      </c>
      <c r="Q2948" s="205" t="s">
        <v>2276</v>
      </c>
      <c r="R2948" s="205" t="s">
        <v>2276</v>
      </c>
      <c r="S2948" s="205" t="s">
        <v>2276</v>
      </c>
      <c r="T2948" s="205" t="s">
        <v>2276</v>
      </c>
      <c r="U2948" s="205" t="s">
        <v>2276</v>
      </c>
      <c r="V2948" s="205" t="s">
        <v>2276</v>
      </c>
      <c r="W2948" s="205" t="s">
        <v>2276</v>
      </c>
      <c r="X2948" s="205" t="s">
        <v>2276</v>
      </c>
      <c r="Y2948" s="205" t="s">
        <v>2276</v>
      </c>
      <c r="Z2948" s="205" t="s">
        <v>2276</v>
      </c>
      <c r="AA2948" s="205" t="s">
        <v>2276</v>
      </c>
      <c r="AB2948" s="205" t="s">
        <v>2276</v>
      </c>
      <c r="AC2948" s="205"/>
      <c r="AD2948" s="205"/>
    </row>
    <row r="2949" spans="1:30" ht="33.5" customHeight="1">
      <c r="A2949" s="19" t="s">
        <v>7839</v>
      </c>
      <c r="B2949" s="205" t="s">
        <v>7914</v>
      </c>
      <c r="C2949" s="205" t="s">
        <v>24</v>
      </c>
      <c r="D2949" s="205" t="s">
        <v>1242</v>
      </c>
      <c r="E2949" s="205" t="s">
        <v>3209</v>
      </c>
      <c r="F2949" s="4" t="s">
        <v>2276</v>
      </c>
      <c r="G2949" s="4" t="s">
        <v>2276</v>
      </c>
      <c r="H2949" s="205" t="s">
        <v>523</v>
      </c>
      <c r="I2949" s="103"/>
      <c r="J2949" s="205" t="s">
        <v>2276</v>
      </c>
      <c r="K2949" s="205" t="s">
        <v>2276</v>
      </c>
      <c r="L2949" s="205" t="s">
        <v>2276</v>
      </c>
      <c r="M2949" s="205" t="s">
        <v>2276</v>
      </c>
      <c r="N2949" s="205" t="s">
        <v>2276</v>
      </c>
      <c r="O2949" s="205" t="s">
        <v>2276</v>
      </c>
      <c r="P2949" s="205" t="s">
        <v>2276</v>
      </c>
      <c r="Q2949" s="205" t="s">
        <v>2276</v>
      </c>
      <c r="R2949" s="205" t="s">
        <v>2276</v>
      </c>
      <c r="S2949" s="205" t="s">
        <v>2276</v>
      </c>
      <c r="T2949" s="205" t="s">
        <v>2276</v>
      </c>
      <c r="U2949" s="205" t="s">
        <v>2276</v>
      </c>
      <c r="V2949" s="205" t="s">
        <v>2276</v>
      </c>
      <c r="W2949" s="205" t="s">
        <v>2276</v>
      </c>
      <c r="X2949" s="205" t="s">
        <v>2276</v>
      </c>
      <c r="Y2949" s="205" t="s">
        <v>2276</v>
      </c>
      <c r="Z2949" s="205" t="s">
        <v>2276</v>
      </c>
      <c r="AA2949" s="205" t="s">
        <v>2276</v>
      </c>
      <c r="AB2949" s="205" t="s">
        <v>2276</v>
      </c>
      <c r="AC2949" s="205"/>
      <c r="AD2949" s="205"/>
    </row>
    <row r="2950" spans="1:30" ht="33.5" customHeight="1">
      <c r="A2950" s="19" t="s">
        <v>7840</v>
      </c>
      <c r="B2950" s="205" t="s">
        <v>7915</v>
      </c>
      <c r="C2950" s="205" t="s">
        <v>24</v>
      </c>
      <c r="D2950" s="205" t="s">
        <v>1242</v>
      </c>
      <c r="E2950" s="205" t="s">
        <v>3209</v>
      </c>
      <c r="F2950" s="4" t="s">
        <v>2276</v>
      </c>
      <c r="G2950" s="4" t="s">
        <v>2276</v>
      </c>
      <c r="H2950" s="205" t="s">
        <v>524</v>
      </c>
      <c r="I2950" s="103"/>
      <c r="J2950" s="21">
        <v>0</v>
      </c>
      <c r="K2950" s="21">
        <v>0</v>
      </c>
      <c r="L2950" s="21">
        <v>0</v>
      </c>
      <c r="M2950" s="21">
        <v>0</v>
      </c>
      <c r="N2950" s="21">
        <v>0</v>
      </c>
      <c r="O2950" s="21">
        <v>0</v>
      </c>
      <c r="P2950" s="21">
        <v>0</v>
      </c>
      <c r="Q2950" s="21">
        <v>0</v>
      </c>
      <c r="R2950" s="21">
        <v>0</v>
      </c>
      <c r="S2950" s="21">
        <v>0</v>
      </c>
      <c r="T2950" s="21">
        <v>0</v>
      </c>
      <c r="U2950" s="21">
        <v>0</v>
      </c>
      <c r="V2950" s="21">
        <v>0</v>
      </c>
      <c r="W2950" s="21">
        <v>0</v>
      </c>
      <c r="X2950" s="21">
        <v>0</v>
      </c>
      <c r="Y2950" s="21">
        <v>0</v>
      </c>
      <c r="Z2950" s="205" t="s">
        <v>2276</v>
      </c>
      <c r="AA2950" s="205" t="s">
        <v>2276</v>
      </c>
      <c r="AB2950" s="205" t="s">
        <v>2276</v>
      </c>
      <c r="AC2950" s="205"/>
      <c r="AD2950" s="205"/>
    </row>
    <row r="2951" spans="1:30" ht="33.5" customHeight="1">
      <c r="A2951" s="19" t="s">
        <v>7841</v>
      </c>
      <c r="B2951" s="205" t="s">
        <v>7916</v>
      </c>
      <c r="C2951" s="205" t="s">
        <v>24</v>
      </c>
      <c r="D2951" s="205" t="s">
        <v>1242</v>
      </c>
      <c r="E2951" s="205" t="s">
        <v>3209</v>
      </c>
      <c r="F2951" s="4" t="s">
        <v>2276</v>
      </c>
      <c r="G2951" s="4" t="s">
        <v>2276</v>
      </c>
      <c r="H2951" s="205" t="s">
        <v>523</v>
      </c>
      <c r="I2951" s="103"/>
      <c r="J2951" s="205" t="s">
        <v>2276</v>
      </c>
      <c r="K2951" s="205" t="s">
        <v>2276</v>
      </c>
      <c r="L2951" s="205" t="s">
        <v>2276</v>
      </c>
      <c r="M2951" s="205" t="s">
        <v>2276</v>
      </c>
      <c r="N2951" s="205" t="s">
        <v>2276</v>
      </c>
      <c r="O2951" s="205" t="s">
        <v>2276</v>
      </c>
      <c r="P2951" s="205" t="s">
        <v>2276</v>
      </c>
      <c r="Q2951" s="205" t="s">
        <v>2276</v>
      </c>
      <c r="R2951" s="205" t="s">
        <v>2276</v>
      </c>
      <c r="S2951" s="205" t="s">
        <v>2276</v>
      </c>
      <c r="T2951" s="205" t="s">
        <v>2276</v>
      </c>
      <c r="U2951" s="205" t="s">
        <v>2276</v>
      </c>
      <c r="V2951" s="205" t="s">
        <v>2276</v>
      </c>
      <c r="W2951" s="205" t="s">
        <v>2276</v>
      </c>
      <c r="X2951" s="205" t="s">
        <v>2276</v>
      </c>
      <c r="Y2951" s="205" t="s">
        <v>2276</v>
      </c>
      <c r="Z2951" s="205" t="s">
        <v>2276</v>
      </c>
      <c r="AA2951" s="205" t="s">
        <v>2276</v>
      </c>
      <c r="AB2951" s="205" t="s">
        <v>2276</v>
      </c>
      <c r="AC2951" s="205"/>
      <c r="AD2951" s="205"/>
    </row>
    <row r="2952" spans="1:30" ht="33.5" customHeight="1">
      <c r="A2952" s="19" t="s">
        <v>7842</v>
      </c>
      <c r="B2952" s="205" t="s">
        <v>7917</v>
      </c>
      <c r="C2952" s="205" t="s">
        <v>24</v>
      </c>
      <c r="D2952" s="205" t="s">
        <v>1242</v>
      </c>
      <c r="E2952" s="205" t="s">
        <v>3209</v>
      </c>
      <c r="F2952" s="4" t="s">
        <v>2276</v>
      </c>
      <c r="G2952" s="4" t="s">
        <v>2276</v>
      </c>
      <c r="H2952" s="205" t="s">
        <v>523</v>
      </c>
      <c r="I2952" s="103"/>
      <c r="J2952" s="205" t="s">
        <v>2276</v>
      </c>
      <c r="K2952" s="205" t="s">
        <v>2276</v>
      </c>
      <c r="L2952" s="205" t="s">
        <v>2276</v>
      </c>
      <c r="M2952" s="205" t="s">
        <v>2276</v>
      </c>
      <c r="N2952" s="205" t="s">
        <v>2276</v>
      </c>
      <c r="O2952" s="205" t="s">
        <v>2276</v>
      </c>
      <c r="P2952" s="205" t="s">
        <v>2276</v>
      </c>
      <c r="Q2952" s="205" t="s">
        <v>2276</v>
      </c>
      <c r="R2952" s="205" t="s">
        <v>2276</v>
      </c>
      <c r="S2952" s="205" t="s">
        <v>2276</v>
      </c>
      <c r="T2952" s="205" t="s">
        <v>2276</v>
      </c>
      <c r="U2952" s="205" t="s">
        <v>2276</v>
      </c>
      <c r="V2952" s="205" t="s">
        <v>2276</v>
      </c>
      <c r="W2952" s="205" t="s">
        <v>2276</v>
      </c>
      <c r="X2952" s="205" t="s">
        <v>2276</v>
      </c>
      <c r="Y2952" s="205" t="s">
        <v>2276</v>
      </c>
      <c r="Z2952" s="205" t="s">
        <v>2276</v>
      </c>
      <c r="AA2952" s="205" t="s">
        <v>2276</v>
      </c>
      <c r="AB2952" s="205" t="s">
        <v>2276</v>
      </c>
      <c r="AC2952" s="205"/>
      <c r="AD2952" s="205"/>
    </row>
    <row r="2953" spans="1:30" ht="33.5" customHeight="1">
      <c r="A2953" s="19" t="s">
        <v>7843</v>
      </c>
      <c r="B2953" s="205" t="s">
        <v>7918</v>
      </c>
      <c r="C2953" s="205" t="s">
        <v>24</v>
      </c>
      <c r="D2953" s="205" t="s">
        <v>1242</v>
      </c>
      <c r="E2953" s="205" t="s">
        <v>3209</v>
      </c>
      <c r="F2953" s="4" t="s">
        <v>2276</v>
      </c>
      <c r="G2953" s="4" t="s">
        <v>2276</v>
      </c>
      <c r="H2953" s="205" t="s">
        <v>523</v>
      </c>
      <c r="I2953" s="103"/>
      <c r="J2953" s="205" t="s">
        <v>2276</v>
      </c>
      <c r="K2953" s="205" t="s">
        <v>2276</v>
      </c>
      <c r="L2953" s="205" t="s">
        <v>2276</v>
      </c>
      <c r="M2953" s="205" t="s">
        <v>2276</v>
      </c>
      <c r="N2953" s="205" t="s">
        <v>2276</v>
      </c>
      <c r="O2953" s="205" t="s">
        <v>2276</v>
      </c>
      <c r="P2953" s="205" t="s">
        <v>2276</v>
      </c>
      <c r="Q2953" s="205" t="s">
        <v>2276</v>
      </c>
      <c r="R2953" s="205" t="s">
        <v>2276</v>
      </c>
      <c r="S2953" s="205" t="s">
        <v>2276</v>
      </c>
      <c r="T2953" s="205" t="s">
        <v>2276</v>
      </c>
      <c r="U2953" s="205" t="s">
        <v>2276</v>
      </c>
      <c r="V2953" s="205" t="s">
        <v>2276</v>
      </c>
      <c r="W2953" s="205" t="s">
        <v>2276</v>
      </c>
      <c r="X2953" s="205" t="s">
        <v>2276</v>
      </c>
      <c r="Y2953" s="205" t="s">
        <v>2276</v>
      </c>
      <c r="Z2953" s="205" t="s">
        <v>2276</v>
      </c>
      <c r="AA2953" s="205" t="s">
        <v>2276</v>
      </c>
      <c r="AB2953" s="205" t="s">
        <v>2276</v>
      </c>
      <c r="AC2953" s="205"/>
      <c r="AD2953" s="205"/>
    </row>
    <row r="2954" spans="1:30" ht="33.5" customHeight="1">
      <c r="A2954" s="19" t="s">
        <v>7844</v>
      </c>
      <c r="B2954" s="205" t="s">
        <v>7919</v>
      </c>
      <c r="C2954" s="205" t="s">
        <v>24</v>
      </c>
      <c r="D2954" s="205" t="s">
        <v>1242</v>
      </c>
      <c r="E2954" s="205" t="s">
        <v>3209</v>
      </c>
      <c r="F2954" s="4" t="s">
        <v>2276</v>
      </c>
      <c r="G2954" s="4" t="s">
        <v>2276</v>
      </c>
      <c r="H2954" s="205" t="s">
        <v>523</v>
      </c>
      <c r="I2954" s="103"/>
      <c r="J2954" s="205" t="s">
        <v>2276</v>
      </c>
      <c r="K2954" s="205" t="s">
        <v>2276</v>
      </c>
      <c r="L2954" s="205" t="s">
        <v>2276</v>
      </c>
      <c r="M2954" s="205" t="s">
        <v>2276</v>
      </c>
      <c r="N2954" s="205" t="s">
        <v>2276</v>
      </c>
      <c r="O2954" s="205" t="s">
        <v>2276</v>
      </c>
      <c r="P2954" s="205" t="s">
        <v>2276</v>
      </c>
      <c r="Q2954" s="205" t="s">
        <v>2276</v>
      </c>
      <c r="R2954" s="205" t="s">
        <v>2276</v>
      </c>
      <c r="S2954" s="205" t="s">
        <v>2276</v>
      </c>
      <c r="T2954" s="205" t="s">
        <v>2276</v>
      </c>
      <c r="U2954" s="205" t="s">
        <v>2276</v>
      </c>
      <c r="V2954" s="205" t="s">
        <v>2276</v>
      </c>
      <c r="W2954" s="205" t="s">
        <v>2276</v>
      </c>
      <c r="X2954" s="205" t="s">
        <v>2276</v>
      </c>
      <c r="Y2954" s="205" t="s">
        <v>2276</v>
      </c>
      <c r="Z2954" s="205" t="s">
        <v>2276</v>
      </c>
      <c r="AA2954" s="205" t="s">
        <v>2276</v>
      </c>
      <c r="AB2954" s="205" t="s">
        <v>2276</v>
      </c>
      <c r="AC2954" s="205"/>
      <c r="AD2954" s="205"/>
    </row>
    <row r="2955" spans="1:30" ht="33.5" customHeight="1">
      <c r="A2955" s="19" t="s">
        <v>7845</v>
      </c>
      <c r="B2955" s="205" t="s">
        <v>7920</v>
      </c>
      <c r="C2955" s="205" t="s">
        <v>24</v>
      </c>
      <c r="D2955" s="205" t="s">
        <v>1242</v>
      </c>
      <c r="E2955" s="205" t="s">
        <v>3209</v>
      </c>
      <c r="F2955" s="4" t="s">
        <v>2276</v>
      </c>
      <c r="G2955" s="4" t="s">
        <v>2276</v>
      </c>
      <c r="H2955" s="205" t="s">
        <v>524</v>
      </c>
      <c r="I2955" s="103"/>
      <c r="J2955" s="21">
        <v>0</v>
      </c>
      <c r="K2955" s="21">
        <v>0</v>
      </c>
      <c r="L2955" s="21">
        <v>0</v>
      </c>
      <c r="M2955" s="21">
        <v>0</v>
      </c>
      <c r="N2955" s="21">
        <v>0</v>
      </c>
      <c r="O2955" s="21">
        <v>0</v>
      </c>
      <c r="P2955" s="21">
        <v>0</v>
      </c>
      <c r="Q2955" s="21">
        <v>0</v>
      </c>
      <c r="R2955" s="21">
        <v>0</v>
      </c>
      <c r="S2955" s="21">
        <v>0</v>
      </c>
      <c r="T2955" s="21">
        <v>0</v>
      </c>
      <c r="U2955" s="21">
        <v>0</v>
      </c>
      <c r="V2955" s="21">
        <v>0</v>
      </c>
      <c r="W2955" s="21">
        <v>0</v>
      </c>
      <c r="X2955" s="21">
        <v>0</v>
      </c>
      <c r="Y2955" s="21">
        <v>0</v>
      </c>
      <c r="Z2955" s="205" t="s">
        <v>2276</v>
      </c>
      <c r="AA2955" s="205" t="s">
        <v>2276</v>
      </c>
      <c r="AB2955" s="205" t="s">
        <v>2276</v>
      </c>
      <c r="AC2955" s="205"/>
      <c r="AD2955" s="205"/>
    </row>
    <row r="2956" spans="1:30" ht="33.5" customHeight="1">
      <c r="A2956" s="19" t="s">
        <v>7846</v>
      </c>
      <c r="B2956" s="205" t="s">
        <v>7921</v>
      </c>
      <c r="C2956" s="205" t="s">
        <v>24</v>
      </c>
      <c r="D2956" s="205" t="s">
        <v>1242</v>
      </c>
      <c r="E2956" s="205" t="s">
        <v>3209</v>
      </c>
      <c r="F2956" s="4" t="s">
        <v>2276</v>
      </c>
      <c r="G2956" s="4" t="s">
        <v>2276</v>
      </c>
      <c r="H2956" s="205" t="s">
        <v>523</v>
      </c>
      <c r="I2956" s="103"/>
      <c r="J2956" s="205" t="s">
        <v>2276</v>
      </c>
      <c r="K2956" s="205" t="s">
        <v>2276</v>
      </c>
      <c r="L2956" s="205" t="s">
        <v>2276</v>
      </c>
      <c r="M2956" s="205" t="s">
        <v>2276</v>
      </c>
      <c r="N2956" s="205" t="s">
        <v>2276</v>
      </c>
      <c r="O2956" s="205" t="s">
        <v>2276</v>
      </c>
      <c r="P2956" s="205" t="s">
        <v>2276</v>
      </c>
      <c r="Q2956" s="205" t="s">
        <v>2276</v>
      </c>
      <c r="R2956" s="205" t="s">
        <v>2276</v>
      </c>
      <c r="S2956" s="205" t="s">
        <v>2276</v>
      </c>
      <c r="T2956" s="205" t="s">
        <v>2276</v>
      </c>
      <c r="U2956" s="205" t="s">
        <v>2276</v>
      </c>
      <c r="V2956" s="205" t="s">
        <v>2276</v>
      </c>
      <c r="W2956" s="205" t="s">
        <v>2276</v>
      </c>
      <c r="X2956" s="205" t="s">
        <v>2276</v>
      </c>
      <c r="Y2956" s="205" t="s">
        <v>2276</v>
      </c>
      <c r="Z2956" s="205" t="s">
        <v>2276</v>
      </c>
      <c r="AA2956" s="205" t="s">
        <v>2276</v>
      </c>
      <c r="AB2956" s="205" t="s">
        <v>2276</v>
      </c>
      <c r="AC2956" s="205"/>
      <c r="AD2956" s="205"/>
    </row>
  </sheetData>
  <autoFilter ref="A1:A2956" xr:uid="{D405E82D-CEF6-4829-BDC0-0DC5C7DCFB8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136" yWindow="393" count="15">
    <dataValidation type="decimal" allowBlank="1" showInputMessage="1" showErrorMessage="1" prompt="Float" sqref="S671:W674 Y274:Y282 Y671:Y673 Y593 J157:J442 J505:J524 K531:N531 K529:N529 K1240:L1242 J2:J150 J622:J651 J654:J669 Y654 Y676:Y677 J676:J788 Y891:Y895 Y679:Y682 K676:P682 K593:P593 K506:P506 K274:P282 J671:P674 K654:P654 AB891:AB894 Y950 J890:J895 Y971 Y978 J971 J978 J1091:W1091 J1111:W1112 J1123:W1124 Y1129 Y1133 Y1135 Y1137 Y1131 Y1145 J1129:J1138 K1154:S1159 Y1172:AB1178 Y1179:Y1186 Y1187:AB1207 J1152:J1195 Y1224:AB1225 Y1227:AB1227 Y1245:Y1250 Y1277 Y1279 J1326:W1329 J1350:W1357 J1364:W1366 J1372:W1372 J1407:W1407 J1469:W1469 K150:W150 J1489:W1497 J1502:W1502 J1517:W1519 J1528:W1528 J1561:W1561 J1565:W1568 J1570:W1570 J1572:W1572 J1574:W1584 J1592:W1592 J1594:W1594 Y1605 Y1597 Y1603 Y1608 Y1612:Y1622 Y1627:Y1629 J1649:W1649 J1668:W1668 J1665:J1666 J1672:W1674 Y603:Y618 Y1849:Y1850 J526:J589 J591:J620 J1849:S1850 J1922:W1937 J1972:W1975 J1990:W1990 J1995:W1998 J2030:W2031 J2027:W2028 J2033:W2034 Z2041:AA2049 AB2041:AB2058 J2177:J2179 K2053:M2053 K2057:S2058 U2057:V2057 W2056:W2058 T2058:V2058 K2054:W2055 Y2041:Y2058 J2189:J2201 J2072:W2074 K2056:V2056 J2040:J2058 J2089:W2090 J2123:W2126 J2129:W2129 J2132:W2132 J2313 J452:J499 K2041:W2052 O2053:W2053 U1849:W1850 K603:W618 J1627:W1629 J1612:W1622 J1608:W1608 J1603:W1603 J1597:W1597 J1605:W1605 J1279:W1280 J1277:W1277 J1243:W1250 J1227:W1227 J1224:W1225 J1196:W1207 K1160:W1195 J1145:W1145 K1131:W1131 K1137:W1137 K1135:W1135 K1133:W1133 K1129:W1129 L978:W978 L971:W971 J950:W950 K891:W895 S654:W654 S676:W682 S593:W593 S274:W282 S506:W506 Y506 P2163:P2171 J2163:J2171 P2173:P2175 J2173:J2175 P2177:P2179 J2309:J2310 J2955:Y2955 J2558:X2559 J2573:X2573 J2568:X2568 J2591:X2592 J2600:X2607 J2687:W2689 T2683:T2862 U2849:W2851 J2849:S2851 J2831:S2833 J2813:S2815 J2795:S2797 J2777:S2779 J2759:S2761 J2741:S2743 J2723:S2725 J2705:S2707 U2705:W2707 U2723:W2725 U2741:W2743 U2759:W2761 U2777:W2779 U2795:W2797 U2813:W2815 U2831:W2833 J2923:Y2923 J2940:Y2940 J2950:Y2950 J2957:J1048576 J2514 J2539:J2540 J2536:J2537 Y2517 K2504:R2507 L2508:O2518 Q2508:R2518 P2509:P2518 S2507:W2518 W2504:W2505 X2509:X2518 Y2507:Y2511 Y2513 Y2515 J2518 J2516 X2507 J2545:J2547 S2504:S2505 U2504:U2505 J2401:J2512" xr:uid="{A31F19C7-1415-4EDA-80C2-FBCDB9D5E515}">
      <formula1>0</formula1>
      <formula2>9999</formula2>
    </dataValidation>
    <dataValidation type="decimal" allowBlank="1" showInputMessage="1" showErrorMessage="1" prompt="Float_x000a_" sqref="J621:N621 K655:P669 K283:P386 Y522 K390:P390 K394:P442 P452:P471 O453:O471 N452:N471 J503:P503 K505:P505 K507:P524 Y787 O526:P589 K526:N528 K530:N530 K532:N589 K591:P592 N683:P768 K622:N651 S628:S630 K2:P149 O772:P786 Y155:Y156 Y789:Y814 Q860:S863 Y887:Y895 AB869:AB894 N772:N895 O845:P886 J789:J895 K683:M895 AB845:AB862 Y816:Y882 N957:N960 L957:L960 N962 N964:N967 N969 L969 L964:L967 L962 K971 K978 N1660 R1130 R1136 P1136 L1127:L1128 L1130 L1136 L1134 L1132 N1132 R1134 N1130 N1136 N1134 P1134 R1127:R1128 P1132 P1130 P1128 N1128 O619:P651 P1138 N1138 R1138 L1138 K1152:K1153 K1219:R1225 K1227:R1227 L1297:M1297 K1417 M1417 Q1503:Q1508 L1660 P1660 Q231:R231 K151:P273 J151:J156 K594:P602 K619:N620 O1837:O1838 P1837:P1839 N2053 P2087:P2088 P2109:P2110 R2109:R2110 L2109:L2110 R2112:R2113 P2112:P2113 O2130:O2131 Q482:R482 K452:M499 N473:P499 Q484:R484 Q487:R488 Q490:R490 Q492:R492 Q494:R494 Q498:R498 V2374 Q845:W859 U860:W860 T861:W862 Q864:W886 O887:W895 V863:W863 S155:W156 O787:W844 S522:W522 S634:W649 Y634:Y649 T2329 J2329:J2382 T2316 J2316:J2320 X2316 V2316 P2316 P2329 P2338 P2347 P2356 P2365 P2374 V2347 V2329 V2365 V2338 V2356 P2555 O2561:P2561 O2569:O2570 N2884:N2885 N2882 T2888:T2889 X2888:X2889 P2882:P2889 K2957:R1048576 P2539:P2540 P2536:P2537 P2508 R2546:R2547 N2545 L2545 P2545:P2547 K2401:R2503"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X2590 T2590 S2595 X2608:X2682 T2609:T2682 T2863:T2881 S2957:T1048576 T2536:T2537 T2539:T2540 T2542:T2547 T2401:T2506 S2506 S2401:S2503"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957:Y1048576 Y2514 Y2512 Y2518 Y2516 Y2389:Y2503"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N769:P771 J590:P590 J525:P525 N472:P472 K391:P393 K387:P389 J652:P653 J670:P670 J675:P675 V2003:V2005 U772:W786 U863 X2171:X2175 Y454 V619:W633 V1138 U1219:W1225 V1130 V1132 V1134 V1136 U1227:W1227 V473:V499 V1409:V1410 W452:W499 W1560 V2:W149 V1665:V1666 Y14:Y112 U15:U113 U594:W602 U148:U149 V2130:V2131 U619:U630 U490:U499 V1809:V1810 S650:W653 S670:W670 V2172:V2173 U2957:W1048576 V2552 X2560 V2560 W2595 X2504:X2506 X2542:X2545 V2546:V2547 U2506 W2401:W2503 W2506 U2401:U2503 V2401:V2506 U2383:U2388"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A2405:A2440 A2477:A2480 B2548:B2551 B2157:B2162 A2189:A2400 B2145:B2148 B2555:B2559 F2569:F2570 B2576:B2581 B2590:B2592 A2957:A1048576 A2772 A2790 A2863:A2883 F2600:F2881 G2573:G2881 A2489:A2599"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890:B1048576 B2552:B2554 B2560:B2575 B2582:B2589 B2593:B2599 B2772 B2790 B2863:B2883 B2383:B2547" xr:uid="{541A34AB-F85A-479B-8A8B-BFF4F6715F99}"/>
    <dataValidation type="textLength" allowBlank="1" showInputMessage="1" showErrorMessage="1" sqref="J504:P504 S504:W504 Y504" xr:uid="{B64E2CAF-51AB-4E71-8254-0196FCA4F53F}">
      <formula1>3</formula1>
      <formula2>12</formula2>
    </dataValidation>
    <dataValidation allowBlank="1" showInputMessage="1" showErrorMessage="1" prompt="One of: Seasonal + (Consistent, Backloaded, Frontloaded) or Uniform" sqref="J443:P451 Y443:Y451 Y499:Y502 O452 J500:P502 S443:W451 S500:W502" xr:uid="{36164FA2-CD0D-4BDA-B828-253511BDEEFD}"/>
    <dataValidation allowBlank="1" showInputMessage="1" showErrorMessage="1" prompt="Study ID + letter denoting case study: 1a, 1b, 1c etc." sqref="A789:B804 A1056:B1069 A1312:B1314 A1319:B1321 A1636:B1659 A1693:A1697 A1703:A1707 A1713:A1722 A1914:B1937 A2000:A2002 A2481:A2488 A2401:A2404 A2600:B2771 A2773:B2789 A2791:B2862 A2884:B2889 A2890:A2956"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AC2607 T2608 AD2600:AD2612 I2313:I2540 I2542: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441:A2476 A2383:A2386 A2187:A2188 B2316:B2382"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V2554 X2552:X2554 X2593 X2683:X2881 X2957:X1048576 X2536:X2537 X2539:X2540 X2508 X2401:X2503" xr:uid="{587A3FE1-607A-450B-8FA6-4B088290225A}">
      <formula1>0</formula1>
      <formula2>100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36" yWindow="393" count="21">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J2127:W2128 J2114:P2122 Z2116:AA2126 W2130:W2131 Y2112:Y2129 Z2129:AA2132 J2133:W2140 P2130:U2131 J2130:N2131 Z2134:AB2134 AB2107:AB2133 Y2148:Y2151 AB1:AB609 AB2177:AB2178 AB2135:AB2148 J2148:X2148 Z2148:AA2148 Z2151:AA2152 J1723:W1730 Y1723:AA1725 AB2171:AB2175 Z2136:AA2144 Y2146:AA2146 Y2132:Y2145 J2142:W2144 J2149:W2151 J2145:X2146 J2147:Y2147 AB2545 AB2548:AB2551 AB2562 AB2564 AB2608:AB2887 AB2957:AB1048576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H2504:H1048576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J1498:W1501 AB1300:AB1357 Z1330:AA1342 G1350:G1357 Y1330:Y1357 F1280:F1357 F1364:F1366 G1408:G1410 F1373:F1392 F1395:F1404 F1407:F1408 F1411:F1450 F1469:F1471 Z1499:AA1499 Y1500:AA1500 Z1501:AA1501 Y1498:AA1498 J1503:P1508 F1482:F1509 Y1503:AB1509 Y1510 J1510:S1510 J1520:W1527 F1511:F1514 Y1511:AB1519 Y1525:AB1528 Y1529:Y1559 Z1520:AB1524 Z1540:AB1549 Z1551:AB1559 Z1529:AB1538 J1560:V1560 Y1564 Y1561:AB1563 F1529:F1568 F1570 J1571:W1571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N1661 K1665:O1666 Q1665:S1666 Y1660:Y1676 Z1671:AA1674 N1229:W1242 Z1667:AA1669 G603:G618 J1229:J1242 K1229:M1239 M1240:M1242 G661:G669 F946:F1127 F670:F944 F1129 G288:G291 G148 G388:G389 G392 G444 G446 G448 G450 G452:G453 G455 G468:G471 F527:F660 J1667:T1680 AB1667:AB1681 U1665:U1680 Y1677:AA1681 Y1682:AB1692 F1661:F1697 F1713:F1714 G1688:G1714 Y1703:Y1722 F1723:F1730 G1739:G1743 G1745:G1753 G1755:G1763 G1765:G1773 G1775:G1783 G1785:G1793 G1795:G1803 G1805:G1850 Y1823:AB1833 Y1847:Y1848 J1837:N1838 J1839:O1839 Y1845:AA1846 AB1837 Y1834:Y1844 AB1839:AB1846 Y1851:Y1854 J1851:S1853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J2003:U2005 W2003:W2026 J2006:V2026 Y1989:AB2049 F2006:F2049 AB2050:AB2058 J2053:M2053 F2377:F2379 F2053 G2054:G2055 J2057:S2058 U2057:V2057 W2057:W2058 T2058:V2058 J2054:W2055 Y2050:Y2058 F2114:F2148 F2070:G2077 G2109:G2115 F292:F525 O2053:W2053 J2050:W2052 J2047:W2048 J2035:W2042 J2044:W2045 J2032:W2032 J2029:W2029 J1999:W2002 J1991:W1994 J1976:W1989 J1938:W1971 J1854:W1921 U1851:W1853 Q1837:W1839 J1840:W1848 J1823:W1836 J1693:W1722 J1683:W1687 V1667:W1680 W1665:W1666 J1662:W1664 J1609:W1659 J1604:W1604 J1598:W1602 J1606:W1607 J1593:W1593 J1595:W1596 J1585:W1591 J1573:W1573 J1569:W1569 J1562:W1564 J1529:W1559 U1510:W1510 J1509:W1509 J1511:W1516 R1503:W1508 J1330:W1349 J1300:W1325 L1298:W1299 N1293:W1297 J1281:W1292 J1278:W1278 J1251:W1276 J1228:W1228 J1226:W1226 J1208:W1223 Y1208:Y1223 F2203 F2205 F2306:G2308 F2322:F2328 G2326:G2328 G2322 G2324 F2341:F2343 F2332:F2334 G2336:G2337 G2334 G2343 G2345:G2346 G2352 F2350:F2352 G2354:G2355 F2359:F2361 G2361 G2363:G2364 G2370 F2368:F2370 G2372:G2373 G2381:G2382 G2379 G2548:G2549 G2956 F2564:G2564 F2557:F2561 G2557:G2562 G2568:G2572 G2565 F2565:F2568 F2571:F2599 F2956:F1048576 F2882:G2955 F2504 F2506 F2512:F2554</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Z2504:AA2507 Z2957:AA1048576 V2541:X2541 P2556:P2557 J2548:AA2551 J2552:U2554 Y2552:AB2554 W2552:W2554 V2553 J2555:O2557 Q2555:AB2557 X2561:AB2561 J2560:U2560 W2560:W2567 J2561:N2561 Q2561:V2561 Y2558:AB2560 F2562 X2565:X2567 AB2563 G2566:G2567 J2562:V2567 X2562:AA2564 Y2565:AB2568 P2569:Y2570 Z2569:AB2572 J2569:N2572 O2571:Y2572 J2593:W2593 J2574:S2590 T2574:T2589 U2574:W2590 X2574:X2589 J2594:AB2594 Y2573:AB2593 T2595:V2595 J2595:R2595 X2595:AB2595 J2596:AB2599 U2608:W2682 J2608:S2682 J2683:W2686 T2852:T2862 T2816:W2830 T2834:W2848 T2701:W2704 J2690:W2700 T2708:W2722 T2726:W2740 T2744:W2758 T2762:W2776 T2780:W2794 T2798:W2812 Z2608:AA2887 Y2600:Y2883 Z2600:AB2607 Z2536:AA2541 J2538:Y2538 Y2539:Y2547 U2542:W2545 Q2539:S2540 K2539:O2540 I2541:T2541 U2539:U2541 V2539:W2540 Z2545:AA2545 J2542:S2544 K2545:K2547 L2546:O2547 M2545 O2545 Q2545:Q2547 R2545:S2545 S2546:S2547 U2546:U2547 W2546:X2547</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J972:S977 Z986:AB1051 G947:G1138 Y1054 Y1056:AB1069 Y1078:Y1080 Y1081:AB1092 Z1093:AB1093 J1113:W1122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N1127 J1127:K1128 F288:F291 G149:G387 G390:G391 G454 G393:G443 G445 G447 G449 G451 G456:G467 G1:G147 Y896:Y925 G1661:G1687 G1715:G1722 G1732:G1733 G1851 F2050:F2052 F2054:F2055 G1999:G2053 F2059:F2063 G2056:G2058 G472:G602 J979:W1090 J1125:W1126 J1480:W1488 W1138 W1134 W1132 W1130 W1127:W1128 W1136 J1092:W1110 O969:W969 O964:W967 O962:W962 O957:W960 J963:W963 J968:W968 J970:W970 J961:W961 J951:W956 J896:W949 G2957:G1048576 F2555:F2556 G2550:G2556 F2563:G2563 G2504 G2506 G2512:G2547</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C2504:C1048576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J1162:W1171 Y1172:AB1178 J1160:W1160 Y1161:AB1161 Y1150:AB1159 J1154:S1159 Y1146:Y1149 G1143:G1149 Y1139:Y1144 Z1146:AB1146 F1142:G1142 J1139:W1144 J1146:W1153 U1154:W1159 J1192:W1196 J1179:W1190 J1201:W1207 Y1187:AB1207</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J1409:U1410 Y1407:AB1411 G1411:G1416 Y1412:Y1422 I1411:V1411 M1412:M1416 N1412:V1417 Y1476:Y1479 K1412:K1416 AC1427 AC1425 AC1434 AC1436 AC1443 AC1445 G1466:G1473 F1472:F1481 S2109:W2110 Z1478:AB1481 M1476:T1479 U1466:W1479 J1466:L1479 F1510 F1520:G1528 G1513:G1516 F1515:F1516 D527:D1516 F1593:F1594 G1529:G1559 F1607 F1596 G1595 G1597:G1606 D1518:D1659 W1409:W1465 D1:D525 F1451:F1468 K1418:K1465 L1412:L1465 J1412:J1465 V1456:V1459 T1461:T1473 P1456:P1459 Y1423:AB1475 I1731:W1731 Y1731:AB1731 V1461:V1464 D1661:D1697 F1731 F1715:F1722 F1698:F1712 G1723:G1731 F1952:G1954 Y1732:Y1733 Y1734:AA1808 AB1732:AB1808 G1744 G1734:G1738 G1754 G1764 G1774 G1784 G1794 G1804 Y1809:Y1822 R2111:W2111 V1811:V1812 J1809:S1822 U1809:U1822 T1811:T1812 F1963:F1966 G1955:G1971 G1976:G1998 D1713:D2002 D2006:D2052 G2091:G2108 D2054:D2056 F2056:F2058 G2059:G2069 F2064:F2069 Y2059:AB2077 Y2078:Y2088 Z2078:AA2085 J2078:O2088 P2078:Q2086 Q2087:Q2088 Y2089:AA2106 AB2078:AB2106 F1279:G1279 F2087:G2090 J2112:O2113 Y2107:Y2111 D2059:D2148 J2109:K2110 Q2109:Q2111 J2111:P2111 M2109:O2110 P1466:P1475 V1418:V1454 Q1418:U1460 P1418:P1454 M1418:O1475 Q1461:S1475 P1461:P1464 U1461:U1465 D2379:D2380 J2091:W2108 R2078:W2088 J2075:W2077 J2059:W2071 W1809:W1822 J1732:W1808 J1408:W1408 J1358:W1363 J1367:W1371 I1373:W1376 J1377:W1406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F2510:G2510 E2505:G2505 E2507:G2507 E2509:G2509 F2508:G2508 E2511:G2511 D2504:D1048576</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E2504 E2506 E2508 E2510 E2512:E1048576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J2152:U2162 J2172:S2172 Q2163:S2171 T2180:T2187 K2163:O2171 V2152:V2171 K2173:O2175 X2176 D2176:E2177 T2176 J2176:P2176 AB2176 J2180:J2188 U2163:U2201 Q2173:S2187 V2174:V2201 Q2188:T2188 P2180:P2186 Z2155:AA2186 E2187:E2191 X2188:X2197 Q2189:S2201 P2189:P2197 W2152:W2201 T2189:T2197 K2177:O2201 E2198:E2200 D2187:D2200 D2202:E2202 K2202:W2204 D2204 D2206:G2206 F2149:F2202 F2204 J2202:J2211 G2149:G2205 E2207 F2207:G2208 K2205:X2210 Z2189:AA2210 V2211:V2213 K2211:M2216 O2211:S2216 P2217:P2219 K2313:W2313 D2222 D2224 E2222:E2225 I2235 I2228 D2231 D2235:D2236 D2238 I2242 D2294 D2242:D2243 D2245 Y2309:AB2310 I2256 I2249 D2249:D2250 D2252 AC2309 D2256:D2257 D2259 I2263 D2228:D2229 D2266 D2263:D2264 I2270 K2309:W2310 D2270:D2271 D2273 D2305 I2277 D2277:D2278 D2280 I2284 D2287 D2330:D2333 D2284:D2285 I2291 I2305:I2308 D2291:D2292 D2301 D2298:D2299 C2313:D2313 I2298 J2214:J2219 J2221:T2221 T2217:T2219 X2214:X2219 Q2217:S2220 K2217:O2220 Z2221:AB2221 X2221 AB2179:AB2220 W2211:W2221 V2217:V2221 U2211:U2221 G2383:G2503 F2222:G2305 F2329:G2331 G2332:G2333 G2325 G2323 J2315 D2316:D2320 F2309:G2321 E2313:E2320 R2315:T2315 V2315 N2315:P2315 J2321:J2328 X2315 Y2315:AB2328 P2317:P2328 T2317:T2328 V2317:V2328 K2315:M2316 N2316:O2316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Q2315:Q2400 R2316:S2382 AB2374:AB2382 P2375:P2400 K2317:O2382 U2315:U2329 U2338 W2338:AB2338 U2347 W2347:AB2347 U2356 W2356:AA2356 U2365 W2365:AB2365 U2374:U2382 X2317:X2328 T2330:AB2337 T2339:AB2346 T2348:AB2355 T2357:AA2364 T2366:AB2373 W2374:AA2374 Z2391:AA2482 R2383:T2388 T2375:T2382 V2375:AA2382 V2383:Y2388 J2383:O2400 R2389:X2400</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'[Adam''s fire data.xlsx]IGNORE Lookups'!#REF!</xm:f>
          </x14:formula1>
          <xm:sqref>Z2546:AB2547 D2383:F2503 AB2536:AB2544 Z2542:AA2544 Z2483:AA2503 Y2504:Y2506 AB2383:AB2522 Z2508:AA2522 Z2383:AA2390</xm:sqref>
        </x14:dataValidation>
        <x14:dataValidation type="list" allowBlank="1" showInputMessage="1" showErrorMessage="1" prompt="Presence or absence" xr:uid="{CB63D46B-FFCC-48E1-834B-85DD51686E7C}">
          <x14:formula1>
            <xm:f>'[Adam''s fire data.xlsx]IGNORE Lookups'!#REF!</xm:f>
          </x14:formula1>
          <xm:sqref>H2383:H2503</xm:sqref>
        </x14:dataValidation>
        <x14:dataValidation type="list" allowBlank="1" showInputMessage="1" showErrorMessage="1" prompt="One of: Human Deliberate, Human Accidental, Human Escaped, Lightning, Other Natural, Unknown" xr:uid="{9F7C95DC-217D-4415-94A9-5974DDD51371}">
          <x14:formula1>
            <xm:f>'[Adam''s fire data.xlsx]IGNORE Lookups'!#REF!</xm:f>
          </x14:formula1>
          <xm:sqref>C2383:C2503</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 type="list" allowBlank="1" showInputMessage="1" showErrorMessage="1" prompt="One of: Traditional , Private, Centrally-allocated, Insecure, Mixed. _x000a_" xr:uid="{CBE3DE13-7502-417D-9673-2FBA42D7390A}">
          <x14:formula1>
            <xm:f>'IGNORE Lookups'!$A$23:$A$28</xm:f>
          </x14:formula1>
          <xm:sqref>U2852:W2881 J2701:S2704 J2852:S2881 J2834:S2848 J2816:S2830 J2798:S2812 J2780:S2794 J2762:S2776 J2744:S2758 J2726:S2740 J2708:S2722 Q2882:X2883 N2886:N2922 J2883:O2883 O2882 J2882:M2882 Q2884:Y2887 Y2888:AB2889 Q2888:S2889 O2884:O2922 U2888:W2889 J2884:M2922 J2924:Y2939 J2941:Y2949 J2951:Y2954 J2956:AB2956 P2890:Y2922 Z2890:AB2955</xm:sqref>
        </x14:dataValidation>
        <x14:dataValidation type="list" allowBlank="1" showInputMessage="1" showErrorMessage="1" xr:uid="{19F948F5-D120-4A52-87AF-FA65EE1B55BA}">
          <x14:formula1>
            <xm:f>'IGNORE Lookups'!$E$29:$E$42</xm:f>
          </x14:formula1>
          <xm:sqref>J2519:Y2535 Z2523:AB2535 J2517:K2517 J2515:K2515 J2513:K2513 K2508:K2512 K2514 K2516 K2518 K2536:O2537 Q2536:S2537 U2536:W2537 Y2536:Y2537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4002"/>
  <sheetViews>
    <sheetView zoomScale="55" zoomScaleNormal="55" workbookViewId="0">
      <pane ySplit="1" topLeftCell="A2471" activePane="bottomLeft" state="frozen"/>
      <selection pane="bottomLeft" activeCell="E2401" sqref="E2401"/>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 style="14" customWidth="1"/>
    <col min="11" max="11" width="23" style="100"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3" t="s">
        <v>2264</v>
      </c>
      <c r="B1" s="15" t="s">
        <v>5054</v>
      </c>
      <c r="C1" s="2" t="s">
        <v>7</v>
      </c>
      <c r="D1" s="2" t="s">
        <v>8</v>
      </c>
      <c r="E1" s="2" t="s">
        <v>2285</v>
      </c>
      <c r="F1" s="15" t="s">
        <v>2440</v>
      </c>
      <c r="G1" s="15" t="s">
        <v>2450</v>
      </c>
      <c r="H1" s="15" t="s">
        <v>522</v>
      </c>
      <c r="I1" s="2" t="s">
        <v>168</v>
      </c>
      <c r="J1" s="71" t="s">
        <v>2363</v>
      </c>
      <c r="K1" s="107"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2" t="s">
        <v>2276</v>
      </c>
      <c r="K2" s="108" t="s">
        <v>2276</v>
      </c>
      <c r="L2" s="102" t="s">
        <v>2276</v>
      </c>
      <c r="M2" s="102" t="s">
        <v>2276</v>
      </c>
      <c r="N2" s="102" t="s">
        <v>2276</v>
      </c>
      <c r="O2" s="102" t="s">
        <v>2276</v>
      </c>
      <c r="P2" s="102" t="s">
        <v>2276</v>
      </c>
      <c r="Q2" s="102" t="s">
        <v>2276</v>
      </c>
      <c r="R2" s="102" t="s">
        <v>2276</v>
      </c>
      <c r="S2" s="102" t="s">
        <v>2276</v>
      </c>
      <c r="T2" s="102" t="s">
        <v>2276</v>
      </c>
      <c r="U2" s="102" t="s">
        <v>2276</v>
      </c>
      <c r="V2" s="102" t="s">
        <v>2276</v>
      </c>
      <c r="W2" s="102"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7" t="s">
        <v>2276</v>
      </c>
      <c r="K3" s="109" t="s">
        <v>2276</v>
      </c>
      <c r="L3" s="77" t="s">
        <v>2276</v>
      </c>
      <c r="M3" s="77" t="s">
        <v>2276</v>
      </c>
      <c r="N3" s="77" t="s">
        <v>2276</v>
      </c>
      <c r="O3" s="77" t="s">
        <v>2276</v>
      </c>
      <c r="P3" s="77" t="s">
        <v>2276</v>
      </c>
      <c r="Q3" s="102" t="s">
        <v>2276</v>
      </c>
      <c r="R3" s="102" t="s">
        <v>2276</v>
      </c>
      <c r="S3" s="77" t="s">
        <v>2276</v>
      </c>
      <c r="T3" s="77" t="s">
        <v>2276</v>
      </c>
      <c r="U3" s="77" t="s">
        <v>2276</v>
      </c>
      <c r="V3" s="77" t="s">
        <v>2276</v>
      </c>
      <c r="W3" s="77"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7" t="s">
        <v>2276</v>
      </c>
      <c r="K4" s="109" t="s">
        <v>2276</v>
      </c>
      <c r="L4" s="77" t="s">
        <v>2276</v>
      </c>
      <c r="M4" s="77" t="s">
        <v>2276</v>
      </c>
      <c r="N4" s="77" t="s">
        <v>2276</v>
      </c>
      <c r="O4" s="77" t="s">
        <v>2276</v>
      </c>
      <c r="P4" s="77" t="s">
        <v>2276</v>
      </c>
      <c r="Q4" s="102" t="s">
        <v>2276</v>
      </c>
      <c r="R4" s="102" t="s">
        <v>2276</v>
      </c>
      <c r="S4" s="77" t="s">
        <v>2276</v>
      </c>
      <c r="T4" s="77" t="s">
        <v>2276</v>
      </c>
      <c r="U4" s="77" t="s">
        <v>2276</v>
      </c>
      <c r="V4" s="77" t="s">
        <v>2276</v>
      </c>
      <c r="W4" s="77"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7" t="s">
        <v>2276</v>
      </c>
      <c r="K5" s="109" t="s">
        <v>2276</v>
      </c>
      <c r="L5" s="77" t="s">
        <v>2276</v>
      </c>
      <c r="M5" s="77" t="s">
        <v>2276</v>
      </c>
      <c r="N5" s="77" t="s">
        <v>2276</v>
      </c>
      <c r="O5" s="77" t="s">
        <v>2276</v>
      </c>
      <c r="P5" s="77" t="s">
        <v>2276</v>
      </c>
      <c r="Q5" s="102" t="s">
        <v>2276</v>
      </c>
      <c r="R5" s="102" t="s">
        <v>2276</v>
      </c>
      <c r="S5" s="77" t="s">
        <v>2276</v>
      </c>
      <c r="T5" s="77" t="s">
        <v>2276</v>
      </c>
      <c r="U5" s="77" t="s">
        <v>2276</v>
      </c>
      <c r="V5" s="77" t="s">
        <v>2276</v>
      </c>
      <c r="W5" s="77"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7" t="s">
        <v>2276</v>
      </c>
      <c r="K6" s="109" t="s">
        <v>2276</v>
      </c>
      <c r="L6" s="77" t="s">
        <v>2276</v>
      </c>
      <c r="M6" s="77" t="s">
        <v>2276</v>
      </c>
      <c r="N6" s="77" t="s">
        <v>2276</v>
      </c>
      <c r="O6" s="77" t="s">
        <v>2276</v>
      </c>
      <c r="P6" s="77" t="s">
        <v>2276</v>
      </c>
      <c r="Q6" s="102" t="s">
        <v>2276</v>
      </c>
      <c r="R6" s="102" t="s">
        <v>2276</v>
      </c>
      <c r="S6" s="77" t="s">
        <v>2276</v>
      </c>
      <c r="T6" s="77" t="s">
        <v>2276</v>
      </c>
      <c r="U6" s="77" t="s">
        <v>2276</v>
      </c>
      <c r="V6" s="77" t="s">
        <v>2276</v>
      </c>
      <c r="W6" s="77"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3" t="s">
        <v>2276</v>
      </c>
      <c r="L7" s="21" t="s">
        <v>2276</v>
      </c>
      <c r="M7" s="21" t="s">
        <v>2276</v>
      </c>
      <c r="N7" s="21" t="s">
        <v>2276</v>
      </c>
      <c r="O7" s="21" t="s">
        <v>2276</v>
      </c>
      <c r="P7" s="21" t="s">
        <v>2276</v>
      </c>
      <c r="Q7" s="102" t="s">
        <v>2276</v>
      </c>
      <c r="R7" s="102"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3" t="s">
        <v>2276</v>
      </c>
      <c r="L8" s="21" t="s">
        <v>2276</v>
      </c>
      <c r="M8" s="21" t="s">
        <v>2276</v>
      </c>
      <c r="N8" s="21" t="s">
        <v>2276</v>
      </c>
      <c r="O8" s="21" t="s">
        <v>2276</v>
      </c>
      <c r="P8" s="21" t="s">
        <v>2276</v>
      </c>
      <c r="Q8" s="102" t="s">
        <v>2276</v>
      </c>
      <c r="R8" s="102"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3" t="s">
        <v>2276</v>
      </c>
      <c r="L9" s="21" t="s">
        <v>2276</v>
      </c>
      <c r="M9" s="21" t="s">
        <v>2276</v>
      </c>
      <c r="N9" s="21" t="s">
        <v>2276</v>
      </c>
      <c r="O9" s="21" t="s">
        <v>2276</v>
      </c>
      <c r="P9" s="21" t="s">
        <v>2276</v>
      </c>
      <c r="Q9" s="102" t="s">
        <v>2276</v>
      </c>
      <c r="R9" s="102"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3" t="s">
        <v>2276</v>
      </c>
      <c r="L10" s="21" t="s">
        <v>2276</v>
      </c>
      <c r="M10" s="21" t="s">
        <v>2276</v>
      </c>
      <c r="N10" s="21" t="s">
        <v>2276</v>
      </c>
      <c r="O10" s="21" t="s">
        <v>2276</v>
      </c>
      <c r="P10" s="21" t="s">
        <v>2276</v>
      </c>
      <c r="Q10" s="102" t="s">
        <v>2276</v>
      </c>
      <c r="R10" s="102"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3" t="s">
        <v>2276</v>
      </c>
      <c r="L11" s="21" t="s">
        <v>2276</v>
      </c>
      <c r="M11" s="21" t="s">
        <v>2276</v>
      </c>
      <c r="N11" s="21" t="s">
        <v>2276</v>
      </c>
      <c r="O11" s="21" t="s">
        <v>2276</v>
      </c>
      <c r="P11" s="21" t="s">
        <v>2276</v>
      </c>
      <c r="Q11" s="102" t="s">
        <v>2276</v>
      </c>
      <c r="R11" s="102"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3" t="s">
        <v>2276</v>
      </c>
      <c r="L12" s="21" t="s">
        <v>2276</v>
      </c>
      <c r="M12" s="21" t="s">
        <v>2276</v>
      </c>
      <c r="N12" s="21" t="s">
        <v>2276</v>
      </c>
      <c r="O12" s="21" t="s">
        <v>2276</v>
      </c>
      <c r="P12" s="21" t="s">
        <v>2276</v>
      </c>
      <c r="Q12" s="102" t="s">
        <v>2276</v>
      </c>
      <c r="R12" s="102"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0" t="s">
        <v>2276</v>
      </c>
      <c r="L13" s="72" t="s">
        <v>2276</v>
      </c>
      <c r="M13" s="72" t="s">
        <v>2276</v>
      </c>
      <c r="N13" s="72" t="s">
        <v>2276</v>
      </c>
      <c r="O13" s="72" t="s">
        <v>2276</v>
      </c>
      <c r="P13" s="72" t="s">
        <v>2276</v>
      </c>
      <c r="Q13" s="102" t="s">
        <v>2276</v>
      </c>
      <c r="R13" s="102"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3" t="s">
        <v>2276</v>
      </c>
      <c r="L14" s="21" t="s">
        <v>2276</v>
      </c>
      <c r="M14" s="21" t="s">
        <v>2377</v>
      </c>
      <c r="N14" s="21" t="s">
        <v>2276</v>
      </c>
      <c r="O14" s="21" t="s">
        <v>2276</v>
      </c>
      <c r="P14" s="21" t="s">
        <v>2276</v>
      </c>
      <c r="Q14" s="21" t="s">
        <v>2375</v>
      </c>
      <c r="R14" s="21" t="s">
        <v>2276</v>
      </c>
      <c r="S14" s="87" t="s">
        <v>2391</v>
      </c>
      <c r="T14" s="87" t="s">
        <v>2276</v>
      </c>
      <c r="U14" s="87" t="s">
        <v>2276</v>
      </c>
      <c r="V14" s="87" t="s">
        <v>2276</v>
      </c>
      <c r="W14" s="21" t="s">
        <v>2375</v>
      </c>
      <c r="X14" s="3" t="s">
        <v>75</v>
      </c>
      <c r="Y14" s="3" t="s">
        <v>35</v>
      </c>
      <c r="Z14" s="3" t="s">
        <v>64</v>
      </c>
      <c r="AA14" s="4" t="s">
        <v>5053</v>
      </c>
      <c r="AB14" s="4" t="s">
        <v>5048</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7" t="s">
        <v>2276</v>
      </c>
      <c r="K15" s="109" t="s">
        <v>2276</v>
      </c>
      <c r="L15" s="77" t="s">
        <v>2276</v>
      </c>
      <c r="M15" s="21" t="s">
        <v>2376</v>
      </c>
      <c r="N15" s="77" t="s">
        <v>2276</v>
      </c>
      <c r="O15" s="77" t="s">
        <v>2276</v>
      </c>
      <c r="P15" s="77" t="s">
        <v>2276</v>
      </c>
      <c r="Q15" s="21" t="s">
        <v>2375</v>
      </c>
      <c r="R15" s="21" t="s">
        <v>2276</v>
      </c>
      <c r="S15" s="87" t="s">
        <v>2389</v>
      </c>
      <c r="T15" s="87" t="s">
        <v>2276</v>
      </c>
      <c r="U15" s="87" t="s">
        <v>2276</v>
      </c>
      <c r="V15" s="87" t="s">
        <v>2276</v>
      </c>
      <c r="W15" s="21" t="s">
        <v>2375</v>
      </c>
      <c r="X15" s="3" t="s">
        <v>75</v>
      </c>
      <c r="Y15" s="3" t="s">
        <v>35</v>
      </c>
      <c r="Z15" s="3" t="s">
        <v>64</v>
      </c>
      <c r="AA15" s="4" t="s">
        <v>5053</v>
      </c>
      <c r="AB15" s="4" t="s">
        <v>5049</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3" t="s">
        <v>2276</v>
      </c>
      <c r="L16" s="21" t="s">
        <v>2276</v>
      </c>
      <c r="M16" s="21" t="s">
        <v>2276</v>
      </c>
      <c r="N16" s="21" t="s">
        <v>2276</v>
      </c>
      <c r="O16" s="21" t="s">
        <v>2276</v>
      </c>
      <c r="P16" s="21" t="s">
        <v>2276</v>
      </c>
      <c r="Q16" s="21" t="s">
        <v>2375</v>
      </c>
      <c r="R16" s="21" t="s">
        <v>2276</v>
      </c>
      <c r="S16" s="87" t="s">
        <v>2389</v>
      </c>
      <c r="T16" s="87" t="s">
        <v>2276</v>
      </c>
      <c r="U16" s="87" t="s">
        <v>2276</v>
      </c>
      <c r="V16" s="87" t="s">
        <v>2276</v>
      </c>
      <c r="W16" s="21" t="s">
        <v>2375</v>
      </c>
      <c r="X16" s="3" t="s">
        <v>75</v>
      </c>
      <c r="Y16" s="3" t="s">
        <v>35</v>
      </c>
      <c r="Z16" s="3" t="s">
        <v>64</v>
      </c>
      <c r="AA16" s="4" t="s">
        <v>5053</v>
      </c>
      <c r="AB16" s="4" t="s">
        <v>5050</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3" t="s">
        <v>2276</v>
      </c>
      <c r="L17" s="21" t="s">
        <v>2276</v>
      </c>
      <c r="M17" s="21" t="s">
        <v>2276</v>
      </c>
      <c r="N17" s="21" t="s">
        <v>2276</v>
      </c>
      <c r="O17" s="21" t="s">
        <v>2276</v>
      </c>
      <c r="P17" s="21" t="s">
        <v>2276</v>
      </c>
      <c r="Q17" s="21" t="s">
        <v>2375</v>
      </c>
      <c r="R17" s="21" t="s">
        <v>2276</v>
      </c>
      <c r="S17" s="87" t="s">
        <v>2389</v>
      </c>
      <c r="T17" s="87" t="s">
        <v>2276</v>
      </c>
      <c r="U17" s="87" t="s">
        <v>2276</v>
      </c>
      <c r="V17" s="87" t="s">
        <v>2276</v>
      </c>
      <c r="W17" s="21" t="s">
        <v>2375</v>
      </c>
      <c r="X17" s="3" t="s">
        <v>75</v>
      </c>
      <c r="Y17" s="3" t="s">
        <v>35</v>
      </c>
      <c r="Z17" s="3" t="s">
        <v>64</v>
      </c>
      <c r="AA17" s="4" t="s">
        <v>5053</v>
      </c>
      <c r="AB17" s="4" t="s">
        <v>5050</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3" t="s">
        <v>2276</v>
      </c>
      <c r="L18" s="21" t="s">
        <v>2276</v>
      </c>
      <c r="M18" s="21" t="s">
        <v>2276</v>
      </c>
      <c r="N18" s="21" t="s">
        <v>2276</v>
      </c>
      <c r="O18" s="21" t="s">
        <v>2276</v>
      </c>
      <c r="P18" s="21" t="s">
        <v>2276</v>
      </c>
      <c r="Q18" s="21" t="s">
        <v>2375</v>
      </c>
      <c r="R18" s="21" t="s">
        <v>2276</v>
      </c>
      <c r="S18" s="87" t="s">
        <v>2391</v>
      </c>
      <c r="T18" s="87" t="s">
        <v>2276</v>
      </c>
      <c r="U18" s="87" t="s">
        <v>2276</v>
      </c>
      <c r="V18" s="87" t="s">
        <v>2276</v>
      </c>
      <c r="W18" s="21" t="s">
        <v>2375</v>
      </c>
      <c r="X18" s="3" t="s">
        <v>75</v>
      </c>
      <c r="Y18" s="3" t="s">
        <v>35</v>
      </c>
      <c r="Z18" s="3" t="s">
        <v>64</v>
      </c>
      <c r="AA18" s="4" t="s">
        <v>5053</v>
      </c>
      <c r="AB18" s="4" t="s">
        <v>5050</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3" t="s">
        <v>2276</v>
      </c>
      <c r="L19" s="21" t="s">
        <v>2276</v>
      </c>
      <c r="M19" s="21" t="s">
        <v>2276</v>
      </c>
      <c r="N19" s="21" t="s">
        <v>2276</v>
      </c>
      <c r="O19" s="21" t="s">
        <v>2276</v>
      </c>
      <c r="P19" s="21" t="s">
        <v>2276</v>
      </c>
      <c r="Q19" s="21" t="s">
        <v>2375</v>
      </c>
      <c r="R19" s="21" t="s">
        <v>2276</v>
      </c>
      <c r="S19" s="87" t="s">
        <v>2390</v>
      </c>
      <c r="T19" s="87" t="s">
        <v>2276</v>
      </c>
      <c r="U19" s="87" t="s">
        <v>2276</v>
      </c>
      <c r="V19" s="87" t="s">
        <v>2276</v>
      </c>
      <c r="W19" s="21" t="s">
        <v>2375</v>
      </c>
      <c r="X19" s="3" t="s">
        <v>75</v>
      </c>
      <c r="Y19" s="3" t="s">
        <v>35</v>
      </c>
      <c r="Z19" s="3" t="s">
        <v>64</v>
      </c>
      <c r="AA19" s="4" t="s">
        <v>5053</v>
      </c>
      <c r="AB19" s="4" t="s">
        <v>5050</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3" t="s">
        <v>2276</v>
      </c>
      <c r="L20" s="21" t="s">
        <v>2276</v>
      </c>
      <c r="M20" s="21" t="s">
        <v>2276</v>
      </c>
      <c r="N20" s="21" t="s">
        <v>2276</v>
      </c>
      <c r="O20" s="21" t="s">
        <v>2276</v>
      </c>
      <c r="P20" s="21" t="s">
        <v>2276</v>
      </c>
      <c r="Q20" s="21" t="s">
        <v>2375</v>
      </c>
      <c r="R20" s="21" t="s">
        <v>2276</v>
      </c>
      <c r="S20" s="87" t="s">
        <v>2391</v>
      </c>
      <c r="T20" s="87" t="s">
        <v>2276</v>
      </c>
      <c r="U20" s="87" t="s">
        <v>2276</v>
      </c>
      <c r="V20" s="87" t="s">
        <v>2276</v>
      </c>
      <c r="W20" s="21" t="s">
        <v>2375</v>
      </c>
      <c r="X20" s="3" t="s">
        <v>75</v>
      </c>
      <c r="Y20" s="3" t="s">
        <v>35</v>
      </c>
      <c r="Z20" s="3" t="s">
        <v>64</v>
      </c>
      <c r="AA20" s="4" t="s">
        <v>5053</v>
      </c>
      <c r="AB20" s="4" t="s">
        <v>5050</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3" t="s">
        <v>2276</v>
      </c>
      <c r="L21" s="21" t="s">
        <v>2276</v>
      </c>
      <c r="M21" s="21" t="s">
        <v>2276</v>
      </c>
      <c r="N21" s="21" t="s">
        <v>2276</v>
      </c>
      <c r="O21" s="21" t="s">
        <v>2276</v>
      </c>
      <c r="P21" s="21" t="s">
        <v>2276</v>
      </c>
      <c r="Q21" s="21" t="s">
        <v>2375</v>
      </c>
      <c r="R21" s="21" t="s">
        <v>2276</v>
      </c>
      <c r="S21" s="87" t="s">
        <v>2392</v>
      </c>
      <c r="T21" s="87" t="s">
        <v>2276</v>
      </c>
      <c r="U21" s="87" t="s">
        <v>2276</v>
      </c>
      <c r="V21" s="87" t="s">
        <v>2276</v>
      </c>
      <c r="W21" s="21" t="s">
        <v>2375</v>
      </c>
      <c r="X21" s="3" t="s">
        <v>75</v>
      </c>
      <c r="Y21" s="3" t="s">
        <v>35</v>
      </c>
      <c r="Z21" s="3" t="s">
        <v>64</v>
      </c>
      <c r="AA21" s="4" t="s">
        <v>5053</v>
      </c>
      <c r="AB21" s="4" t="s">
        <v>5050</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3" t="s">
        <v>2276</v>
      </c>
      <c r="L22" s="21" t="s">
        <v>2276</v>
      </c>
      <c r="M22" s="21" t="s">
        <v>2276</v>
      </c>
      <c r="N22" s="21" t="s">
        <v>2276</v>
      </c>
      <c r="O22" s="21" t="s">
        <v>2276</v>
      </c>
      <c r="P22" s="21" t="s">
        <v>2276</v>
      </c>
      <c r="Q22" s="21" t="s">
        <v>2375</v>
      </c>
      <c r="R22" s="21" t="s">
        <v>2276</v>
      </c>
      <c r="S22" s="87" t="s">
        <v>2391</v>
      </c>
      <c r="T22" s="87" t="s">
        <v>2276</v>
      </c>
      <c r="U22" s="87" t="s">
        <v>2276</v>
      </c>
      <c r="V22" s="87" t="s">
        <v>2276</v>
      </c>
      <c r="W22" s="21" t="s">
        <v>2375</v>
      </c>
      <c r="X22" s="3" t="s">
        <v>75</v>
      </c>
      <c r="Y22" s="3" t="s">
        <v>35</v>
      </c>
      <c r="Z22" s="3" t="s">
        <v>64</v>
      </c>
      <c r="AA22" s="4" t="s">
        <v>5053</v>
      </c>
      <c r="AB22" s="4" t="s">
        <v>5050</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3" t="s">
        <v>2276</v>
      </c>
      <c r="L23" s="21" t="s">
        <v>2276</v>
      </c>
      <c r="M23" s="21" t="s">
        <v>2276</v>
      </c>
      <c r="N23" s="21" t="s">
        <v>2276</v>
      </c>
      <c r="O23" s="21" t="s">
        <v>2276</v>
      </c>
      <c r="P23" s="21" t="s">
        <v>2276</v>
      </c>
      <c r="Q23" s="21" t="s">
        <v>2375</v>
      </c>
      <c r="R23" s="21" t="s">
        <v>2276</v>
      </c>
      <c r="S23" s="87" t="s">
        <v>2391</v>
      </c>
      <c r="T23" s="87" t="s">
        <v>2276</v>
      </c>
      <c r="U23" s="87" t="s">
        <v>2276</v>
      </c>
      <c r="V23" s="87" t="s">
        <v>2276</v>
      </c>
      <c r="W23" s="21" t="s">
        <v>2375</v>
      </c>
      <c r="X23" s="3" t="s">
        <v>75</v>
      </c>
      <c r="Y23" s="3" t="s">
        <v>35</v>
      </c>
      <c r="Z23" s="3" t="s">
        <v>64</v>
      </c>
      <c r="AA23" s="4" t="s">
        <v>5053</v>
      </c>
      <c r="AB23" s="4" t="s">
        <v>5050</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3" t="s">
        <v>2276</v>
      </c>
      <c r="L24" s="21" t="s">
        <v>2276</v>
      </c>
      <c r="M24" s="21" t="s">
        <v>2276</v>
      </c>
      <c r="N24" s="21" t="s">
        <v>2276</v>
      </c>
      <c r="O24" s="21" t="s">
        <v>2276</v>
      </c>
      <c r="P24" s="21" t="s">
        <v>2276</v>
      </c>
      <c r="Q24" s="21" t="s">
        <v>2375</v>
      </c>
      <c r="R24" s="21" t="s">
        <v>2276</v>
      </c>
      <c r="S24" s="87" t="s">
        <v>2391</v>
      </c>
      <c r="T24" s="87" t="s">
        <v>2276</v>
      </c>
      <c r="U24" s="87" t="s">
        <v>2276</v>
      </c>
      <c r="V24" s="87" t="s">
        <v>2276</v>
      </c>
      <c r="W24" s="21" t="s">
        <v>2375</v>
      </c>
      <c r="X24" s="3" t="s">
        <v>75</v>
      </c>
      <c r="Y24" s="3" t="s">
        <v>35</v>
      </c>
      <c r="Z24" s="3" t="s">
        <v>64</v>
      </c>
      <c r="AA24" s="4" t="s">
        <v>5053</v>
      </c>
      <c r="AB24" s="4" t="s">
        <v>5050</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3" t="s">
        <v>2276</v>
      </c>
      <c r="L25" s="21" t="s">
        <v>2276</v>
      </c>
      <c r="M25" s="21" t="s">
        <v>2276</v>
      </c>
      <c r="N25" s="21" t="s">
        <v>2276</v>
      </c>
      <c r="O25" s="21" t="s">
        <v>2276</v>
      </c>
      <c r="P25" s="21" t="s">
        <v>2276</v>
      </c>
      <c r="Q25" s="21" t="s">
        <v>2375</v>
      </c>
      <c r="R25" s="21" t="s">
        <v>2276</v>
      </c>
      <c r="S25" s="87" t="s">
        <v>2527</v>
      </c>
      <c r="T25" s="87" t="s">
        <v>2276</v>
      </c>
      <c r="U25" s="87" t="s">
        <v>2276</v>
      </c>
      <c r="V25" s="87" t="s">
        <v>2276</v>
      </c>
      <c r="W25" s="21" t="s">
        <v>2375</v>
      </c>
      <c r="X25" s="3" t="s">
        <v>75</v>
      </c>
      <c r="Y25" s="3" t="s">
        <v>35</v>
      </c>
      <c r="Z25" s="3" t="s">
        <v>64</v>
      </c>
      <c r="AA25" s="4" t="s">
        <v>5053</v>
      </c>
      <c r="AB25" s="4" t="s">
        <v>5050</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3" t="s">
        <v>2276</v>
      </c>
      <c r="L26" s="21" t="s">
        <v>2276</v>
      </c>
      <c r="M26" s="21" t="s">
        <v>2276</v>
      </c>
      <c r="N26" s="21" t="s">
        <v>2276</v>
      </c>
      <c r="O26" s="21" t="s">
        <v>2276</v>
      </c>
      <c r="P26" s="21" t="s">
        <v>2276</v>
      </c>
      <c r="Q26" s="21" t="s">
        <v>2375</v>
      </c>
      <c r="R26" s="21" t="s">
        <v>2276</v>
      </c>
      <c r="S26" s="87" t="s">
        <v>2392</v>
      </c>
      <c r="T26" s="87" t="s">
        <v>2276</v>
      </c>
      <c r="U26" s="87" t="s">
        <v>2276</v>
      </c>
      <c r="V26" s="87" t="s">
        <v>2276</v>
      </c>
      <c r="W26" s="21" t="s">
        <v>2375</v>
      </c>
      <c r="X26" s="3" t="s">
        <v>75</v>
      </c>
      <c r="Y26" s="3" t="s">
        <v>35</v>
      </c>
      <c r="Z26" s="3" t="s">
        <v>64</v>
      </c>
      <c r="AA26" s="4" t="s">
        <v>5053</v>
      </c>
      <c r="AB26" s="4" t="s">
        <v>5050</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3" t="s">
        <v>2276</v>
      </c>
      <c r="L27" s="21" t="s">
        <v>2276</v>
      </c>
      <c r="M27" s="21" t="s">
        <v>2276</v>
      </c>
      <c r="N27" s="21" t="s">
        <v>2276</v>
      </c>
      <c r="O27" s="21" t="s">
        <v>2276</v>
      </c>
      <c r="P27" s="21" t="s">
        <v>2276</v>
      </c>
      <c r="Q27" s="21" t="s">
        <v>2375</v>
      </c>
      <c r="R27" s="21" t="s">
        <v>2276</v>
      </c>
      <c r="S27" s="87" t="s">
        <v>2391</v>
      </c>
      <c r="T27" s="87" t="s">
        <v>2276</v>
      </c>
      <c r="U27" s="87" t="s">
        <v>2276</v>
      </c>
      <c r="V27" s="87" t="s">
        <v>2276</v>
      </c>
      <c r="W27" s="21" t="s">
        <v>2375</v>
      </c>
      <c r="X27" s="3" t="s">
        <v>75</v>
      </c>
      <c r="Y27" s="3" t="s">
        <v>35</v>
      </c>
      <c r="Z27" s="3" t="s">
        <v>64</v>
      </c>
      <c r="AA27" s="4" t="s">
        <v>5053</v>
      </c>
      <c r="AB27" s="4" t="s">
        <v>5050</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3" t="s">
        <v>2276</v>
      </c>
      <c r="L28" s="21" t="s">
        <v>2276</v>
      </c>
      <c r="M28" s="21" t="s">
        <v>2276</v>
      </c>
      <c r="N28" s="21" t="s">
        <v>2276</v>
      </c>
      <c r="O28" s="21" t="s">
        <v>2276</v>
      </c>
      <c r="P28" s="21" t="s">
        <v>2276</v>
      </c>
      <c r="Q28" s="21" t="s">
        <v>2375</v>
      </c>
      <c r="R28" s="21" t="s">
        <v>2276</v>
      </c>
      <c r="S28" s="87" t="s">
        <v>2392</v>
      </c>
      <c r="T28" s="87" t="s">
        <v>2276</v>
      </c>
      <c r="U28" s="87" t="s">
        <v>2276</v>
      </c>
      <c r="V28" s="87" t="s">
        <v>2276</v>
      </c>
      <c r="W28" s="21" t="s">
        <v>2375</v>
      </c>
      <c r="X28" s="3" t="s">
        <v>75</v>
      </c>
      <c r="Y28" s="3" t="s">
        <v>35</v>
      </c>
      <c r="Z28" s="3" t="s">
        <v>64</v>
      </c>
      <c r="AA28" s="4" t="s">
        <v>5053</v>
      </c>
      <c r="AB28" s="4" t="s">
        <v>5050</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3" t="s">
        <v>2276</v>
      </c>
      <c r="L29" s="21" t="s">
        <v>2276</v>
      </c>
      <c r="M29" s="21" t="s">
        <v>2276</v>
      </c>
      <c r="N29" s="21" t="s">
        <v>2276</v>
      </c>
      <c r="O29" s="21" t="s">
        <v>2276</v>
      </c>
      <c r="P29" s="21" t="s">
        <v>2276</v>
      </c>
      <c r="Q29" s="21" t="s">
        <v>2375</v>
      </c>
      <c r="R29" s="21" t="s">
        <v>2276</v>
      </c>
      <c r="S29" s="87" t="s">
        <v>2392</v>
      </c>
      <c r="T29" s="87" t="s">
        <v>2276</v>
      </c>
      <c r="U29" s="87" t="s">
        <v>2276</v>
      </c>
      <c r="V29" s="87" t="s">
        <v>2276</v>
      </c>
      <c r="W29" s="21" t="s">
        <v>2375</v>
      </c>
      <c r="X29" s="3" t="s">
        <v>75</v>
      </c>
      <c r="Y29" s="3" t="s">
        <v>35</v>
      </c>
      <c r="Z29" s="3" t="s">
        <v>64</v>
      </c>
      <c r="AA29" s="4" t="s">
        <v>5053</v>
      </c>
      <c r="AB29" s="4" t="s">
        <v>5050</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3" t="s">
        <v>2276</v>
      </c>
      <c r="L30" s="21" t="s">
        <v>2276</v>
      </c>
      <c r="M30" s="21" t="s">
        <v>2276</v>
      </c>
      <c r="N30" s="21" t="s">
        <v>2276</v>
      </c>
      <c r="O30" s="21" t="s">
        <v>2276</v>
      </c>
      <c r="P30" s="21" t="s">
        <v>2276</v>
      </c>
      <c r="Q30" s="21" t="s">
        <v>2375</v>
      </c>
      <c r="R30" s="21" t="s">
        <v>2276</v>
      </c>
      <c r="S30" s="87" t="s">
        <v>2391</v>
      </c>
      <c r="T30" s="87" t="s">
        <v>2276</v>
      </c>
      <c r="U30" s="87" t="s">
        <v>2276</v>
      </c>
      <c r="V30" s="87" t="s">
        <v>2276</v>
      </c>
      <c r="W30" s="21" t="s">
        <v>2375</v>
      </c>
      <c r="X30" s="3" t="s">
        <v>75</v>
      </c>
      <c r="Y30" s="3" t="s">
        <v>35</v>
      </c>
      <c r="Z30" s="3" t="s">
        <v>64</v>
      </c>
      <c r="AA30" s="4" t="s">
        <v>5053</v>
      </c>
      <c r="AB30" s="4" t="s">
        <v>5050</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3" t="s">
        <v>2276</v>
      </c>
      <c r="L31" s="21" t="s">
        <v>2276</v>
      </c>
      <c r="M31" s="21" t="s">
        <v>2276</v>
      </c>
      <c r="N31" s="21" t="s">
        <v>2276</v>
      </c>
      <c r="O31" s="21" t="s">
        <v>2276</v>
      </c>
      <c r="P31" s="21" t="s">
        <v>2276</v>
      </c>
      <c r="Q31" s="21" t="s">
        <v>2375</v>
      </c>
      <c r="R31" s="21" t="s">
        <v>2276</v>
      </c>
      <c r="S31" s="87" t="s">
        <v>2392</v>
      </c>
      <c r="T31" s="87" t="s">
        <v>2276</v>
      </c>
      <c r="U31" s="87" t="s">
        <v>2276</v>
      </c>
      <c r="V31" s="87" t="s">
        <v>2276</v>
      </c>
      <c r="W31" s="21" t="s">
        <v>2375</v>
      </c>
      <c r="X31" s="3" t="s">
        <v>75</v>
      </c>
      <c r="Y31" s="3" t="s">
        <v>35</v>
      </c>
      <c r="Z31" s="3" t="s">
        <v>64</v>
      </c>
      <c r="AA31" s="4" t="s">
        <v>5053</v>
      </c>
      <c r="AB31" s="4" t="s">
        <v>5050</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3" t="s">
        <v>2276</v>
      </c>
      <c r="L32" s="21" t="s">
        <v>2276</v>
      </c>
      <c r="M32" s="21" t="s">
        <v>2276</v>
      </c>
      <c r="N32" s="21" t="s">
        <v>2276</v>
      </c>
      <c r="O32" s="21" t="s">
        <v>2276</v>
      </c>
      <c r="P32" s="21" t="s">
        <v>2276</v>
      </c>
      <c r="Q32" s="21" t="s">
        <v>2375</v>
      </c>
      <c r="R32" s="21" t="s">
        <v>2276</v>
      </c>
      <c r="S32" s="87" t="s">
        <v>2392</v>
      </c>
      <c r="T32" s="87" t="s">
        <v>2276</v>
      </c>
      <c r="U32" s="87" t="s">
        <v>2276</v>
      </c>
      <c r="V32" s="87" t="s">
        <v>2276</v>
      </c>
      <c r="W32" s="21" t="s">
        <v>2375</v>
      </c>
      <c r="X32" s="3" t="s">
        <v>75</v>
      </c>
      <c r="Y32" s="3" t="s">
        <v>35</v>
      </c>
      <c r="Z32" s="3" t="s">
        <v>64</v>
      </c>
      <c r="AA32" s="4" t="s">
        <v>5053</v>
      </c>
      <c r="AB32" s="4" t="s">
        <v>5050</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3" t="s">
        <v>2276</v>
      </c>
      <c r="L33" s="21" t="s">
        <v>2276</v>
      </c>
      <c r="M33" s="21" t="s">
        <v>2276</v>
      </c>
      <c r="N33" s="21" t="s">
        <v>2276</v>
      </c>
      <c r="O33" s="21" t="s">
        <v>2276</v>
      </c>
      <c r="P33" s="21" t="s">
        <v>2276</v>
      </c>
      <c r="Q33" s="21" t="s">
        <v>2375</v>
      </c>
      <c r="R33" s="21" t="s">
        <v>2276</v>
      </c>
      <c r="S33" s="87" t="s">
        <v>2392</v>
      </c>
      <c r="T33" s="87" t="s">
        <v>2276</v>
      </c>
      <c r="U33" s="87" t="s">
        <v>2276</v>
      </c>
      <c r="V33" s="87" t="s">
        <v>2276</v>
      </c>
      <c r="W33" s="21" t="s">
        <v>2375</v>
      </c>
      <c r="X33" s="3" t="s">
        <v>75</v>
      </c>
      <c r="Y33" s="3" t="s">
        <v>35</v>
      </c>
      <c r="Z33" s="3" t="s">
        <v>64</v>
      </c>
      <c r="AA33" s="4" t="s">
        <v>5053</v>
      </c>
      <c r="AB33" s="4" t="s">
        <v>5050</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3" t="s">
        <v>2276</v>
      </c>
      <c r="L34" s="21" t="s">
        <v>2276</v>
      </c>
      <c r="M34" s="21" t="s">
        <v>2276</v>
      </c>
      <c r="N34" s="21" t="s">
        <v>2276</v>
      </c>
      <c r="O34" s="21" t="s">
        <v>2276</v>
      </c>
      <c r="P34" s="21" t="s">
        <v>2276</v>
      </c>
      <c r="Q34" s="21" t="s">
        <v>2375</v>
      </c>
      <c r="R34" s="21" t="s">
        <v>2276</v>
      </c>
      <c r="S34" s="87" t="s">
        <v>2392</v>
      </c>
      <c r="T34" s="87" t="s">
        <v>2276</v>
      </c>
      <c r="U34" s="87" t="s">
        <v>2276</v>
      </c>
      <c r="V34" s="87" t="s">
        <v>2276</v>
      </c>
      <c r="W34" s="21" t="s">
        <v>2375</v>
      </c>
      <c r="X34" s="3" t="s">
        <v>75</v>
      </c>
      <c r="Y34" s="3" t="s">
        <v>35</v>
      </c>
      <c r="Z34" s="3" t="s">
        <v>64</v>
      </c>
      <c r="AA34" s="4" t="s">
        <v>5053</v>
      </c>
      <c r="AB34" s="4" t="s">
        <v>5050</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3" t="s">
        <v>2276</v>
      </c>
      <c r="L35" s="21" t="s">
        <v>2276</v>
      </c>
      <c r="M35" s="21" t="s">
        <v>2276</v>
      </c>
      <c r="N35" s="21" t="s">
        <v>2276</v>
      </c>
      <c r="O35" s="21" t="s">
        <v>2276</v>
      </c>
      <c r="P35" s="21" t="s">
        <v>2276</v>
      </c>
      <c r="Q35" s="21" t="s">
        <v>2375</v>
      </c>
      <c r="R35" s="21" t="s">
        <v>2276</v>
      </c>
      <c r="S35" s="87" t="s">
        <v>2392</v>
      </c>
      <c r="T35" s="87" t="s">
        <v>2276</v>
      </c>
      <c r="U35" s="87" t="s">
        <v>2276</v>
      </c>
      <c r="V35" s="87" t="s">
        <v>2276</v>
      </c>
      <c r="W35" s="21" t="s">
        <v>2375</v>
      </c>
      <c r="X35" s="3" t="s">
        <v>75</v>
      </c>
      <c r="Y35" s="3" t="s">
        <v>35</v>
      </c>
      <c r="Z35" s="3" t="s">
        <v>64</v>
      </c>
      <c r="AA35" s="4" t="s">
        <v>5053</v>
      </c>
      <c r="AB35" s="4" t="s">
        <v>5050</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3" t="s">
        <v>2276</v>
      </c>
      <c r="L36" s="21" t="s">
        <v>2276</v>
      </c>
      <c r="M36" s="21" t="s">
        <v>2276</v>
      </c>
      <c r="N36" s="21" t="s">
        <v>2276</v>
      </c>
      <c r="O36" s="21" t="s">
        <v>2276</v>
      </c>
      <c r="P36" s="21" t="s">
        <v>2276</v>
      </c>
      <c r="Q36" s="21" t="s">
        <v>2375</v>
      </c>
      <c r="R36" s="21" t="s">
        <v>2276</v>
      </c>
      <c r="S36" s="87" t="s">
        <v>2391</v>
      </c>
      <c r="T36" s="87" t="s">
        <v>2276</v>
      </c>
      <c r="U36" s="87" t="s">
        <v>2276</v>
      </c>
      <c r="V36" s="87" t="s">
        <v>2276</v>
      </c>
      <c r="W36" s="21" t="s">
        <v>2375</v>
      </c>
      <c r="X36" s="3" t="s">
        <v>75</v>
      </c>
      <c r="Y36" s="3" t="s">
        <v>35</v>
      </c>
      <c r="Z36" s="3" t="s">
        <v>64</v>
      </c>
      <c r="AA36" s="4" t="s">
        <v>5053</v>
      </c>
      <c r="AB36" s="4" t="s">
        <v>5050</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3" t="s">
        <v>2276</v>
      </c>
      <c r="L37" s="21" t="s">
        <v>2276</v>
      </c>
      <c r="M37" s="21" t="s">
        <v>2276</v>
      </c>
      <c r="N37" s="21" t="s">
        <v>2276</v>
      </c>
      <c r="O37" s="21" t="s">
        <v>2276</v>
      </c>
      <c r="P37" s="21" t="s">
        <v>2276</v>
      </c>
      <c r="Q37" s="21" t="s">
        <v>2375</v>
      </c>
      <c r="R37" s="21" t="s">
        <v>2276</v>
      </c>
      <c r="S37" s="87" t="s">
        <v>2392</v>
      </c>
      <c r="T37" s="87" t="s">
        <v>2276</v>
      </c>
      <c r="U37" s="87" t="s">
        <v>2276</v>
      </c>
      <c r="V37" s="87" t="s">
        <v>2276</v>
      </c>
      <c r="W37" s="21" t="s">
        <v>2375</v>
      </c>
      <c r="X37" s="3" t="s">
        <v>75</v>
      </c>
      <c r="Y37" s="3" t="s">
        <v>35</v>
      </c>
      <c r="Z37" s="3" t="s">
        <v>64</v>
      </c>
      <c r="AA37" s="4" t="s">
        <v>5053</v>
      </c>
      <c r="AB37" s="4" t="s">
        <v>5050</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3" t="s">
        <v>2276</v>
      </c>
      <c r="L38" s="21" t="s">
        <v>2276</v>
      </c>
      <c r="M38" s="21" t="s">
        <v>2276</v>
      </c>
      <c r="N38" s="21" t="s">
        <v>2276</v>
      </c>
      <c r="O38" s="21" t="s">
        <v>2276</v>
      </c>
      <c r="P38" s="21" t="s">
        <v>2276</v>
      </c>
      <c r="Q38" s="21" t="s">
        <v>2375</v>
      </c>
      <c r="R38" s="21" t="s">
        <v>2276</v>
      </c>
      <c r="S38" s="87" t="s">
        <v>2392</v>
      </c>
      <c r="T38" s="87" t="s">
        <v>2276</v>
      </c>
      <c r="U38" s="87" t="s">
        <v>2276</v>
      </c>
      <c r="V38" s="87" t="s">
        <v>2276</v>
      </c>
      <c r="W38" s="21" t="s">
        <v>2375</v>
      </c>
      <c r="X38" s="3" t="s">
        <v>75</v>
      </c>
      <c r="Y38" s="3" t="s">
        <v>35</v>
      </c>
      <c r="Z38" s="3" t="s">
        <v>64</v>
      </c>
      <c r="AA38" s="4" t="s">
        <v>5053</v>
      </c>
      <c r="AB38" s="4" t="s">
        <v>5050</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3" t="s">
        <v>2276</v>
      </c>
      <c r="L39" s="21" t="s">
        <v>2276</v>
      </c>
      <c r="M39" s="21" t="s">
        <v>2276</v>
      </c>
      <c r="N39" s="21" t="s">
        <v>2276</v>
      </c>
      <c r="O39" s="21" t="s">
        <v>2276</v>
      </c>
      <c r="P39" s="21" t="s">
        <v>2276</v>
      </c>
      <c r="Q39" s="21" t="s">
        <v>2375</v>
      </c>
      <c r="R39" s="21" t="s">
        <v>2276</v>
      </c>
      <c r="S39" s="87" t="s">
        <v>2392</v>
      </c>
      <c r="T39" s="87" t="s">
        <v>2276</v>
      </c>
      <c r="U39" s="87" t="s">
        <v>2276</v>
      </c>
      <c r="V39" s="87" t="s">
        <v>2276</v>
      </c>
      <c r="W39" s="21" t="s">
        <v>2375</v>
      </c>
      <c r="X39" s="3" t="s">
        <v>75</v>
      </c>
      <c r="Y39" s="3" t="s">
        <v>35</v>
      </c>
      <c r="Z39" s="3" t="s">
        <v>64</v>
      </c>
      <c r="AA39" s="4" t="s">
        <v>5053</v>
      </c>
      <c r="AB39" s="4" t="s">
        <v>5050</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3" t="s">
        <v>2276</v>
      </c>
      <c r="L40" s="21" t="s">
        <v>2276</v>
      </c>
      <c r="M40" s="21" t="s">
        <v>2276</v>
      </c>
      <c r="N40" s="21" t="s">
        <v>2276</v>
      </c>
      <c r="O40" s="21" t="s">
        <v>2276</v>
      </c>
      <c r="P40" s="21" t="s">
        <v>2276</v>
      </c>
      <c r="Q40" s="21" t="s">
        <v>2375</v>
      </c>
      <c r="R40" s="21" t="s">
        <v>2276</v>
      </c>
      <c r="S40" s="87" t="s">
        <v>2392</v>
      </c>
      <c r="T40" s="87" t="s">
        <v>2276</v>
      </c>
      <c r="U40" s="87" t="s">
        <v>2276</v>
      </c>
      <c r="V40" s="87" t="s">
        <v>2276</v>
      </c>
      <c r="W40" s="21" t="s">
        <v>2375</v>
      </c>
      <c r="X40" s="3" t="s">
        <v>75</v>
      </c>
      <c r="Y40" s="3" t="s">
        <v>35</v>
      </c>
      <c r="Z40" s="3" t="s">
        <v>64</v>
      </c>
      <c r="AA40" s="4" t="s">
        <v>5053</v>
      </c>
      <c r="AB40" s="4" t="s">
        <v>5050</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3" t="s">
        <v>2276</v>
      </c>
      <c r="L41" s="21" t="s">
        <v>2276</v>
      </c>
      <c r="M41" s="21" t="s">
        <v>2276</v>
      </c>
      <c r="N41" s="21" t="s">
        <v>2276</v>
      </c>
      <c r="O41" s="21" t="s">
        <v>2276</v>
      </c>
      <c r="P41" s="21" t="s">
        <v>2276</v>
      </c>
      <c r="Q41" s="21" t="s">
        <v>2375</v>
      </c>
      <c r="R41" s="21" t="s">
        <v>2276</v>
      </c>
      <c r="S41" s="87" t="s">
        <v>2391</v>
      </c>
      <c r="T41" s="87" t="s">
        <v>2276</v>
      </c>
      <c r="U41" s="87" t="s">
        <v>2276</v>
      </c>
      <c r="V41" s="87" t="s">
        <v>2276</v>
      </c>
      <c r="W41" s="21" t="s">
        <v>2375</v>
      </c>
      <c r="X41" s="3" t="s">
        <v>75</v>
      </c>
      <c r="Y41" s="3" t="s">
        <v>35</v>
      </c>
      <c r="Z41" s="3" t="s">
        <v>64</v>
      </c>
      <c r="AA41" s="4" t="s">
        <v>5053</v>
      </c>
      <c r="AB41" s="4" t="s">
        <v>5050</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3" t="s">
        <v>2276</v>
      </c>
      <c r="L42" s="21" t="s">
        <v>2276</v>
      </c>
      <c r="M42" s="21" t="s">
        <v>2276</v>
      </c>
      <c r="N42" s="21" t="s">
        <v>2276</v>
      </c>
      <c r="O42" s="21" t="s">
        <v>2276</v>
      </c>
      <c r="P42" s="21" t="s">
        <v>2276</v>
      </c>
      <c r="Q42" s="21" t="s">
        <v>2375</v>
      </c>
      <c r="R42" s="21" t="s">
        <v>2276</v>
      </c>
      <c r="S42" s="87" t="s">
        <v>2392</v>
      </c>
      <c r="T42" s="87" t="s">
        <v>2276</v>
      </c>
      <c r="U42" s="87" t="s">
        <v>2276</v>
      </c>
      <c r="V42" s="87" t="s">
        <v>2276</v>
      </c>
      <c r="W42" s="21" t="s">
        <v>2375</v>
      </c>
      <c r="X42" s="3" t="s">
        <v>75</v>
      </c>
      <c r="Y42" s="3" t="s">
        <v>35</v>
      </c>
      <c r="Z42" s="3" t="s">
        <v>64</v>
      </c>
      <c r="AA42" s="4" t="s">
        <v>5053</v>
      </c>
      <c r="AB42" s="4" t="s">
        <v>5050</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3" t="s">
        <v>2276</v>
      </c>
      <c r="L43" s="21" t="s">
        <v>2276</v>
      </c>
      <c r="M43" s="21" t="s">
        <v>2276</v>
      </c>
      <c r="N43" s="21" t="s">
        <v>2276</v>
      </c>
      <c r="O43" s="21" t="s">
        <v>2276</v>
      </c>
      <c r="P43" s="21" t="s">
        <v>2276</v>
      </c>
      <c r="Q43" s="21" t="s">
        <v>2375</v>
      </c>
      <c r="R43" s="21" t="s">
        <v>2276</v>
      </c>
      <c r="S43" s="87" t="s">
        <v>2392</v>
      </c>
      <c r="T43" s="87" t="s">
        <v>2276</v>
      </c>
      <c r="U43" s="87" t="s">
        <v>2276</v>
      </c>
      <c r="V43" s="87" t="s">
        <v>2276</v>
      </c>
      <c r="W43" s="21" t="s">
        <v>2375</v>
      </c>
      <c r="X43" s="3" t="s">
        <v>75</v>
      </c>
      <c r="Y43" s="3" t="s">
        <v>35</v>
      </c>
      <c r="Z43" s="3" t="s">
        <v>64</v>
      </c>
      <c r="AA43" s="4" t="s">
        <v>5053</v>
      </c>
      <c r="AB43" s="4" t="s">
        <v>5050</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3" t="s">
        <v>2276</v>
      </c>
      <c r="L44" s="21" t="s">
        <v>2276</v>
      </c>
      <c r="M44" s="21" t="s">
        <v>2276</v>
      </c>
      <c r="N44" s="21" t="s">
        <v>2276</v>
      </c>
      <c r="O44" s="21" t="s">
        <v>2276</v>
      </c>
      <c r="P44" s="21" t="s">
        <v>2276</v>
      </c>
      <c r="Q44" s="21" t="s">
        <v>2375</v>
      </c>
      <c r="R44" s="21" t="s">
        <v>2276</v>
      </c>
      <c r="S44" s="87" t="s">
        <v>2392</v>
      </c>
      <c r="T44" s="87" t="s">
        <v>2276</v>
      </c>
      <c r="U44" s="87" t="s">
        <v>2276</v>
      </c>
      <c r="V44" s="87" t="s">
        <v>2276</v>
      </c>
      <c r="W44" s="21" t="s">
        <v>2375</v>
      </c>
      <c r="X44" s="3" t="s">
        <v>75</v>
      </c>
      <c r="Y44" s="3" t="s">
        <v>35</v>
      </c>
      <c r="Z44" s="3" t="s">
        <v>64</v>
      </c>
      <c r="AA44" s="4" t="s">
        <v>5053</v>
      </c>
      <c r="AB44" s="4" t="s">
        <v>5050</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3" t="s">
        <v>2276</v>
      </c>
      <c r="L45" s="21" t="s">
        <v>2276</v>
      </c>
      <c r="M45" s="21" t="s">
        <v>2276</v>
      </c>
      <c r="N45" s="21" t="s">
        <v>2276</v>
      </c>
      <c r="O45" s="21" t="s">
        <v>2276</v>
      </c>
      <c r="P45" s="21" t="s">
        <v>2276</v>
      </c>
      <c r="Q45" s="21" t="s">
        <v>2375</v>
      </c>
      <c r="R45" s="21" t="s">
        <v>2276</v>
      </c>
      <c r="S45" s="87" t="s">
        <v>2391</v>
      </c>
      <c r="T45" s="87" t="s">
        <v>2276</v>
      </c>
      <c r="U45" s="87" t="s">
        <v>2276</v>
      </c>
      <c r="V45" s="87" t="s">
        <v>2276</v>
      </c>
      <c r="W45" s="21" t="s">
        <v>2375</v>
      </c>
      <c r="X45" s="3" t="s">
        <v>75</v>
      </c>
      <c r="Y45" s="3" t="s">
        <v>35</v>
      </c>
      <c r="Z45" s="3" t="s">
        <v>64</v>
      </c>
      <c r="AA45" s="4" t="s">
        <v>5053</v>
      </c>
      <c r="AB45" s="4" t="s">
        <v>5050</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7" t="s">
        <v>2276</v>
      </c>
      <c r="K46" s="109" t="s">
        <v>2276</v>
      </c>
      <c r="L46" s="77" t="s">
        <v>2276</v>
      </c>
      <c r="M46" s="21" t="s">
        <v>2377</v>
      </c>
      <c r="N46" s="77" t="s">
        <v>2276</v>
      </c>
      <c r="O46" s="77" t="s">
        <v>2276</v>
      </c>
      <c r="P46" s="77" t="s">
        <v>2276</v>
      </c>
      <c r="Q46" s="21" t="s">
        <v>2362</v>
      </c>
      <c r="R46" s="21" t="s">
        <v>2276</v>
      </c>
      <c r="S46" s="87" t="s">
        <v>2376</v>
      </c>
      <c r="T46" s="87" t="s">
        <v>2276</v>
      </c>
      <c r="U46" s="87" t="s">
        <v>2276</v>
      </c>
      <c r="V46" s="87" t="s">
        <v>2276</v>
      </c>
      <c r="W46" s="21" t="s">
        <v>2375</v>
      </c>
      <c r="X46" s="22" t="s">
        <v>75</v>
      </c>
      <c r="Y46" s="22" t="s">
        <v>35</v>
      </c>
      <c r="Z46" s="3" t="s">
        <v>64</v>
      </c>
      <c r="AA46" s="4" t="s">
        <v>5053</v>
      </c>
      <c r="AB46" s="4" t="s">
        <v>5051</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7" t="s">
        <v>2276</v>
      </c>
      <c r="K47" s="109" t="s">
        <v>2276</v>
      </c>
      <c r="L47" s="77" t="s">
        <v>2276</v>
      </c>
      <c r="M47" s="21" t="s">
        <v>2376</v>
      </c>
      <c r="N47" s="77" t="s">
        <v>2276</v>
      </c>
      <c r="O47" s="77" t="s">
        <v>2276</v>
      </c>
      <c r="P47" s="77" t="s">
        <v>2276</v>
      </c>
      <c r="Q47" s="21" t="s">
        <v>2362</v>
      </c>
      <c r="R47" s="21" t="s">
        <v>2276</v>
      </c>
      <c r="S47" s="87" t="s">
        <v>2527</v>
      </c>
      <c r="T47" s="87" t="s">
        <v>2276</v>
      </c>
      <c r="U47" s="87" t="s">
        <v>2276</v>
      </c>
      <c r="V47" s="87" t="s">
        <v>2276</v>
      </c>
      <c r="W47" s="21" t="s">
        <v>2375</v>
      </c>
      <c r="X47" s="3" t="s">
        <v>75</v>
      </c>
      <c r="Y47" s="3" t="s">
        <v>35</v>
      </c>
      <c r="Z47" s="3" t="s">
        <v>64</v>
      </c>
      <c r="AA47" s="4" t="s">
        <v>5053</v>
      </c>
      <c r="AB47" s="4" t="s">
        <v>5052</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7" t="s">
        <v>2276</v>
      </c>
      <c r="K48" s="109" t="s">
        <v>2276</v>
      </c>
      <c r="L48" s="77" t="s">
        <v>2276</v>
      </c>
      <c r="M48" s="21" t="s">
        <v>2276</v>
      </c>
      <c r="N48" s="77" t="s">
        <v>2276</v>
      </c>
      <c r="O48" s="77" t="s">
        <v>2276</v>
      </c>
      <c r="P48" s="77" t="s">
        <v>2276</v>
      </c>
      <c r="Q48" s="21" t="s">
        <v>2362</v>
      </c>
      <c r="R48" s="21" t="s">
        <v>2276</v>
      </c>
      <c r="S48" s="87" t="s">
        <v>2527</v>
      </c>
      <c r="T48" s="87" t="s">
        <v>2276</v>
      </c>
      <c r="U48" s="87" t="s">
        <v>2276</v>
      </c>
      <c r="V48" s="87" t="s">
        <v>2276</v>
      </c>
      <c r="W48" s="21" t="s">
        <v>2375</v>
      </c>
      <c r="X48" s="3" t="s">
        <v>75</v>
      </c>
      <c r="Y48" s="3" t="s">
        <v>35</v>
      </c>
      <c r="Z48" s="3" t="s">
        <v>64</v>
      </c>
      <c r="AA48" s="4" t="s">
        <v>5053</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7" t="s">
        <v>2276</v>
      </c>
      <c r="K49" s="109" t="s">
        <v>2276</v>
      </c>
      <c r="L49" s="77" t="s">
        <v>2276</v>
      </c>
      <c r="M49" s="21" t="s">
        <v>2276</v>
      </c>
      <c r="N49" s="77" t="s">
        <v>2276</v>
      </c>
      <c r="O49" s="77" t="s">
        <v>2276</v>
      </c>
      <c r="P49" s="77" t="s">
        <v>2276</v>
      </c>
      <c r="Q49" s="21" t="s">
        <v>2362</v>
      </c>
      <c r="R49" s="21" t="s">
        <v>2276</v>
      </c>
      <c r="S49" s="87" t="s">
        <v>2376</v>
      </c>
      <c r="T49" s="87" t="s">
        <v>2276</v>
      </c>
      <c r="U49" s="87" t="s">
        <v>2276</v>
      </c>
      <c r="V49" s="87" t="s">
        <v>2276</v>
      </c>
      <c r="W49" s="21" t="s">
        <v>2375</v>
      </c>
      <c r="X49" s="3" t="s">
        <v>75</v>
      </c>
      <c r="Y49" s="3" t="s">
        <v>35</v>
      </c>
      <c r="Z49" s="3" t="s">
        <v>64</v>
      </c>
      <c r="AA49" s="4" t="s">
        <v>5053</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7" t="s">
        <v>2276</v>
      </c>
      <c r="K50" s="109" t="s">
        <v>2276</v>
      </c>
      <c r="L50" s="77" t="s">
        <v>2276</v>
      </c>
      <c r="M50" s="21" t="s">
        <v>2276</v>
      </c>
      <c r="N50" s="77" t="s">
        <v>2276</v>
      </c>
      <c r="O50" s="77" t="s">
        <v>2276</v>
      </c>
      <c r="P50" s="77" t="s">
        <v>2276</v>
      </c>
      <c r="Q50" s="21" t="s">
        <v>2362</v>
      </c>
      <c r="R50" s="21" t="s">
        <v>2276</v>
      </c>
      <c r="S50" s="87" t="s">
        <v>2389</v>
      </c>
      <c r="T50" s="87" t="s">
        <v>2276</v>
      </c>
      <c r="U50" s="87" t="s">
        <v>2276</v>
      </c>
      <c r="V50" s="87" t="s">
        <v>2276</v>
      </c>
      <c r="W50" s="21" t="s">
        <v>2375</v>
      </c>
      <c r="X50" s="3" t="s">
        <v>75</v>
      </c>
      <c r="Y50" s="3" t="s">
        <v>35</v>
      </c>
      <c r="Z50" s="3" t="s">
        <v>64</v>
      </c>
      <c r="AA50" s="4" t="s">
        <v>5053</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7" t="s">
        <v>2276</v>
      </c>
      <c r="K51" s="109" t="s">
        <v>2276</v>
      </c>
      <c r="L51" s="77" t="s">
        <v>2276</v>
      </c>
      <c r="M51" s="21" t="s">
        <v>2276</v>
      </c>
      <c r="N51" s="77" t="s">
        <v>2276</v>
      </c>
      <c r="O51" s="77" t="s">
        <v>2276</v>
      </c>
      <c r="P51" s="77" t="s">
        <v>2276</v>
      </c>
      <c r="Q51" s="21" t="s">
        <v>2362</v>
      </c>
      <c r="R51" s="21" t="s">
        <v>2276</v>
      </c>
      <c r="S51" s="87" t="s">
        <v>2527</v>
      </c>
      <c r="T51" s="87" t="s">
        <v>2276</v>
      </c>
      <c r="U51" s="87" t="s">
        <v>2276</v>
      </c>
      <c r="V51" s="87" t="s">
        <v>2276</v>
      </c>
      <c r="W51" s="21" t="s">
        <v>2375</v>
      </c>
      <c r="X51" s="3" t="s">
        <v>75</v>
      </c>
      <c r="Y51" s="3" t="s">
        <v>35</v>
      </c>
      <c r="Z51" s="3" t="s">
        <v>64</v>
      </c>
      <c r="AA51" s="4" t="s">
        <v>5053</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7" t="s">
        <v>2276</v>
      </c>
      <c r="K52" s="109" t="s">
        <v>2276</v>
      </c>
      <c r="L52" s="77" t="s">
        <v>2276</v>
      </c>
      <c r="M52" s="21" t="s">
        <v>2276</v>
      </c>
      <c r="N52" s="77" t="s">
        <v>2276</v>
      </c>
      <c r="O52" s="77" t="s">
        <v>2276</v>
      </c>
      <c r="P52" s="77" t="s">
        <v>2276</v>
      </c>
      <c r="Q52" s="21" t="s">
        <v>2362</v>
      </c>
      <c r="R52" s="21" t="s">
        <v>2276</v>
      </c>
      <c r="S52" s="87" t="s">
        <v>2527</v>
      </c>
      <c r="T52" s="87" t="s">
        <v>2276</v>
      </c>
      <c r="U52" s="87" t="s">
        <v>2276</v>
      </c>
      <c r="V52" s="87" t="s">
        <v>2276</v>
      </c>
      <c r="W52" s="21" t="s">
        <v>2375</v>
      </c>
      <c r="X52" s="3" t="s">
        <v>75</v>
      </c>
      <c r="Y52" s="3" t="s">
        <v>35</v>
      </c>
      <c r="Z52" s="3" t="s">
        <v>64</v>
      </c>
      <c r="AA52" s="4" t="s">
        <v>5053</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7" t="s">
        <v>2276</v>
      </c>
      <c r="K53" s="109" t="s">
        <v>2276</v>
      </c>
      <c r="L53" s="77" t="s">
        <v>2276</v>
      </c>
      <c r="M53" s="21" t="s">
        <v>2276</v>
      </c>
      <c r="N53" s="77" t="s">
        <v>2276</v>
      </c>
      <c r="O53" s="77" t="s">
        <v>2276</v>
      </c>
      <c r="P53" s="77" t="s">
        <v>2276</v>
      </c>
      <c r="Q53" s="21" t="s">
        <v>2362</v>
      </c>
      <c r="R53" s="21" t="s">
        <v>2276</v>
      </c>
      <c r="S53" s="87" t="s">
        <v>2374</v>
      </c>
      <c r="T53" s="87" t="s">
        <v>2276</v>
      </c>
      <c r="U53" s="87" t="s">
        <v>2276</v>
      </c>
      <c r="V53" s="87" t="s">
        <v>2276</v>
      </c>
      <c r="W53" s="21" t="s">
        <v>2375</v>
      </c>
      <c r="X53" s="3" t="s">
        <v>75</v>
      </c>
      <c r="Y53" s="3" t="s">
        <v>35</v>
      </c>
      <c r="Z53" s="3" t="s">
        <v>64</v>
      </c>
      <c r="AA53" s="4" t="s">
        <v>5053</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7" t="s">
        <v>2276</v>
      </c>
      <c r="K54" s="109" t="s">
        <v>2276</v>
      </c>
      <c r="L54" s="77" t="s">
        <v>2276</v>
      </c>
      <c r="M54" s="21" t="s">
        <v>2276</v>
      </c>
      <c r="N54" s="77" t="s">
        <v>2276</v>
      </c>
      <c r="O54" s="77" t="s">
        <v>2276</v>
      </c>
      <c r="P54" s="77" t="s">
        <v>2276</v>
      </c>
      <c r="Q54" s="21" t="s">
        <v>2362</v>
      </c>
      <c r="R54" s="21" t="s">
        <v>2276</v>
      </c>
      <c r="S54" s="87" t="s">
        <v>2389</v>
      </c>
      <c r="T54" s="87" t="s">
        <v>2276</v>
      </c>
      <c r="U54" s="87" t="s">
        <v>2276</v>
      </c>
      <c r="V54" s="87" t="s">
        <v>2276</v>
      </c>
      <c r="W54" s="21" t="s">
        <v>2375</v>
      </c>
      <c r="X54" s="3" t="s">
        <v>75</v>
      </c>
      <c r="Y54" s="3" t="s">
        <v>35</v>
      </c>
      <c r="Z54" s="3" t="s">
        <v>64</v>
      </c>
      <c r="AA54" s="4" t="s">
        <v>5053</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7" t="s">
        <v>2276</v>
      </c>
      <c r="K55" s="109" t="s">
        <v>2276</v>
      </c>
      <c r="L55" s="77" t="s">
        <v>2276</v>
      </c>
      <c r="M55" s="21" t="s">
        <v>2276</v>
      </c>
      <c r="N55" s="77" t="s">
        <v>2276</v>
      </c>
      <c r="O55" s="77" t="s">
        <v>2276</v>
      </c>
      <c r="P55" s="77" t="s">
        <v>2276</v>
      </c>
      <c r="Q55" s="21" t="s">
        <v>2362</v>
      </c>
      <c r="R55" s="21" t="s">
        <v>2276</v>
      </c>
      <c r="S55" s="87" t="s">
        <v>2376</v>
      </c>
      <c r="T55" s="87" t="s">
        <v>2276</v>
      </c>
      <c r="U55" s="87" t="s">
        <v>2276</v>
      </c>
      <c r="V55" s="87" t="s">
        <v>2276</v>
      </c>
      <c r="W55" s="21" t="s">
        <v>2375</v>
      </c>
      <c r="X55" s="3" t="s">
        <v>75</v>
      </c>
      <c r="Y55" s="3" t="s">
        <v>35</v>
      </c>
      <c r="Z55" s="3" t="s">
        <v>64</v>
      </c>
      <c r="AA55" s="4" t="s">
        <v>5053</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7" t="s">
        <v>2276</v>
      </c>
      <c r="K56" s="109" t="s">
        <v>2276</v>
      </c>
      <c r="L56" s="77" t="s">
        <v>2276</v>
      </c>
      <c r="M56" s="21" t="s">
        <v>2276</v>
      </c>
      <c r="N56" s="77" t="s">
        <v>2276</v>
      </c>
      <c r="O56" s="77" t="s">
        <v>2276</v>
      </c>
      <c r="P56" s="77" t="s">
        <v>2276</v>
      </c>
      <c r="Q56" s="21" t="s">
        <v>2362</v>
      </c>
      <c r="R56" s="21" t="s">
        <v>2276</v>
      </c>
      <c r="S56" s="87" t="s">
        <v>2376</v>
      </c>
      <c r="T56" s="87" t="s">
        <v>2276</v>
      </c>
      <c r="U56" s="87" t="s">
        <v>2276</v>
      </c>
      <c r="V56" s="87" t="s">
        <v>2276</v>
      </c>
      <c r="W56" s="21" t="s">
        <v>2375</v>
      </c>
      <c r="X56" s="3" t="s">
        <v>75</v>
      </c>
      <c r="Y56" s="3" t="s">
        <v>35</v>
      </c>
      <c r="Z56" s="3" t="s">
        <v>64</v>
      </c>
      <c r="AA56" s="4" t="s">
        <v>5053</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7" t="s">
        <v>2276</v>
      </c>
      <c r="K57" s="109" t="s">
        <v>2276</v>
      </c>
      <c r="L57" s="77" t="s">
        <v>2276</v>
      </c>
      <c r="M57" s="21" t="s">
        <v>2276</v>
      </c>
      <c r="N57" s="77" t="s">
        <v>2276</v>
      </c>
      <c r="O57" s="77" t="s">
        <v>2276</v>
      </c>
      <c r="P57" s="77" t="s">
        <v>2276</v>
      </c>
      <c r="Q57" s="21" t="s">
        <v>2362</v>
      </c>
      <c r="R57" s="21" t="s">
        <v>2276</v>
      </c>
      <c r="S57" s="87" t="s">
        <v>2390</v>
      </c>
      <c r="T57" s="87" t="s">
        <v>2276</v>
      </c>
      <c r="U57" s="87" t="s">
        <v>2276</v>
      </c>
      <c r="V57" s="87" t="s">
        <v>2276</v>
      </c>
      <c r="W57" s="21" t="s">
        <v>2375</v>
      </c>
      <c r="X57" s="3" t="s">
        <v>75</v>
      </c>
      <c r="Y57" s="3" t="s">
        <v>35</v>
      </c>
      <c r="Z57" s="3" t="s">
        <v>64</v>
      </c>
      <c r="AA57" s="4" t="s">
        <v>5053</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7" t="s">
        <v>2276</v>
      </c>
      <c r="K58" s="109" t="s">
        <v>2276</v>
      </c>
      <c r="L58" s="77" t="s">
        <v>2276</v>
      </c>
      <c r="M58" s="21" t="s">
        <v>2276</v>
      </c>
      <c r="N58" s="77" t="s">
        <v>2276</v>
      </c>
      <c r="O58" s="77" t="s">
        <v>2276</v>
      </c>
      <c r="P58" s="77" t="s">
        <v>2276</v>
      </c>
      <c r="Q58" s="21" t="s">
        <v>2362</v>
      </c>
      <c r="R58" s="21" t="s">
        <v>2276</v>
      </c>
      <c r="S58" s="87" t="s">
        <v>2374</v>
      </c>
      <c r="T58" s="87" t="s">
        <v>2276</v>
      </c>
      <c r="U58" s="87" t="s">
        <v>2276</v>
      </c>
      <c r="V58" s="87" t="s">
        <v>2276</v>
      </c>
      <c r="W58" s="21" t="s">
        <v>2375</v>
      </c>
      <c r="X58" s="3" t="s">
        <v>75</v>
      </c>
      <c r="Y58" s="3" t="s">
        <v>35</v>
      </c>
      <c r="Z58" s="3" t="s">
        <v>64</v>
      </c>
      <c r="AA58" s="4" t="s">
        <v>5053</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7" t="s">
        <v>2276</v>
      </c>
      <c r="K59" s="109" t="s">
        <v>2276</v>
      </c>
      <c r="L59" s="77" t="s">
        <v>2276</v>
      </c>
      <c r="M59" s="21" t="s">
        <v>2276</v>
      </c>
      <c r="N59" s="77" t="s">
        <v>2276</v>
      </c>
      <c r="O59" s="77" t="s">
        <v>2276</v>
      </c>
      <c r="P59" s="77" t="s">
        <v>2276</v>
      </c>
      <c r="Q59" s="21" t="s">
        <v>2362</v>
      </c>
      <c r="R59" s="21" t="s">
        <v>2276</v>
      </c>
      <c r="S59" s="87" t="s">
        <v>2374</v>
      </c>
      <c r="T59" s="87" t="s">
        <v>2276</v>
      </c>
      <c r="U59" s="87" t="s">
        <v>2276</v>
      </c>
      <c r="V59" s="87" t="s">
        <v>2276</v>
      </c>
      <c r="W59" s="21" t="s">
        <v>2375</v>
      </c>
      <c r="X59" s="3" t="s">
        <v>75</v>
      </c>
      <c r="Y59" s="3" t="s">
        <v>35</v>
      </c>
      <c r="Z59" s="3" t="s">
        <v>64</v>
      </c>
      <c r="AA59" s="4" t="s">
        <v>5053</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7" t="s">
        <v>2276</v>
      </c>
      <c r="K60" s="109" t="s">
        <v>2276</v>
      </c>
      <c r="L60" s="77" t="s">
        <v>2276</v>
      </c>
      <c r="M60" s="21" t="s">
        <v>2276</v>
      </c>
      <c r="N60" s="77" t="s">
        <v>2276</v>
      </c>
      <c r="O60" s="77" t="s">
        <v>2276</v>
      </c>
      <c r="P60" s="77" t="s">
        <v>2276</v>
      </c>
      <c r="Q60" s="21" t="s">
        <v>2362</v>
      </c>
      <c r="R60" s="21" t="s">
        <v>2276</v>
      </c>
      <c r="S60" s="87" t="s">
        <v>2376</v>
      </c>
      <c r="T60" s="87" t="s">
        <v>2276</v>
      </c>
      <c r="U60" s="87" t="s">
        <v>2276</v>
      </c>
      <c r="V60" s="87" t="s">
        <v>2276</v>
      </c>
      <c r="W60" s="21" t="s">
        <v>2375</v>
      </c>
      <c r="X60" s="3" t="s">
        <v>75</v>
      </c>
      <c r="Y60" s="3" t="s">
        <v>35</v>
      </c>
      <c r="Z60" s="3" t="s">
        <v>64</v>
      </c>
      <c r="AA60" s="4" t="s">
        <v>5053</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7" t="s">
        <v>2276</v>
      </c>
      <c r="K61" s="109" t="s">
        <v>2276</v>
      </c>
      <c r="L61" s="77" t="s">
        <v>2276</v>
      </c>
      <c r="M61" s="21" t="s">
        <v>2276</v>
      </c>
      <c r="N61" s="77" t="s">
        <v>2276</v>
      </c>
      <c r="O61" s="77" t="s">
        <v>2276</v>
      </c>
      <c r="P61" s="77" t="s">
        <v>2276</v>
      </c>
      <c r="Q61" s="21" t="s">
        <v>2362</v>
      </c>
      <c r="R61" s="21" t="s">
        <v>2276</v>
      </c>
      <c r="S61" s="87" t="s">
        <v>2376</v>
      </c>
      <c r="T61" s="87" t="s">
        <v>2276</v>
      </c>
      <c r="U61" s="87" t="s">
        <v>2276</v>
      </c>
      <c r="V61" s="87" t="s">
        <v>2276</v>
      </c>
      <c r="W61" s="21" t="s">
        <v>2375</v>
      </c>
      <c r="X61" s="3" t="s">
        <v>75</v>
      </c>
      <c r="Y61" s="3" t="s">
        <v>35</v>
      </c>
      <c r="Z61" s="3" t="s">
        <v>64</v>
      </c>
      <c r="AA61" s="4" t="s">
        <v>5053</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7" t="s">
        <v>2276</v>
      </c>
      <c r="K62" s="109" t="s">
        <v>2276</v>
      </c>
      <c r="L62" s="77" t="s">
        <v>2276</v>
      </c>
      <c r="M62" s="21" t="s">
        <v>2276</v>
      </c>
      <c r="N62" s="77" t="s">
        <v>2276</v>
      </c>
      <c r="O62" s="77" t="s">
        <v>2276</v>
      </c>
      <c r="P62" s="77" t="s">
        <v>2276</v>
      </c>
      <c r="Q62" s="21" t="s">
        <v>2362</v>
      </c>
      <c r="R62" s="21" t="s">
        <v>2276</v>
      </c>
      <c r="S62" s="87" t="s">
        <v>2527</v>
      </c>
      <c r="T62" s="87" t="s">
        <v>2276</v>
      </c>
      <c r="U62" s="87" t="s">
        <v>2276</v>
      </c>
      <c r="V62" s="87" t="s">
        <v>2276</v>
      </c>
      <c r="W62" s="21" t="s">
        <v>2375</v>
      </c>
      <c r="X62" s="3" t="s">
        <v>75</v>
      </c>
      <c r="Y62" s="3" t="s">
        <v>35</v>
      </c>
      <c r="Z62" s="3" t="s">
        <v>64</v>
      </c>
      <c r="AA62" s="4" t="s">
        <v>5053</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7" t="s">
        <v>2276</v>
      </c>
      <c r="K63" s="109" t="s">
        <v>2276</v>
      </c>
      <c r="L63" s="77" t="s">
        <v>2276</v>
      </c>
      <c r="M63" s="21" t="s">
        <v>2276</v>
      </c>
      <c r="N63" s="77" t="s">
        <v>2276</v>
      </c>
      <c r="O63" s="77" t="s">
        <v>2276</v>
      </c>
      <c r="P63" s="77" t="s">
        <v>2276</v>
      </c>
      <c r="Q63" s="21" t="s">
        <v>2362</v>
      </c>
      <c r="R63" s="21" t="s">
        <v>2276</v>
      </c>
      <c r="S63" s="87" t="s">
        <v>2374</v>
      </c>
      <c r="T63" s="87" t="s">
        <v>2276</v>
      </c>
      <c r="U63" s="87" t="s">
        <v>2276</v>
      </c>
      <c r="V63" s="87" t="s">
        <v>2276</v>
      </c>
      <c r="W63" s="21" t="s">
        <v>2375</v>
      </c>
      <c r="X63" s="3" t="s">
        <v>75</v>
      </c>
      <c r="Y63" s="3" t="s">
        <v>35</v>
      </c>
      <c r="Z63" s="3" t="s">
        <v>64</v>
      </c>
      <c r="AA63" s="4" t="s">
        <v>5053</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7" t="s">
        <v>2276</v>
      </c>
      <c r="K64" s="109" t="s">
        <v>2276</v>
      </c>
      <c r="L64" s="77" t="s">
        <v>2276</v>
      </c>
      <c r="M64" s="21" t="s">
        <v>2276</v>
      </c>
      <c r="N64" s="77" t="s">
        <v>2276</v>
      </c>
      <c r="O64" s="77" t="s">
        <v>2276</v>
      </c>
      <c r="P64" s="77" t="s">
        <v>2276</v>
      </c>
      <c r="Q64" s="21" t="s">
        <v>2362</v>
      </c>
      <c r="R64" s="21" t="s">
        <v>2276</v>
      </c>
      <c r="S64" s="87" t="s">
        <v>2527</v>
      </c>
      <c r="T64" s="87" t="s">
        <v>2276</v>
      </c>
      <c r="U64" s="87" t="s">
        <v>2276</v>
      </c>
      <c r="V64" s="87" t="s">
        <v>2276</v>
      </c>
      <c r="W64" s="21" t="s">
        <v>2375</v>
      </c>
      <c r="X64" s="3" t="s">
        <v>75</v>
      </c>
      <c r="Y64" s="3" t="s">
        <v>35</v>
      </c>
      <c r="Z64" s="3" t="s">
        <v>64</v>
      </c>
      <c r="AA64" s="4" t="s">
        <v>5053</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7" t="s">
        <v>2276</v>
      </c>
      <c r="K65" s="109" t="s">
        <v>2276</v>
      </c>
      <c r="L65" s="77" t="s">
        <v>2276</v>
      </c>
      <c r="M65" s="21" t="s">
        <v>2276</v>
      </c>
      <c r="N65" s="77" t="s">
        <v>2276</v>
      </c>
      <c r="O65" s="77" t="s">
        <v>2276</v>
      </c>
      <c r="P65" s="77" t="s">
        <v>2276</v>
      </c>
      <c r="Q65" s="21" t="s">
        <v>2362</v>
      </c>
      <c r="R65" s="21" t="s">
        <v>2276</v>
      </c>
      <c r="S65" s="87" t="s">
        <v>2527</v>
      </c>
      <c r="T65" s="87" t="s">
        <v>2276</v>
      </c>
      <c r="U65" s="87" t="s">
        <v>2276</v>
      </c>
      <c r="V65" s="87" t="s">
        <v>2276</v>
      </c>
      <c r="W65" s="21" t="s">
        <v>2375</v>
      </c>
      <c r="X65" s="3" t="s">
        <v>75</v>
      </c>
      <c r="Y65" s="3" t="s">
        <v>35</v>
      </c>
      <c r="Z65" s="3" t="s">
        <v>64</v>
      </c>
      <c r="AA65" s="4" t="s">
        <v>5053</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7" t="s">
        <v>2276</v>
      </c>
      <c r="K66" s="109" t="s">
        <v>2276</v>
      </c>
      <c r="L66" s="77" t="s">
        <v>2276</v>
      </c>
      <c r="M66" s="21" t="s">
        <v>2276</v>
      </c>
      <c r="N66" s="77" t="s">
        <v>2276</v>
      </c>
      <c r="O66" s="77" t="s">
        <v>2276</v>
      </c>
      <c r="P66" s="77" t="s">
        <v>2276</v>
      </c>
      <c r="Q66" s="21" t="s">
        <v>2362</v>
      </c>
      <c r="R66" s="21" t="s">
        <v>2276</v>
      </c>
      <c r="S66" s="87" t="s">
        <v>2374</v>
      </c>
      <c r="T66" s="87" t="s">
        <v>2276</v>
      </c>
      <c r="U66" s="87" t="s">
        <v>2276</v>
      </c>
      <c r="V66" s="87" t="s">
        <v>2276</v>
      </c>
      <c r="W66" s="21" t="s">
        <v>2375</v>
      </c>
      <c r="X66" s="3" t="s">
        <v>75</v>
      </c>
      <c r="Y66" s="3" t="s">
        <v>35</v>
      </c>
      <c r="Z66" s="3" t="s">
        <v>64</v>
      </c>
      <c r="AA66" s="4" t="s">
        <v>5053</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7" t="s">
        <v>2276</v>
      </c>
      <c r="K67" s="109" t="s">
        <v>2276</v>
      </c>
      <c r="L67" s="77" t="s">
        <v>2276</v>
      </c>
      <c r="M67" s="21" t="s">
        <v>2276</v>
      </c>
      <c r="N67" s="77" t="s">
        <v>2276</v>
      </c>
      <c r="O67" s="77" t="s">
        <v>2276</v>
      </c>
      <c r="P67" s="77" t="s">
        <v>2276</v>
      </c>
      <c r="Q67" s="21" t="s">
        <v>2362</v>
      </c>
      <c r="R67" s="21" t="s">
        <v>2276</v>
      </c>
      <c r="S67" s="87" t="s">
        <v>2389</v>
      </c>
      <c r="T67" s="87" t="s">
        <v>2276</v>
      </c>
      <c r="U67" s="87" t="s">
        <v>2276</v>
      </c>
      <c r="V67" s="87" t="s">
        <v>2276</v>
      </c>
      <c r="W67" s="21" t="s">
        <v>2375</v>
      </c>
      <c r="X67" s="3" t="s">
        <v>75</v>
      </c>
      <c r="Y67" s="3" t="s">
        <v>35</v>
      </c>
      <c r="Z67" s="3" t="s">
        <v>64</v>
      </c>
      <c r="AA67" s="4" t="s">
        <v>5053</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7" t="s">
        <v>2276</v>
      </c>
      <c r="K68" s="109" t="s">
        <v>2276</v>
      </c>
      <c r="L68" s="77" t="s">
        <v>2276</v>
      </c>
      <c r="M68" s="21" t="s">
        <v>2276</v>
      </c>
      <c r="N68" s="77" t="s">
        <v>2276</v>
      </c>
      <c r="O68" s="77" t="s">
        <v>2276</v>
      </c>
      <c r="P68" s="77" t="s">
        <v>2276</v>
      </c>
      <c r="Q68" s="21" t="s">
        <v>2362</v>
      </c>
      <c r="R68" s="21" t="s">
        <v>2276</v>
      </c>
      <c r="S68" s="87" t="s">
        <v>2389</v>
      </c>
      <c r="T68" s="87" t="s">
        <v>2276</v>
      </c>
      <c r="U68" s="87" t="s">
        <v>2276</v>
      </c>
      <c r="V68" s="87" t="s">
        <v>2276</v>
      </c>
      <c r="W68" s="21" t="s">
        <v>2375</v>
      </c>
      <c r="X68" s="3" t="s">
        <v>75</v>
      </c>
      <c r="Y68" s="3" t="s">
        <v>35</v>
      </c>
      <c r="Z68" s="3" t="s">
        <v>64</v>
      </c>
      <c r="AA68" s="4" t="s">
        <v>5053</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7" t="s">
        <v>2276</v>
      </c>
      <c r="K69" s="109" t="s">
        <v>2276</v>
      </c>
      <c r="L69" s="77" t="s">
        <v>2276</v>
      </c>
      <c r="M69" s="21" t="s">
        <v>2276</v>
      </c>
      <c r="N69" s="77" t="s">
        <v>2276</v>
      </c>
      <c r="O69" s="77" t="s">
        <v>2276</v>
      </c>
      <c r="P69" s="77" t="s">
        <v>2276</v>
      </c>
      <c r="Q69" s="21" t="s">
        <v>2362</v>
      </c>
      <c r="R69" s="21" t="s">
        <v>2276</v>
      </c>
      <c r="S69" s="87" t="s">
        <v>2391</v>
      </c>
      <c r="T69" s="87" t="s">
        <v>2276</v>
      </c>
      <c r="U69" s="87" t="s">
        <v>2276</v>
      </c>
      <c r="V69" s="87" t="s">
        <v>2276</v>
      </c>
      <c r="W69" s="21" t="s">
        <v>2375</v>
      </c>
      <c r="X69" s="3" t="s">
        <v>75</v>
      </c>
      <c r="Y69" s="3" t="s">
        <v>35</v>
      </c>
      <c r="Z69" s="3" t="s">
        <v>64</v>
      </c>
      <c r="AA69" s="4" t="s">
        <v>5053</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7" t="s">
        <v>2276</v>
      </c>
      <c r="K70" s="109" t="s">
        <v>2276</v>
      </c>
      <c r="L70" s="77" t="s">
        <v>2276</v>
      </c>
      <c r="M70" s="21" t="s">
        <v>2276</v>
      </c>
      <c r="N70" s="77" t="s">
        <v>2276</v>
      </c>
      <c r="O70" s="77" t="s">
        <v>2276</v>
      </c>
      <c r="P70" s="77" t="s">
        <v>2276</v>
      </c>
      <c r="Q70" s="21" t="s">
        <v>2362</v>
      </c>
      <c r="R70" s="21" t="s">
        <v>2276</v>
      </c>
      <c r="S70" s="87" t="s">
        <v>2527</v>
      </c>
      <c r="T70" s="87" t="s">
        <v>2276</v>
      </c>
      <c r="U70" s="87" t="s">
        <v>2276</v>
      </c>
      <c r="V70" s="87" t="s">
        <v>2276</v>
      </c>
      <c r="W70" s="21" t="s">
        <v>2375</v>
      </c>
      <c r="X70" s="3" t="s">
        <v>75</v>
      </c>
      <c r="Y70" s="3" t="s">
        <v>35</v>
      </c>
      <c r="Z70" s="3" t="s">
        <v>64</v>
      </c>
      <c r="AA70" s="4" t="s">
        <v>5053</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7" t="s">
        <v>2276</v>
      </c>
      <c r="K71" s="109" t="s">
        <v>2276</v>
      </c>
      <c r="L71" s="77" t="s">
        <v>2276</v>
      </c>
      <c r="M71" s="21" t="s">
        <v>2276</v>
      </c>
      <c r="N71" s="77" t="s">
        <v>2276</v>
      </c>
      <c r="O71" s="77" t="s">
        <v>2276</v>
      </c>
      <c r="P71" s="77" t="s">
        <v>2276</v>
      </c>
      <c r="Q71" s="21" t="s">
        <v>2362</v>
      </c>
      <c r="R71" s="21" t="s">
        <v>2276</v>
      </c>
      <c r="S71" s="87" t="s">
        <v>2374</v>
      </c>
      <c r="T71" s="87" t="s">
        <v>2276</v>
      </c>
      <c r="U71" s="87" t="s">
        <v>2276</v>
      </c>
      <c r="V71" s="87" t="s">
        <v>2276</v>
      </c>
      <c r="W71" s="21" t="s">
        <v>2375</v>
      </c>
      <c r="X71" s="3" t="s">
        <v>75</v>
      </c>
      <c r="Y71" s="3" t="s">
        <v>35</v>
      </c>
      <c r="Z71" s="3" t="s">
        <v>64</v>
      </c>
      <c r="AA71" s="4" t="s">
        <v>5053</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7" t="s">
        <v>2276</v>
      </c>
      <c r="K72" s="109" t="s">
        <v>2276</v>
      </c>
      <c r="L72" s="77" t="s">
        <v>2276</v>
      </c>
      <c r="M72" s="21" t="s">
        <v>2276</v>
      </c>
      <c r="N72" s="77" t="s">
        <v>2276</v>
      </c>
      <c r="O72" s="77" t="s">
        <v>2276</v>
      </c>
      <c r="P72" s="77" t="s">
        <v>2276</v>
      </c>
      <c r="Q72" s="21" t="s">
        <v>2362</v>
      </c>
      <c r="R72" s="21" t="s">
        <v>2276</v>
      </c>
      <c r="S72" s="87" t="s">
        <v>2374</v>
      </c>
      <c r="T72" s="87" t="s">
        <v>2276</v>
      </c>
      <c r="U72" s="87" t="s">
        <v>2276</v>
      </c>
      <c r="V72" s="87" t="s">
        <v>2276</v>
      </c>
      <c r="W72" s="21" t="s">
        <v>2375</v>
      </c>
      <c r="X72" s="3" t="s">
        <v>75</v>
      </c>
      <c r="Y72" s="3" t="s">
        <v>35</v>
      </c>
      <c r="Z72" s="3" t="s">
        <v>64</v>
      </c>
      <c r="AA72" s="4" t="s">
        <v>5053</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7" t="s">
        <v>2276</v>
      </c>
      <c r="K73" s="109" t="s">
        <v>2276</v>
      </c>
      <c r="L73" s="77" t="s">
        <v>2276</v>
      </c>
      <c r="M73" s="21" t="s">
        <v>2276</v>
      </c>
      <c r="N73" s="77" t="s">
        <v>2276</v>
      </c>
      <c r="O73" s="77" t="s">
        <v>2276</v>
      </c>
      <c r="P73" s="77" t="s">
        <v>2276</v>
      </c>
      <c r="Q73" s="21" t="s">
        <v>2362</v>
      </c>
      <c r="R73" s="21" t="s">
        <v>2276</v>
      </c>
      <c r="S73" s="87" t="s">
        <v>2527</v>
      </c>
      <c r="T73" s="87" t="s">
        <v>2276</v>
      </c>
      <c r="U73" s="87" t="s">
        <v>2276</v>
      </c>
      <c r="V73" s="87" t="s">
        <v>2276</v>
      </c>
      <c r="W73" s="21" t="s">
        <v>2375</v>
      </c>
      <c r="X73" s="3" t="s">
        <v>75</v>
      </c>
      <c r="Y73" s="3" t="s">
        <v>35</v>
      </c>
      <c r="Z73" s="3" t="s">
        <v>64</v>
      </c>
      <c r="AA73" s="4" t="s">
        <v>5053</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7" t="s">
        <v>2276</v>
      </c>
      <c r="K74" s="109" t="s">
        <v>2276</v>
      </c>
      <c r="L74" s="77" t="s">
        <v>2276</v>
      </c>
      <c r="M74" s="21" t="s">
        <v>2276</v>
      </c>
      <c r="N74" s="77" t="s">
        <v>2276</v>
      </c>
      <c r="O74" s="77" t="s">
        <v>2276</v>
      </c>
      <c r="P74" s="77" t="s">
        <v>2276</v>
      </c>
      <c r="Q74" s="21" t="s">
        <v>2362</v>
      </c>
      <c r="R74" s="21" t="s">
        <v>2276</v>
      </c>
      <c r="S74" s="87" t="s">
        <v>2376</v>
      </c>
      <c r="T74" s="87" t="s">
        <v>2276</v>
      </c>
      <c r="U74" s="87" t="s">
        <v>2276</v>
      </c>
      <c r="V74" s="87" t="s">
        <v>2276</v>
      </c>
      <c r="W74" s="21" t="s">
        <v>2375</v>
      </c>
      <c r="X74" s="3" t="s">
        <v>75</v>
      </c>
      <c r="Y74" s="3" t="s">
        <v>35</v>
      </c>
      <c r="Z74" s="3" t="s">
        <v>64</v>
      </c>
      <c r="AA74" s="4" t="s">
        <v>5053</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7" t="s">
        <v>2276</v>
      </c>
      <c r="K75" s="109" t="s">
        <v>2276</v>
      </c>
      <c r="L75" s="77" t="s">
        <v>2276</v>
      </c>
      <c r="M75" s="21" t="s">
        <v>2276</v>
      </c>
      <c r="N75" s="77" t="s">
        <v>2276</v>
      </c>
      <c r="O75" s="77" t="s">
        <v>2276</v>
      </c>
      <c r="P75" s="77" t="s">
        <v>2276</v>
      </c>
      <c r="Q75" s="21" t="s">
        <v>2362</v>
      </c>
      <c r="R75" s="21" t="s">
        <v>2276</v>
      </c>
      <c r="S75" s="87" t="s">
        <v>2374</v>
      </c>
      <c r="T75" s="87" t="s">
        <v>2276</v>
      </c>
      <c r="U75" s="87" t="s">
        <v>2276</v>
      </c>
      <c r="V75" s="87" t="s">
        <v>2276</v>
      </c>
      <c r="W75" s="21" t="s">
        <v>2375</v>
      </c>
      <c r="X75" s="3" t="s">
        <v>75</v>
      </c>
      <c r="Y75" s="3" t="s">
        <v>35</v>
      </c>
      <c r="Z75" s="3" t="s">
        <v>64</v>
      </c>
      <c r="AA75" s="4" t="s">
        <v>5053</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7" t="s">
        <v>2276</v>
      </c>
      <c r="K76" s="109" t="s">
        <v>2276</v>
      </c>
      <c r="L76" s="77" t="s">
        <v>2276</v>
      </c>
      <c r="M76" s="21" t="s">
        <v>2276</v>
      </c>
      <c r="N76" s="77" t="s">
        <v>2276</v>
      </c>
      <c r="O76" s="77" t="s">
        <v>2276</v>
      </c>
      <c r="P76" s="77" t="s">
        <v>2276</v>
      </c>
      <c r="Q76" s="21" t="s">
        <v>2362</v>
      </c>
      <c r="R76" s="21" t="s">
        <v>2276</v>
      </c>
      <c r="S76" s="87" t="s">
        <v>2527</v>
      </c>
      <c r="T76" s="87" t="s">
        <v>2276</v>
      </c>
      <c r="U76" s="87" t="s">
        <v>2276</v>
      </c>
      <c r="V76" s="87" t="s">
        <v>2276</v>
      </c>
      <c r="W76" s="21" t="s">
        <v>2375</v>
      </c>
      <c r="X76" s="3" t="s">
        <v>75</v>
      </c>
      <c r="Y76" s="3" t="s">
        <v>35</v>
      </c>
      <c r="Z76" s="3" t="s">
        <v>64</v>
      </c>
      <c r="AA76" s="4" t="s">
        <v>5053</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7" t="s">
        <v>2276</v>
      </c>
      <c r="K77" s="109" t="s">
        <v>2276</v>
      </c>
      <c r="L77" s="77" t="s">
        <v>2276</v>
      </c>
      <c r="M77" s="21" t="s">
        <v>2276</v>
      </c>
      <c r="N77" s="77" t="s">
        <v>2276</v>
      </c>
      <c r="O77" s="77" t="s">
        <v>2276</v>
      </c>
      <c r="P77" s="77" t="s">
        <v>2276</v>
      </c>
      <c r="Q77" s="21" t="s">
        <v>2362</v>
      </c>
      <c r="R77" s="21" t="s">
        <v>2276</v>
      </c>
      <c r="S77" s="87" t="s">
        <v>2376</v>
      </c>
      <c r="T77" s="87" t="s">
        <v>2276</v>
      </c>
      <c r="U77" s="87" t="s">
        <v>2276</v>
      </c>
      <c r="V77" s="87" t="s">
        <v>2276</v>
      </c>
      <c r="W77" s="21" t="s">
        <v>2375</v>
      </c>
      <c r="X77" s="3" t="s">
        <v>75</v>
      </c>
      <c r="Y77" s="3" t="s">
        <v>35</v>
      </c>
      <c r="Z77" s="3" t="s">
        <v>64</v>
      </c>
      <c r="AA77" s="4" t="s">
        <v>5053</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7" t="s">
        <v>2276</v>
      </c>
      <c r="K78" s="109" t="s">
        <v>2276</v>
      </c>
      <c r="L78" s="77" t="s">
        <v>2276</v>
      </c>
      <c r="M78" s="21" t="s">
        <v>2276</v>
      </c>
      <c r="N78" s="77" t="s">
        <v>2276</v>
      </c>
      <c r="O78" s="77" t="s">
        <v>2276</v>
      </c>
      <c r="P78" s="77" t="s">
        <v>2276</v>
      </c>
      <c r="Q78" s="21" t="s">
        <v>2362</v>
      </c>
      <c r="R78" s="21" t="s">
        <v>2276</v>
      </c>
      <c r="S78" s="87" t="s">
        <v>2527</v>
      </c>
      <c r="T78" s="87" t="s">
        <v>2276</v>
      </c>
      <c r="U78" s="87" t="s">
        <v>2276</v>
      </c>
      <c r="V78" s="87" t="s">
        <v>2276</v>
      </c>
      <c r="W78" s="21" t="s">
        <v>2375</v>
      </c>
      <c r="X78" s="3" t="s">
        <v>75</v>
      </c>
      <c r="Y78" s="3" t="s">
        <v>35</v>
      </c>
      <c r="Z78" s="3" t="s">
        <v>64</v>
      </c>
      <c r="AA78" s="4" t="s">
        <v>5053</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3" t="s">
        <v>2276</v>
      </c>
      <c r="L79" s="21" t="s">
        <v>2276</v>
      </c>
      <c r="M79" s="21" t="s">
        <v>2276</v>
      </c>
      <c r="N79" s="21" t="s">
        <v>2276</v>
      </c>
      <c r="O79" s="21" t="s">
        <v>2276</v>
      </c>
      <c r="P79" s="21" t="s">
        <v>2276</v>
      </c>
      <c r="Q79" s="21" t="s">
        <v>2276</v>
      </c>
      <c r="R79" s="102"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3" t="s">
        <v>2276</v>
      </c>
      <c r="L80" s="21" t="s">
        <v>2276</v>
      </c>
      <c r="M80" s="21" t="s">
        <v>2276</v>
      </c>
      <c r="N80" s="21" t="s">
        <v>2276</v>
      </c>
      <c r="O80" s="21" t="s">
        <v>2276</v>
      </c>
      <c r="P80" s="21" t="s">
        <v>2276</v>
      </c>
      <c r="Q80" s="102" t="s">
        <v>2276</v>
      </c>
      <c r="R80" s="102" t="s">
        <v>2276</v>
      </c>
      <c r="S80" s="87"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3" t="s">
        <v>2276</v>
      </c>
      <c r="L81" s="21" t="s">
        <v>2276</v>
      </c>
      <c r="M81" s="21" t="s">
        <v>2276</v>
      </c>
      <c r="N81" s="21" t="s">
        <v>2276</v>
      </c>
      <c r="O81" s="21" t="s">
        <v>2276</v>
      </c>
      <c r="P81" s="21" t="s">
        <v>2276</v>
      </c>
      <c r="Q81" s="102" t="s">
        <v>2276</v>
      </c>
      <c r="R81" s="102"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3" t="s">
        <v>2276</v>
      </c>
      <c r="L82" s="21" t="s">
        <v>2276</v>
      </c>
      <c r="M82" s="21" t="s">
        <v>2276</v>
      </c>
      <c r="N82" s="21" t="s">
        <v>2276</v>
      </c>
      <c r="O82" s="21" t="s">
        <v>2276</v>
      </c>
      <c r="P82" s="21" t="s">
        <v>2276</v>
      </c>
      <c r="Q82" s="102" t="s">
        <v>2276</v>
      </c>
      <c r="R82" s="102" t="s">
        <v>2276</v>
      </c>
      <c r="S82" s="87"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3" t="s">
        <v>2276</v>
      </c>
      <c r="L83" s="21" t="s">
        <v>2276</v>
      </c>
      <c r="M83" s="21" t="s">
        <v>2276</v>
      </c>
      <c r="N83" s="21" t="s">
        <v>2276</v>
      </c>
      <c r="O83" s="21" t="s">
        <v>2276</v>
      </c>
      <c r="P83" s="21" t="s">
        <v>2276</v>
      </c>
      <c r="Q83" s="102" t="s">
        <v>2276</v>
      </c>
      <c r="R83" s="102"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3" t="s">
        <v>2276</v>
      </c>
      <c r="L84" s="21" t="s">
        <v>2276</v>
      </c>
      <c r="M84" s="21" t="s">
        <v>2276</v>
      </c>
      <c r="N84" s="21" t="s">
        <v>2276</v>
      </c>
      <c r="O84" s="21" t="s">
        <v>2276</v>
      </c>
      <c r="P84" s="21" t="s">
        <v>2276</v>
      </c>
      <c r="Q84" s="102" t="s">
        <v>2276</v>
      </c>
      <c r="R84" s="102" t="s">
        <v>2276</v>
      </c>
      <c r="S84" s="87"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3" t="s">
        <v>2276</v>
      </c>
      <c r="L85" s="21" t="s">
        <v>2276</v>
      </c>
      <c r="M85" s="21" t="s">
        <v>2276</v>
      </c>
      <c r="N85" s="21" t="s">
        <v>2276</v>
      </c>
      <c r="O85" s="21" t="s">
        <v>2276</v>
      </c>
      <c r="P85" s="21" t="s">
        <v>2276</v>
      </c>
      <c r="Q85" s="102" t="s">
        <v>2276</v>
      </c>
      <c r="R85" s="102"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3" t="s">
        <v>2276</v>
      </c>
      <c r="L86" s="21" t="s">
        <v>2276</v>
      </c>
      <c r="M86" s="21" t="s">
        <v>2276</v>
      </c>
      <c r="N86" s="21" t="s">
        <v>2276</v>
      </c>
      <c r="O86" s="21" t="s">
        <v>2276</v>
      </c>
      <c r="P86" s="21" t="s">
        <v>2276</v>
      </c>
      <c r="Q86" s="102" t="s">
        <v>2276</v>
      </c>
      <c r="R86" s="102" t="s">
        <v>2276</v>
      </c>
      <c r="S86" s="87"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3" t="s">
        <v>2276</v>
      </c>
      <c r="L87" s="21" t="s">
        <v>2276</v>
      </c>
      <c r="M87" s="21" t="s">
        <v>2276</v>
      </c>
      <c r="N87" s="21" t="s">
        <v>2276</v>
      </c>
      <c r="O87" s="21" t="s">
        <v>2276</v>
      </c>
      <c r="P87" s="21" t="s">
        <v>2276</v>
      </c>
      <c r="Q87" s="102" t="s">
        <v>2276</v>
      </c>
      <c r="R87" s="102"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3" t="s">
        <v>2276</v>
      </c>
      <c r="L88" s="21" t="s">
        <v>2276</v>
      </c>
      <c r="M88" s="21" t="s">
        <v>2276</v>
      </c>
      <c r="N88" s="21" t="s">
        <v>2276</v>
      </c>
      <c r="O88" s="21" t="s">
        <v>2276</v>
      </c>
      <c r="P88" s="21" t="s">
        <v>2276</v>
      </c>
      <c r="Q88" s="102" t="s">
        <v>2276</v>
      </c>
      <c r="R88" s="102" t="s">
        <v>2276</v>
      </c>
      <c r="S88" s="87"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3" t="s">
        <v>2276</v>
      </c>
      <c r="L89" s="21" t="s">
        <v>2276</v>
      </c>
      <c r="M89" s="21" t="s">
        <v>2276</v>
      </c>
      <c r="N89" s="21" t="s">
        <v>2276</v>
      </c>
      <c r="O89" s="21" t="s">
        <v>2276</v>
      </c>
      <c r="P89" s="21" t="s">
        <v>2276</v>
      </c>
      <c r="Q89" s="102" t="s">
        <v>2276</v>
      </c>
      <c r="R89" s="102"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3" t="s">
        <v>2276</v>
      </c>
      <c r="L90" s="21" t="s">
        <v>2276</v>
      </c>
      <c r="M90" s="21" t="s">
        <v>2276</v>
      </c>
      <c r="N90" s="21" t="s">
        <v>2276</v>
      </c>
      <c r="O90" s="21" t="s">
        <v>2276</v>
      </c>
      <c r="P90" s="21" t="s">
        <v>2276</v>
      </c>
      <c r="Q90" s="102" t="s">
        <v>2276</v>
      </c>
      <c r="R90" s="102" t="s">
        <v>2276</v>
      </c>
      <c r="S90" s="87"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3" t="s">
        <v>2276</v>
      </c>
      <c r="L91" s="21" t="s">
        <v>2276</v>
      </c>
      <c r="M91" s="21" t="s">
        <v>2276</v>
      </c>
      <c r="N91" s="21" t="s">
        <v>2276</v>
      </c>
      <c r="O91" s="21" t="s">
        <v>2276</v>
      </c>
      <c r="P91" s="21" t="s">
        <v>2276</v>
      </c>
      <c r="Q91" s="102" t="s">
        <v>2276</v>
      </c>
      <c r="R91" s="102"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3" t="s">
        <v>2276</v>
      </c>
      <c r="L92" s="21" t="s">
        <v>2276</v>
      </c>
      <c r="M92" s="21" t="s">
        <v>2276</v>
      </c>
      <c r="N92" s="21" t="s">
        <v>2276</v>
      </c>
      <c r="O92" s="21" t="s">
        <v>2276</v>
      </c>
      <c r="P92" s="21" t="s">
        <v>2276</v>
      </c>
      <c r="Q92" s="102" t="s">
        <v>2276</v>
      </c>
      <c r="R92" s="102" t="s">
        <v>2276</v>
      </c>
      <c r="S92" s="21" t="s">
        <v>2391</v>
      </c>
      <c r="T92" s="74" t="s">
        <v>2276</v>
      </c>
      <c r="U92" s="74" t="s">
        <v>2276</v>
      </c>
      <c r="V92" s="74"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3" t="s">
        <v>2276</v>
      </c>
      <c r="L93" s="21" t="s">
        <v>2276</v>
      </c>
      <c r="M93" s="21" t="s">
        <v>2276</v>
      </c>
      <c r="N93" s="21" t="s">
        <v>2276</v>
      </c>
      <c r="O93" s="21" t="s">
        <v>2276</v>
      </c>
      <c r="P93" s="21" t="s">
        <v>2276</v>
      </c>
      <c r="Q93" s="102" t="s">
        <v>2276</v>
      </c>
      <c r="R93" s="102" t="s">
        <v>2276</v>
      </c>
      <c r="S93" s="21" t="s">
        <v>2391</v>
      </c>
      <c r="T93" s="74" t="s">
        <v>2276</v>
      </c>
      <c r="U93" s="74" t="s">
        <v>2276</v>
      </c>
      <c r="V93" s="74"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3" t="s">
        <v>2276</v>
      </c>
      <c r="L94" s="21" t="s">
        <v>2276</v>
      </c>
      <c r="M94" s="21" t="s">
        <v>2276</v>
      </c>
      <c r="N94" s="21" t="s">
        <v>2276</v>
      </c>
      <c r="O94" s="21" t="s">
        <v>2276</v>
      </c>
      <c r="P94" s="21" t="s">
        <v>2276</v>
      </c>
      <c r="Q94" s="102" t="s">
        <v>2276</v>
      </c>
      <c r="R94" s="102" t="s">
        <v>2276</v>
      </c>
      <c r="S94" s="21" t="s">
        <v>2389</v>
      </c>
      <c r="T94" s="74" t="s">
        <v>2276</v>
      </c>
      <c r="U94" s="74" t="s">
        <v>2276</v>
      </c>
      <c r="V94" s="74"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3" t="s">
        <v>2276</v>
      </c>
      <c r="L95" s="21" t="s">
        <v>2276</v>
      </c>
      <c r="M95" s="21" t="s">
        <v>2276</v>
      </c>
      <c r="N95" s="21" t="s">
        <v>2276</v>
      </c>
      <c r="O95" s="21" t="s">
        <v>2276</v>
      </c>
      <c r="P95" s="21" t="s">
        <v>2276</v>
      </c>
      <c r="Q95" s="102" t="s">
        <v>2276</v>
      </c>
      <c r="R95" s="102" t="s">
        <v>2276</v>
      </c>
      <c r="S95" s="21" t="s">
        <v>2392</v>
      </c>
      <c r="T95" s="74" t="s">
        <v>2276</v>
      </c>
      <c r="U95" s="74" t="s">
        <v>2276</v>
      </c>
      <c r="V95" s="74"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3" t="s">
        <v>2276</v>
      </c>
      <c r="L96" s="21" t="s">
        <v>2276</v>
      </c>
      <c r="M96" s="21" t="s">
        <v>2276</v>
      </c>
      <c r="N96" s="21" t="s">
        <v>2276</v>
      </c>
      <c r="O96" s="21" t="s">
        <v>2276</v>
      </c>
      <c r="P96" s="21" t="s">
        <v>2276</v>
      </c>
      <c r="Q96" s="102" t="s">
        <v>2276</v>
      </c>
      <c r="R96" s="102" t="s">
        <v>2276</v>
      </c>
      <c r="S96" s="21" t="s">
        <v>2389</v>
      </c>
      <c r="T96" s="74" t="s">
        <v>2276</v>
      </c>
      <c r="U96" s="74" t="s">
        <v>2276</v>
      </c>
      <c r="V96" s="74"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3" t="s">
        <v>2276</v>
      </c>
      <c r="L97" s="21" t="s">
        <v>2276</v>
      </c>
      <c r="M97" s="21" t="s">
        <v>2276</v>
      </c>
      <c r="N97" s="21" t="s">
        <v>2276</v>
      </c>
      <c r="O97" s="21" t="s">
        <v>2276</v>
      </c>
      <c r="P97" s="21" t="s">
        <v>2276</v>
      </c>
      <c r="Q97" s="102" t="s">
        <v>2276</v>
      </c>
      <c r="R97" s="102" t="s">
        <v>2276</v>
      </c>
      <c r="S97" s="21" t="s">
        <v>2393</v>
      </c>
      <c r="T97" s="74" t="s">
        <v>2276</v>
      </c>
      <c r="U97" s="74" t="s">
        <v>2276</v>
      </c>
      <c r="V97" s="74"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3" t="s">
        <v>2276</v>
      </c>
      <c r="L98" s="21" t="s">
        <v>2276</v>
      </c>
      <c r="M98" s="21" t="s">
        <v>2276</v>
      </c>
      <c r="N98" s="21" t="s">
        <v>2276</v>
      </c>
      <c r="O98" s="21" t="s">
        <v>2276</v>
      </c>
      <c r="P98" s="21" t="s">
        <v>2276</v>
      </c>
      <c r="Q98" s="102" t="s">
        <v>2276</v>
      </c>
      <c r="R98" s="102" t="s">
        <v>2276</v>
      </c>
      <c r="S98" s="21" t="s">
        <v>2390</v>
      </c>
      <c r="T98" s="74" t="s">
        <v>2276</v>
      </c>
      <c r="U98" s="74" t="s">
        <v>2276</v>
      </c>
      <c r="V98" s="74"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3" t="s">
        <v>2276</v>
      </c>
      <c r="L99" s="21" t="s">
        <v>2276</v>
      </c>
      <c r="M99" s="21" t="s">
        <v>2276</v>
      </c>
      <c r="N99" s="21" t="s">
        <v>2276</v>
      </c>
      <c r="O99" s="21" t="s">
        <v>2276</v>
      </c>
      <c r="P99" s="21" t="s">
        <v>2276</v>
      </c>
      <c r="Q99" s="102" t="s">
        <v>2276</v>
      </c>
      <c r="R99" s="102" t="s">
        <v>2276</v>
      </c>
      <c r="S99" s="21" t="s">
        <v>2391</v>
      </c>
      <c r="T99" s="74" t="s">
        <v>2276</v>
      </c>
      <c r="U99" s="74" t="s">
        <v>2276</v>
      </c>
      <c r="V99" s="74"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3" t="s">
        <v>2276</v>
      </c>
      <c r="L100" s="21" t="s">
        <v>2276</v>
      </c>
      <c r="M100" s="21" t="s">
        <v>2276</v>
      </c>
      <c r="N100" s="21" t="s">
        <v>2276</v>
      </c>
      <c r="O100" s="21" t="s">
        <v>2276</v>
      </c>
      <c r="P100" s="21" t="s">
        <v>2276</v>
      </c>
      <c r="Q100" s="102" t="s">
        <v>2276</v>
      </c>
      <c r="R100" s="102" t="s">
        <v>2276</v>
      </c>
      <c r="S100" s="21" t="s">
        <v>2392</v>
      </c>
      <c r="T100" s="74" t="s">
        <v>2276</v>
      </c>
      <c r="U100" s="74" t="s">
        <v>2276</v>
      </c>
      <c r="V100" s="74"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3" t="s">
        <v>2276</v>
      </c>
      <c r="L101" s="21" t="s">
        <v>2276</v>
      </c>
      <c r="M101" s="21" t="s">
        <v>2276</v>
      </c>
      <c r="N101" s="21" t="s">
        <v>2276</v>
      </c>
      <c r="O101" s="21" t="s">
        <v>2276</v>
      </c>
      <c r="P101" s="21" t="s">
        <v>2276</v>
      </c>
      <c r="Q101" s="102" t="s">
        <v>2276</v>
      </c>
      <c r="R101" s="102" t="s">
        <v>2276</v>
      </c>
      <c r="S101" s="21" t="s">
        <v>2391</v>
      </c>
      <c r="T101" s="74" t="s">
        <v>2276</v>
      </c>
      <c r="U101" s="74" t="s">
        <v>2276</v>
      </c>
      <c r="V101" s="74"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3" t="s">
        <v>2276</v>
      </c>
      <c r="L102" s="21" t="s">
        <v>2276</v>
      </c>
      <c r="M102" s="21" t="s">
        <v>2276</v>
      </c>
      <c r="N102" s="21" t="s">
        <v>2276</v>
      </c>
      <c r="O102" s="21" t="s">
        <v>2276</v>
      </c>
      <c r="P102" s="21" t="s">
        <v>2276</v>
      </c>
      <c r="Q102" s="102" t="s">
        <v>2276</v>
      </c>
      <c r="R102" s="102" t="s">
        <v>2276</v>
      </c>
      <c r="S102" s="21" t="s">
        <v>2391</v>
      </c>
      <c r="T102" s="74" t="s">
        <v>2276</v>
      </c>
      <c r="U102" s="74" t="s">
        <v>2276</v>
      </c>
      <c r="V102" s="74"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3" t="s">
        <v>2276</v>
      </c>
      <c r="L103" s="21" t="s">
        <v>2276</v>
      </c>
      <c r="M103" s="21" t="s">
        <v>2276</v>
      </c>
      <c r="N103" s="21" t="s">
        <v>2276</v>
      </c>
      <c r="O103" s="21" t="s">
        <v>2276</v>
      </c>
      <c r="P103" s="21" t="s">
        <v>2276</v>
      </c>
      <c r="Q103" s="102" t="s">
        <v>2276</v>
      </c>
      <c r="R103" s="102" t="s">
        <v>2276</v>
      </c>
      <c r="S103" s="21" t="s">
        <v>2392</v>
      </c>
      <c r="T103" s="74" t="s">
        <v>2276</v>
      </c>
      <c r="U103" s="74" t="s">
        <v>2276</v>
      </c>
      <c r="V103" s="74"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3" t="s">
        <v>2276</v>
      </c>
      <c r="L104" s="21" t="s">
        <v>2276</v>
      </c>
      <c r="M104" s="21" t="s">
        <v>2276</v>
      </c>
      <c r="N104" s="21" t="s">
        <v>2276</v>
      </c>
      <c r="O104" s="21" t="s">
        <v>2276</v>
      </c>
      <c r="P104" s="21" t="s">
        <v>2276</v>
      </c>
      <c r="Q104" s="102" t="s">
        <v>2276</v>
      </c>
      <c r="R104" s="102" t="s">
        <v>2276</v>
      </c>
      <c r="S104" s="21" t="s">
        <v>2391</v>
      </c>
      <c r="T104" s="74" t="s">
        <v>2276</v>
      </c>
      <c r="U104" s="74" t="s">
        <v>2276</v>
      </c>
      <c r="V104" s="74"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3" t="s">
        <v>2276</v>
      </c>
      <c r="L105" s="21" t="s">
        <v>2276</v>
      </c>
      <c r="M105" s="21" t="s">
        <v>2276</v>
      </c>
      <c r="N105" s="21" t="s">
        <v>2276</v>
      </c>
      <c r="O105" s="21" t="s">
        <v>2276</v>
      </c>
      <c r="P105" s="21" t="s">
        <v>2276</v>
      </c>
      <c r="Q105" s="102" t="s">
        <v>2276</v>
      </c>
      <c r="R105" s="102" t="s">
        <v>2276</v>
      </c>
      <c r="S105" s="21" t="s">
        <v>2394</v>
      </c>
      <c r="T105" s="74" t="s">
        <v>2276</v>
      </c>
      <c r="U105" s="74" t="s">
        <v>2276</v>
      </c>
      <c r="V105" s="74"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3" t="s">
        <v>2276</v>
      </c>
      <c r="L106" s="21" t="s">
        <v>2276</v>
      </c>
      <c r="M106" s="21" t="s">
        <v>2276</v>
      </c>
      <c r="N106" s="21" t="s">
        <v>2276</v>
      </c>
      <c r="O106" s="21" t="s">
        <v>2276</v>
      </c>
      <c r="P106" s="21" t="s">
        <v>2276</v>
      </c>
      <c r="Q106" s="102" t="s">
        <v>2276</v>
      </c>
      <c r="R106" s="102" t="s">
        <v>2276</v>
      </c>
      <c r="S106" s="21" t="s">
        <v>2391</v>
      </c>
      <c r="T106" s="74" t="s">
        <v>2276</v>
      </c>
      <c r="U106" s="74" t="s">
        <v>2276</v>
      </c>
      <c r="V106" s="74"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3" t="s">
        <v>2276</v>
      </c>
      <c r="L107" s="21" t="s">
        <v>2276</v>
      </c>
      <c r="M107" s="21" t="s">
        <v>2276</v>
      </c>
      <c r="N107" s="21" t="s">
        <v>2276</v>
      </c>
      <c r="O107" s="21" t="s">
        <v>2276</v>
      </c>
      <c r="P107" s="21" t="s">
        <v>2276</v>
      </c>
      <c r="Q107" s="102" t="s">
        <v>2276</v>
      </c>
      <c r="R107" s="102" t="s">
        <v>2276</v>
      </c>
      <c r="S107" s="21" t="s">
        <v>2393</v>
      </c>
      <c r="T107" s="74" t="s">
        <v>2276</v>
      </c>
      <c r="U107" s="74" t="s">
        <v>2276</v>
      </c>
      <c r="V107" s="74"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3" t="s">
        <v>2276</v>
      </c>
      <c r="L108" s="21" t="s">
        <v>2276</v>
      </c>
      <c r="M108" s="21" t="s">
        <v>2276</v>
      </c>
      <c r="N108" s="21" t="s">
        <v>2276</v>
      </c>
      <c r="O108" s="21" t="s">
        <v>2276</v>
      </c>
      <c r="P108" s="21" t="s">
        <v>2276</v>
      </c>
      <c r="Q108" s="102" t="s">
        <v>2276</v>
      </c>
      <c r="R108" s="102" t="s">
        <v>2276</v>
      </c>
      <c r="S108" s="21" t="s">
        <v>2389</v>
      </c>
      <c r="T108" s="74" t="s">
        <v>2276</v>
      </c>
      <c r="U108" s="74" t="s">
        <v>2276</v>
      </c>
      <c r="V108" s="74"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3" t="s">
        <v>2276</v>
      </c>
      <c r="L109" s="21" t="s">
        <v>2276</v>
      </c>
      <c r="M109" s="21" t="s">
        <v>2276</v>
      </c>
      <c r="N109" s="21" t="s">
        <v>2276</v>
      </c>
      <c r="O109" s="21" t="s">
        <v>2276</v>
      </c>
      <c r="P109" s="21" t="s">
        <v>2276</v>
      </c>
      <c r="Q109" s="102" t="s">
        <v>2276</v>
      </c>
      <c r="R109" s="102" t="s">
        <v>2276</v>
      </c>
      <c r="S109" s="21" t="s">
        <v>2393</v>
      </c>
      <c r="T109" s="74" t="s">
        <v>2276</v>
      </c>
      <c r="U109" s="74" t="s">
        <v>2276</v>
      </c>
      <c r="V109" s="74"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3" t="s">
        <v>2276</v>
      </c>
      <c r="L110" s="21" t="s">
        <v>2276</v>
      </c>
      <c r="M110" s="21" t="s">
        <v>2276</v>
      </c>
      <c r="N110" s="21" t="s">
        <v>2276</v>
      </c>
      <c r="O110" s="21" t="s">
        <v>2276</v>
      </c>
      <c r="P110" s="21" t="s">
        <v>2276</v>
      </c>
      <c r="Q110" s="102" t="s">
        <v>2276</v>
      </c>
      <c r="R110" s="102" t="s">
        <v>2276</v>
      </c>
      <c r="S110" s="21" t="s">
        <v>2390</v>
      </c>
      <c r="T110" s="74" t="s">
        <v>2276</v>
      </c>
      <c r="U110" s="74" t="s">
        <v>2276</v>
      </c>
      <c r="V110" s="74"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3" t="s">
        <v>2276</v>
      </c>
      <c r="L111" s="21" t="s">
        <v>2276</v>
      </c>
      <c r="M111" s="21" t="s">
        <v>2276</v>
      </c>
      <c r="N111" s="21" t="s">
        <v>2276</v>
      </c>
      <c r="O111" s="21" t="s">
        <v>2276</v>
      </c>
      <c r="P111" s="21" t="s">
        <v>2276</v>
      </c>
      <c r="Q111" s="102" t="s">
        <v>2276</v>
      </c>
      <c r="R111" s="102" t="s">
        <v>2276</v>
      </c>
      <c r="S111" s="21" t="s">
        <v>2394</v>
      </c>
      <c r="T111" s="74" t="s">
        <v>2276</v>
      </c>
      <c r="U111" s="74" t="s">
        <v>2276</v>
      </c>
      <c r="V111" s="74"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3" t="s">
        <v>2276</v>
      </c>
      <c r="L112" s="21" t="s">
        <v>2276</v>
      </c>
      <c r="M112" s="21" t="s">
        <v>2276</v>
      </c>
      <c r="N112" s="21" t="s">
        <v>2276</v>
      </c>
      <c r="O112" s="21" t="s">
        <v>2276</v>
      </c>
      <c r="P112" s="21" t="s">
        <v>2276</v>
      </c>
      <c r="Q112" s="102" t="s">
        <v>2276</v>
      </c>
      <c r="R112" s="102" t="s">
        <v>2276</v>
      </c>
      <c r="S112" s="21" t="s">
        <v>2390</v>
      </c>
      <c r="T112" s="74" t="s">
        <v>2276</v>
      </c>
      <c r="U112" s="74" t="s">
        <v>2276</v>
      </c>
      <c r="V112" s="74"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3" t="s">
        <v>2276</v>
      </c>
      <c r="L113" s="21" t="s">
        <v>2276</v>
      </c>
      <c r="M113" s="21" t="s">
        <v>2276</v>
      </c>
      <c r="N113" s="21" t="s">
        <v>2276</v>
      </c>
      <c r="O113" s="21" t="s">
        <v>2276</v>
      </c>
      <c r="P113" s="21" t="s">
        <v>2276</v>
      </c>
      <c r="Q113" s="102" t="s">
        <v>2276</v>
      </c>
      <c r="R113" s="102" t="s">
        <v>2276</v>
      </c>
      <c r="S113" s="21" t="s">
        <v>2276</v>
      </c>
      <c r="T113" s="89" t="s">
        <v>2276</v>
      </c>
      <c r="U113" s="89"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3" t="s">
        <v>2276</v>
      </c>
      <c r="L114" s="21" t="s">
        <v>2276</v>
      </c>
      <c r="M114" s="21" t="s">
        <v>2276</v>
      </c>
      <c r="N114" s="21" t="s">
        <v>2276</v>
      </c>
      <c r="O114" s="21" t="s">
        <v>2276</v>
      </c>
      <c r="P114" s="21" t="s">
        <v>2276</v>
      </c>
      <c r="Q114" s="102" t="s">
        <v>2276</v>
      </c>
      <c r="R114" s="102"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3" t="s">
        <v>2276</v>
      </c>
      <c r="L115" s="21" t="s">
        <v>2276</v>
      </c>
      <c r="M115" s="21" t="s">
        <v>2276</v>
      </c>
      <c r="N115" s="21" t="s">
        <v>2276</v>
      </c>
      <c r="O115" s="21" t="s">
        <v>2276</v>
      </c>
      <c r="P115" s="21" t="s">
        <v>2276</v>
      </c>
      <c r="Q115" s="102" t="s">
        <v>2276</v>
      </c>
      <c r="R115" s="102"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3" t="s">
        <v>2276</v>
      </c>
      <c r="L116" s="21" t="s">
        <v>2276</v>
      </c>
      <c r="M116" s="21" t="s">
        <v>2276</v>
      </c>
      <c r="N116" s="21" t="s">
        <v>2276</v>
      </c>
      <c r="O116" s="21" t="s">
        <v>2276</v>
      </c>
      <c r="P116" s="21" t="s">
        <v>2276</v>
      </c>
      <c r="Q116" s="102" t="s">
        <v>2276</v>
      </c>
      <c r="R116" s="102"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3" t="s">
        <v>2276</v>
      </c>
      <c r="L117" s="21" t="s">
        <v>2276</v>
      </c>
      <c r="M117" s="21" t="s">
        <v>2276</v>
      </c>
      <c r="N117" s="21" t="s">
        <v>2276</v>
      </c>
      <c r="O117" s="21" t="s">
        <v>2276</v>
      </c>
      <c r="P117" s="21" t="s">
        <v>2276</v>
      </c>
      <c r="Q117" s="102" t="s">
        <v>2276</v>
      </c>
      <c r="R117" s="102"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3" t="s">
        <v>2276</v>
      </c>
      <c r="L118" s="21" t="s">
        <v>2276</v>
      </c>
      <c r="M118" s="21" t="s">
        <v>2276</v>
      </c>
      <c r="N118" s="21" t="s">
        <v>2276</v>
      </c>
      <c r="O118" s="21" t="s">
        <v>2276</v>
      </c>
      <c r="P118" s="21" t="s">
        <v>2276</v>
      </c>
      <c r="Q118" s="102" t="s">
        <v>2276</v>
      </c>
      <c r="R118" s="102"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3" t="s">
        <v>2276</v>
      </c>
      <c r="L119" s="21" t="s">
        <v>2276</v>
      </c>
      <c r="M119" s="21" t="s">
        <v>2276</v>
      </c>
      <c r="N119" s="21" t="s">
        <v>2276</v>
      </c>
      <c r="O119" s="21" t="s">
        <v>2276</v>
      </c>
      <c r="P119" s="21" t="s">
        <v>2276</v>
      </c>
      <c r="Q119" s="102" t="s">
        <v>2276</v>
      </c>
      <c r="R119" s="102"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3" t="s">
        <v>2276</v>
      </c>
      <c r="L120" s="21" t="s">
        <v>2276</v>
      </c>
      <c r="M120" s="21" t="s">
        <v>2276</v>
      </c>
      <c r="N120" s="21" t="s">
        <v>2276</v>
      </c>
      <c r="O120" s="21" t="s">
        <v>2276</v>
      </c>
      <c r="P120" s="21" t="s">
        <v>2276</v>
      </c>
      <c r="Q120" s="102" t="s">
        <v>2276</v>
      </c>
      <c r="R120" s="102"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3" t="s">
        <v>2276</v>
      </c>
      <c r="L121" s="21" t="s">
        <v>2276</v>
      </c>
      <c r="M121" s="21" t="s">
        <v>2276</v>
      </c>
      <c r="N121" s="21" t="s">
        <v>2276</v>
      </c>
      <c r="O121" s="21" t="s">
        <v>2276</v>
      </c>
      <c r="P121" s="21" t="s">
        <v>2276</v>
      </c>
      <c r="Q121" s="102" t="s">
        <v>2276</v>
      </c>
      <c r="R121" s="102"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3" t="s">
        <v>2276</v>
      </c>
      <c r="L122" s="21" t="s">
        <v>2276</v>
      </c>
      <c r="M122" s="21" t="s">
        <v>2276</v>
      </c>
      <c r="N122" s="21" t="s">
        <v>2276</v>
      </c>
      <c r="O122" s="21" t="s">
        <v>2276</v>
      </c>
      <c r="P122" s="21" t="s">
        <v>2276</v>
      </c>
      <c r="Q122" s="102" t="s">
        <v>2276</v>
      </c>
      <c r="R122" s="102"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3" t="s">
        <v>2276</v>
      </c>
      <c r="L123" s="21" t="s">
        <v>2276</v>
      </c>
      <c r="M123" s="21" t="s">
        <v>2276</v>
      </c>
      <c r="N123" s="21" t="s">
        <v>2276</v>
      </c>
      <c r="O123" s="21" t="s">
        <v>2276</v>
      </c>
      <c r="P123" s="21" t="s">
        <v>2276</v>
      </c>
      <c r="Q123" s="102" t="s">
        <v>2276</v>
      </c>
      <c r="R123" s="102"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3" t="s">
        <v>2276</v>
      </c>
      <c r="L124" s="21" t="s">
        <v>2276</v>
      </c>
      <c r="M124" s="21" t="s">
        <v>2276</v>
      </c>
      <c r="N124" s="21" t="s">
        <v>2276</v>
      </c>
      <c r="O124" s="21" t="s">
        <v>2276</v>
      </c>
      <c r="P124" s="21" t="s">
        <v>2276</v>
      </c>
      <c r="Q124" s="102" t="s">
        <v>2276</v>
      </c>
      <c r="R124" s="102"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3" t="s">
        <v>2276</v>
      </c>
      <c r="L125" s="21" t="s">
        <v>2276</v>
      </c>
      <c r="M125" s="21" t="s">
        <v>2276</v>
      </c>
      <c r="N125" s="21" t="s">
        <v>2276</v>
      </c>
      <c r="O125" s="21" t="s">
        <v>2276</v>
      </c>
      <c r="P125" s="21" t="s">
        <v>2276</v>
      </c>
      <c r="Q125" s="102" t="s">
        <v>2276</v>
      </c>
      <c r="R125" s="102"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3" t="s">
        <v>2276</v>
      </c>
      <c r="L126" s="21" t="s">
        <v>2276</v>
      </c>
      <c r="M126" s="21" t="s">
        <v>2276</v>
      </c>
      <c r="N126" s="21" t="s">
        <v>2276</v>
      </c>
      <c r="O126" s="21" t="s">
        <v>2276</v>
      </c>
      <c r="P126" s="21" t="s">
        <v>2276</v>
      </c>
      <c r="Q126" s="102" t="s">
        <v>2276</v>
      </c>
      <c r="R126" s="102"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3" t="s">
        <v>2276</v>
      </c>
      <c r="L127" s="21" t="s">
        <v>2276</v>
      </c>
      <c r="M127" s="21" t="s">
        <v>2276</v>
      </c>
      <c r="N127" s="21" t="s">
        <v>2276</v>
      </c>
      <c r="O127" s="21" t="s">
        <v>2276</v>
      </c>
      <c r="P127" s="21" t="s">
        <v>2276</v>
      </c>
      <c r="Q127" s="102" t="s">
        <v>2276</v>
      </c>
      <c r="R127" s="102"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3" t="s">
        <v>2276</v>
      </c>
      <c r="L128" s="21" t="s">
        <v>2276</v>
      </c>
      <c r="M128" s="21" t="s">
        <v>2276</v>
      </c>
      <c r="N128" s="21" t="s">
        <v>2276</v>
      </c>
      <c r="O128" s="21" t="s">
        <v>2276</v>
      </c>
      <c r="P128" s="21" t="s">
        <v>2276</v>
      </c>
      <c r="Q128" s="102" t="s">
        <v>2276</v>
      </c>
      <c r="R128" s="102"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3" t="s">
        <v>2276</v>
      </c>
      <c r="L129" s="21" t="s">
        <v>2276</v>
      </c>
      <c r="M129" s="21" t="s">
        <v>2276</v>
      </c>
      <c r="N129" s="21" t="s">
        <v>2276</v>
      </c>
      <c r="O129" s="21" t="s">
        <v>2276</v>
      </c>
      <c r="P129" s="21" t="s">
        <v>2276</v>
      </c>
      <c r="Q129" s="102" t="s">
        <v>2276</v>
      </c>
      <c r="R129" s="102"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3" t="s">
        <v>2276</v>
      </c>
      <c r="L130" s="21" t="s">
        <v>2276</v>
      </c>
      <c r="M130" s="21" t="s">
        <v>2276</v>
      </c>
      <c r="N130" s="21" t="s">
        <v>2276</v>
      </c>
      <c r="O130" s="21" t="s">
        <v>2276</v>
      </c>
      <c r="P130" s="21" t="s">
        <v>2276</v>
      </c>
      <c r="Q130" s="102" t="s">
        <v>2276</v>
      </c>
      <c r="R130" s="102"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3" t="s">
        <v>2276</v>
      </c>
      <c r="L131" s="21" t="s">
        <v>2276</v>
      </c>
      <c r="M131" s="21" t="s">
        <v>2276</v>
      </c>
      <c r="N131" s="21" t="s">
        <v>2276</v>
      </c>
      <c r="O131" s="21" t="s">
        <v>2276</v>
      </c>
      <c r="P131" s="21" t="s">
        <v>2276</v>
      </c>
      <c r="Q131" s="102" t="s">
        <v>2276</v>
      </c>
      <c r="R131" s="102"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3" t="s">
        <v>2276</v>
      </c>
      <c r="L132" s="21" t="s">
        <v>2276</v>
      </c>
      <c r="M132" s="21" t="s">
        <v>2276</v>
      </c>
      <c r="N132" s="21" t="s">
        <v>2276</v>
      </c>
      <c r="O132" s="21" t="s">
        <v>2276</v>
      </c>
      <c r="P132" s="21" t="s">
        <v>2276</v>
      </c>
      <c r="Q132" s="102" t="s">
        <v>2276</v>
      </c>
      <c r="R132" s="102"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3" t="s">
        <v>2276</v>
      </c>
      <c r="L133" s="21" t="s">
        <v>2276</v>
      </c>
      <c r="M133" s="21" t="s">
        <v>2276</v>
      </c>
      <c r="N133" s="21" t="s">
        <v>2276</v>
      </c>
      <c r="O133" s="21" t="s">
        <v>2276</v>
      </c>
      <c r="P133" s="21" t="s">
        <v>2276</v>
      </c>
      <c r="Q133" s="102" t="s">
        <v>2276</v>
      </c>
      <c r="R133" s="102"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3" t="s">
        <v>2276</v>
      </c>
      <c r="L134" s="21" t="s">
        <v>2276</v>
      </c>
      <c r="M134" s="21" t="s">
        <v>2276</v>
      </c>
      <c r="N134" s="21" t="s">
        <v>2276</v>
      </c>
      <c r="O134" s="21" t="s">
        <v>2276</v>
      </c>
      <c r="P134" s="21" t="s">
        <v>2276</v>
      </c>
      <c r="Q134" s="102" t="s">
        <v>2276</v>
      </c>
      <c r="R134" s="102"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3" t="s">
        <v>2276</v>
      </c>
      <c r="L135" s="21" t="s">
        <v>2276</v>
      </c>
      <c r="M135" s="21" t="s">
        <v>2276</v>
      </c>
      <c r="N135" s="21" t="s">
        <v>2276</v>
      </c>
      <c r="O135" s="21" t="s">
        <v>2276</v>
      </c>
      <c r="P135" s="21" t="s">
        <v>2276</v>
      </c>
      <c r="Q135" s="102" t="s">
        <v>2276</v>
      </c>
      <c r="R135" s="102"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3" t="s">
        <v>2276</v>
      </c>
      <c r="L136" s="21" t="s">
        <v>2276</v>
      </c>
      <c r="M136" s="21" t="s">
        <v>2276</v>
      </c>
      <c r="N136" s="21" t="s">
        <v>2276</v>
      </c>
      <c r="O136" s="21" t="s">
        <v>2276</v>
      </c>
      <c r="P136" s="21" t="s">
        <v>2276</v>
      </c>
      <c r="Q136" s="102" t="s">
        <v>2276</v>
      </c>
      <c r="R136" s="102"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3" t="s">
        <v>2276</v>
      </c>
      <c r="L137" s="21" t="s">
        <v>2276</v>
      </c>
      <c r="M137" s="21" t="s">
        <v>2276</v>
      </c>
      <c r="N137" s="21" t="s">
        <v>2276</v>
      </c>
      <c r="O137" s="21" t="s">
        <v>2276</v>
      </c>
      <c r="P137" s="21" t="s">
        <v>2276</v>
      </c>
      <c r="Q137" s="102" t="s">
        <v>2276</v>
      </c>
      <c r="R137" s="102"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3" t="s">
        <v>2276</v>
      </c>
      <c r="L138" s="21" t="s">
        <v>2276</v>
      </c>
      <c r="M138" s="21" t="s">
        <v>2276</v>
      </c>
      <c r="N138" s="21" t="s">
        <v>2276</v>
      </c>
      <c r="O138" s="21" t="s">
        <v>2276</v>
      </c>
      <c r="P138" s="21" t="s">
        <v>2276</v>
      </c>
      <c r="Q138" s="102" t="s">
        <v>2276</v>
      </c>
      <c r="R138" s="102"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3" t="s">
        <v>2276</v>
      </c>
      <c r="L139" s="21" t="s">
        <v>2276</v>
      </c>
      <c r="M139" s="21" t="s">
        <v>2276</v>
      </c>
      <c r="N139" s="21" t="s">
        <v>2276</v>
      </c>
      <c r="O139" s="21" t="s">
        <v>2276</v>
      </c>
      <c r="P139" s="21" t="s">
        <v>2276</v>
      </c>
      <c r="Q139" s="102" t="s">
        <v>2276</v>
      </c>
      <c r="R139" s="102"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3" t="s">
        <v>2276</v>
      </c>
      <c r="L140" s="21" t="s">
        <v>2276</v>
      </c>
      <c r="M140" s="21" t="s">
        <v>2276</v>
      </c>
      <c r="N140" s="21" t="s">
        <v>2276</v>
      </c>
      <c r="O140" s="21" t="s">
        <v>2276</v>
      </c>
      <c r="P140" s="21" t="s">
        <v>2276</v>
      </c>
      <c r="Q140" s="102" t="s">
        <v>2276</v>
      </c>
      <c r="R140" s="102"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3" t="s">
        <v>2276</v>
      </c>
      <c r="L141" s="21" t="s">
        <v>2276</v>
      </c>
      <c r="M141" s="21" t="s">
        <v>2276</v>
      </c>
      <c r="N141" s="21" t="s">
        <v>2276</v>
      </c>
      <c r="O141" s="21" t="s">
        <v>2276</v>
      </c>
      <c r="P141" s="21" t="s">
        <v>2276</v>
      </c>
      <c r="Q141" s="102" t="s">
        <v>2276</v>
      </c>
      <c r="R141" s="102"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3" t="s">
        <v>2276</v>
      </c>
      <c r="L142" s="21" t="s">
        <v>2276</v>
      </c>
      <c r="M142" s="21" t="s">
        <v>2276</v>
      </c>
      <c r="N142" s="21" t="s">
        <v>2276</v>
      </c>
      <c r="O142" s="21" t="s">
        <v>2276</v>
      </c>
      <c r="P142" s="21" t="s">
        <v>2276</v>
      </c>
      <c r="Q142" s="102" t="s">
        <v>2276</v>
      </c>
      <c r="R142" s="102"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3" t="s">
        <v>2276</v>
      </c>
      <c r="L143" s="21" t="s">
        <v>2276</v>
      </c>
      <c r="M143" s="21" t="s">
        <v>2276</v>
      </c>
      <c r="N143" s="21" t="s">
        <v>2276</v>
      </c>
      <c r="O143" s="21" t="s">
        <v>2276</v>
      </c>
      <c r="P143" s="21" t="s">
        <v>2276</v>
      </c>
      <c r="Q143" s="102" t="s">
        <v>2276</v>
      </c>
      <c r="R143" s="102"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3" t="s">
        <v>2276</v>
      </c>
      <c r="L144" s="21" t="s">
        <v>2276</v>
      </c>
      <c r="M144" s="21" t="s">
        <v>2276</v>
      </c>
      <c r="N144" s="21" t="s">
        <v>2276</v>
      </c>
      <c r="O144" s="21" t="s">
        <v>2276</v>
      </c>
      <c r="P144" s="21" t="s">
        <v>2276</v>
      </c>
      <c r="Q144" s="102" t="s">
        <v>2276</v>
      </c>
      <c r="R144" s="102"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3" t="s">
        <v>2276</v>
      </c>
      <c r="L145" s="21" t="s">
        <v>2276</v>
      </c>
      <c r="M145" s="21" t="s">
        <v>2276</v>
      </c>
      <c r="N145" s="21" t="s">
        <v>2276</v>
      </c>
      <c r="O145" s="21" t="s">
        <v>2276</v>
      </c>
      <c r="P145" s="21" t="s">
        <v>2276</v>
      </c>
      <c r="Q145" s="102" t="s">
        <v>2276</v>
      </c>
      <c r="R145" s="102"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3" t="s">
        <v>2276</v>
      </c>
      <c r="L146" s="21" t="s">
        <v>2276</v>
      </c>
      <c r="M146" s="21" t="s">
        <v>2276</v>
      </c>
      <c r="N146" s="21" t="s">
        <v>2276</v>
      </c>
      <c r="O146" s="21" t="s">
        <v>2276</v>
      </c>
      <c r="P146" s="21" t="s">
        <v>2276</v>
      </c>
      <c r="Q146" s="102" t="s">
        <v>2276</v>
      </c>
      <c r="R146" s="102"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3" t="s">
        <v>2276</v>
      </c>
      <c r="L147" s="21" t="s">
        <v>2276</v>
      </c>
      <c r="M147" s="21" t="s">
        <v>2276</v>
      </c>
      <c r="N147" s="21" t="s">
        <v>2276</v>
      </c>
      <c r="O147" s="21" t="s">
        <v>2276</v>
      </c>
      <c r="P147" s="21" t="s">
        <v>2276</v>
      </c>
      <c r="Q147" s="102" t="s">
        <v>2276</v>
      </c>
      <c r="R147" s="102"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7" t="s">
        <v>2276</v>
      </c>
      <c r="K148" s="109" t="s">
        <v>2276</v>
      </c>
      <c r="L148" s="77" t="s">
        <v>2276</v>
      </c>
      <c r="M148" s="77" t="s">
        <v>2276</v>
      </c>
      <c r="N148" s="77" t="s">
        <v>2276</v>
      </c>
      <c r="O148" s="77" t="s">
        <v>2276</v>
      </c>
      <c r="P148" s="77" t="s">
        <v>2276</v>
      </c>
      <c r="Q148" s="102" t="s">
        <v>2276</v>
      </c>
      <c r="R148" s="102" t="s">
        <v>2276</v>
      </c>
      <c r="S148" s="21" t="s">
        <v>2276</v>
      </c>
      <c r="T148" s="77" t="s">
        <v>2276</v>
      </c>
      <c r="U148" s="77" t="s">
        <v>2276</v>
      </c>
      <c r="V148" s="77" t="s">
        <v>2276</v>
      </c>
      <c r="W148" s="77"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7" t="s">
        <v>2276</v>
      </c>
      <c r="K149" s="109" t="s">
        <v>2276</v>
      </c>
      <c r="L149" s="77" t="s">
        <v>2276</v>
      </c>
      <c r="M149" s="77" t="s">
        <v>2276</v>
      </c>
      <c r="N149" s="77" t="s">
        <v>2276</v>
      </c>
      <c r="O149" s="77" t="s">
        <v>2276</v>
      </c>
      <c r="P149" s="77" t="s">
        <v>2276</v>
      </c>
      <c r="Q149" s="102" t="s">
        <v>2276</v>
      </c>
      <c r="R149" s="102" t="s">
        <v>2276</v>
      </c>
      <c r="S149" s="21" t="s">
        <v>2276</v>
      </c>
      <c r="T149" s="77" t="s">
        <v>2276</v>
      </c>
      <c r="U149" s="77" t="s">
        <v>2276</v>
      </c>
      <c r="V149" s="77" t="s">
        <v>2276</v>
      </c>
      <c r="W149" s="77"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3" t="s">
        <v>2276</v>
      </c>
      <c r="L150" s="21" t="s">
        <v>2276</v>
      </c>
      <c r="M150" s="21" t="s">
        <v>2276</v>
      </c>
      <c r="N150" s="21" t="s">
        <v>2276</v>
      </c>
      <c r="O150" s="21" t="s">
        <v>2276</v>
      </c>
      <c r="P150" s="21" t="s">
        <v>2276</v>
      </c>
      <c r="Q150" s="102" t="s">
        <v>2276</v>
      </c>
      <c r="R150" s="102"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3" t="s">
        <v>2276</v>
      </c>
      <c r="L151" s="21" t="s">
        <v>2276</v>
      </c>
      <c r="M151" s="21" t="s">
        <v>2276</v>
      </c>
      <c r="N151" s="21" t="s">
        <v>2276</v>
      </c>
      <c r="O151" s="21" t="s">
        <v>2276</v>
      </c>
      <c r="P151" s="21" t="s">
        <v>2276</v>
      </c>
      <c r="Q151" s="102" t="s">
        <v>2276</v>
      </c>
      <c r="R151" s="102"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3" t="s">
        <v>2276</v>
      </c>
      <c r="L152" s="103" t="s">
        <v>2276</v>
      </c>
      <c r="M152" s="103" t="s">
        <v>2276</v>
      </c>
      <c r="N152" s="103" t="s">
        <v>2276</v>
      </c>
      <c r="O152" s="103" t="s">
        <v>2276</v>
      </c>
      <c r="P152" s="103" t="s">
        <v>2276</v>
      </c>
      <c r="Q152" s="103" t="s">
        <v>2276</v>
      </c>
      <c r="R152" s="103" t="s">
        <v>2276</v>
      </c>
      <c r="S152" s="103" t="s">
        <v>2276</v>
      </c>
      <c r="T152" s="103" t="s">
        <v>2276</v>
      </c>
      <c r="U152" s="103" t="s">
        <v>2276</v>
      </c>
      <c r="V152" s="103" t="s">
        <v>2276</v>
      </c>
      <c r="W152" s="103" t="s">
        <v>2276</v>
      </c>
      <c r="X152" s="103" t="s">
        <v>2276</v>
      </c>
      <c r="Y152" s="103" t="s">
        <v>2276</v>
      </c>
      <c r="Z152" s="103"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3" t="s">
        <v>2276</v>
      </c>
      <c r="K153" s="103" t="s">
        <v>2276</v>
      </c>
      <c r="L153" s="103" t="s">
        <v>2276</v>
      </c>
      <c r="M153" s="103" t="s">
        <v>2276</v>
      </c>
      <c r="N153" s="103" t="s">
        <v>2276</v>
      </c>
      <c r="O153" s="103" t="s">
        <v>2276</v>
      </c>
      <c r="P153" s="103" t="s">
        <v>2276</v>
      </c>
      <c r="Q153" s="103" t="s">
        <v>2276</v>
      </c>
      <c r="R153" s="103" t="s">
        <v>2276</v>
      </c>
      <c r="S153" s="103" t="s">
        <v>2276</v>
      </c>
      <c r="T153" s="103" t="s">
        <v>2276</v>
      </c>
      <c r="U153" s="103" t="s">
        <v>2276</v>
      </c>
      <c r="V153" s="103" t="s">
        <v>2276</v>
      </c>
      <c r="W153" s="103" t="s">
        <v>2276</v>
      </c>
      <c r="X153" s="103" t="s">
        <v>2276</v>
      </c>
      <c r="Y153" s="103" t="s">
        <v>2276</v>
      </c>
      <c r="Z153" s="103"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3" t="s">
        <v>2276</v>
      </c>
      <c r="K154" s="103" t="s">
        <v>2276</v>
      </c>
      <c r="L154" s="103" t="s">
        <v>2276</v>
      </c>
      <c r="M154" s="103" t="s">
        <v>2276</v>
      </c>
      <c r="N154" s="103" t="s">
        <v>2276</v>
      </c>
      <c r="O154" s="103" t="s">
        <v>2276</v>
      </c>
      <c r="P154" s="103" t="s">
        <v>2276</v>
      </c>
      <c r="Q154" s="103" t="s">
        <v>2276</v>
      </c>
      <c r="R154" s="103" t="s">
        <v>2276</v>
      </c>
      <c r="S154" s="103" t="s">
        <v>2276</v>
      </c>
      <c r="T154" s="103" t="s">
        <v>2276</v>
      </c>
      <c r="U154" s="103" t="s">
        <v>2276</v>
      </c>
      <c r="V154" s="103" t="s">
        <v>2276</v>
      </c>
      <c r="W154" s="103" t="s">
        <v>2276</v>
      </c>
      <c r="X154" s="103" t="s">
        <v>2276</v>
      </c>
      <c r="Y154" s="103" t="s">
        <v>2276</v>
      </c>
      <c r="Z154" s="103"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3" t="s">
        <v>2276</v>
      </c>
      <c r="L155" s="21" t="s">
        <v>2276</v>
      </c>
      <c r="M155" s="21" t="s">
        <v>2276</v>
      </c>
      <c r="N155" s="21" t="s">
        <v>2276</v>
      </c>
      <c r="O155" s="21" t="s">
        <v>2276</v>
      </c>
      <c r="P155" s="21" t="s">
        <v>2276</v>
      </c>
      <c r="Q155" s="102" t="s">
        <v>2276</v>
      </c>
      <c r="R155" s="102"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3" t="s">
        <v>2276</v>
      </c>
      <c r="L156" s="21" t="s">
        <v>2276</v>
      </c>
      <c r="M156" s="21" t="s">
        <v>2276</v>
      </c>
      <c r="N156" s="21" t="s">
        <v>2276</v>
      </c>
      <c r="O156" s="21" t="s">
        <v>2276</v>
      </c>
      <c r="P156" s="21" t="s">
        <v>2276</v>
      </c>
      <c r="Q156" s="102" t="s">
        <v>2276</v>
      </c>
      <c r="R156" s="102"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3" t="s">
        <v>2276</v>
      </c>
      <c r="L157" s="21" t="s">
        <v>2276</v>
      </c>
      <c r="M157" s="21" t="s">
        <v>2276</v>
      </c>
      <c r="N157" s="21" t="s">
        <v>2276</v>
      </c>
      <c r="O157" s="21" t="s">
        <v>2276</v>
      </c>
      <c r="P157" s="21" t="s">
        <v>2276</v>
      </c>
      <c r="Q157" s="102" t="s">
        <v>2276</v>
      </c>
      <c r="R157" s="102"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3" t="s">
        <v>2276</v>
      </c>
      <c r="L158" s="21" t="s">
        <v>2276</v>
      </c>
      <c r="M158" s="21" t="s">
        <v>2276</v>
      </c>
      <c r="N158" s="21" t="s">
        <v>2276</v>
      </c>
      <c r="O158" s="21" t="s">
        <v>2276</v>
      </c>
      <c r="P158" s="21" t="s">
        <v>2276</v>
      </c>
      <c r="Q158" s="102" t="s">
        <v>2276</v>
      </c>
      <c r="R158" s="102"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3" t="s">
        <v>2276</v>
      </c>
      <c r="L159" s="21" t="s">
        <v>2276</v>
      </c>
      <c r="M159" s="21" t="s">
        <v>2276</v>
      </c>
      <c r="N159" s="21" t="s">
        <v>2276</v>
      </c>
      <c r="O159" s="21" t="s">
        <v>2276</v>
      </c>
      <c r="P159" s="21" t="s">
        <v>2276</v>
      </c>
      <c r="Q159" s="102" t="s">
        <v>2276</v>
      </c>
      <c r="R159" s="102"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3" t="s">
        <v>2276</v>
      </c>
      <c r="L160" s="21" t="s">
        <v>2276</v>
      </c>
      <c r="M160" s="21" t="s">
        <v>2276</v>
      </c>
      <c r="N160" s="21" t="s">
        <v>2276</v>
      </c>
      <c r="O160" s="21" t="s">
        <v>2276</v>
      </c>
      <c r="P160" s="21" t="s">
        <v>2380</v>
      </c>
      <c r="Q160" s="102" t="s">
        <v>2276</v>
      </c>
      <c r="R160" s="102"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3" t="s">
        <v>2276</v>
      </c>
      <c r="L161" s="21" t="s">
        <v>2276</v>
      </c>
      <c r="M161" s="21" t="s">
        <v>2276</v>
      </c>
      <c r="N161" s="21" t="s">
        <v>2276</v>
      </c>
      <c r="O161" s="21" t="s">
        <v>2276</v>
      </c>
      <c r="P161" s="21" t="s">
        <v>2380</v>
      </c>
      <c r="Q161" s="102" t="s">
        <v>2276</v>
      </c>
      <c r="R161" s="102"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3" t="s">
        <v>2276</v>
      </c>
      <c r="L162" s="21" t="s">
        <v>2276</v>
      </c>
      <c r="M162" s="21" t="s">
        <v>2276</v>
      </c>
      <c r="N162" s="21" t="s">
        <v>2276</v>
      </c>
      <c r="O162" s="21" t="s">
        <v>2276</v>
      </c>
      <c r="P162" s="21" t="s">
        <v>2380</v>
      </c>
      <c r="Q162" s="102" t="s">
        <v>2276</v>
      </c>
      <c r="R162" s="102"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3" t="s">
        <v>2276</v>
      </c>
      <c r="L163" s="21" t="s">
        <v>2276</v>
      </c>
      <c r="M163" s="21" t="s">
        <v>2276</v>
      </c>
      <c r="N163" s="21" t="s">
        <v>2276</v>
      </c>
      <c r="O163" s="21" t="s">
        <v>2276</v>
      </c>
      <c r="P163" s="21" t="s">
        <v>2380</v>
      </c>
      <c r="Q163" s="102" t="s">
        <v>2276</v>
      </c>
      <c r="R163" s="102"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3" t="s">
        <v>2276</v>
      </c>
      <c r="L164" s="21" t="s">
        <v>2276</v>
      </c>
      <c r="M164" s="21" t="s">
        <v>2276</v>
      </c>
      <c r="N164" s="21" t="s">
        <v>2276</v>
      </c>
      <c r="O164" s="21" t="s">
        <v>2276</v>
      </c>
      <c r="P164" s="21" t="s">
        <v>2379</v>
      </c>
      <c r="Q164" s="102" t="s">
        <v>2276</v>
      </c>
      <c r="R164" s="102"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3" t="s">
        <v>2276</v>
      </c>
      <c r="L165" s="21" t="s">
        <v>2276</v>
      </c>
      <c r="M165" s="21" t="s">
        <v>2276</v>
      </c>
      <c r="N165" s="21" t="s">
        <v>2276</v>
      </c>
      <c r="O165" s="21" t="s">
        <v>2276</v>
      </c>
      <c r="P165" s="21" t="s">
        <v>2379</v>
      </c>
      <c r="Q165" s="102" t="s">
        <v>2276</v>
      </c>
      <c r="R165" s="102"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3" t="s">
        <v>2276</v>
      </c>
      <c r="L166" s="21" t="s">
        <v>2276</v>
      </c>
      <c r="M166" s="21" t="s">
        <v>2276</v>
      </c>
      <c r="N166" s="21" t="s">
        <v>2276</v>
      </c>
      <c r="O166" s="21" t="s">
        <v>2276</v>
      </c>
      <c r="P166" s="21" t="s">
        <v>2379</v>
      </c>
      <c r="Q166" s="102" t="s">
        <v>2276</v>
      </c>
      <c r="R166" s="102"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3" t="s">
        <v>2276</v>
      </c>
      <c r="L167" s="21" t="s">
        <v>2276</v>
      </c>
      <c r="M167" s="21" t="s">
        <v>2276</v>
      </c>
      <c r="N167" s="21" t="s">
        <v>2276</v>
      </c>
      <c r="O167" s="21" t="s">
        <v>2276</v>
      </c>
      <c r="P167" s="21" t="s">
        <v>2378</v>
      </c>
      <c r="Q167" s="102" t="s">
        <v>2276</v>
      </c>
      <c r="R167" s="102"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3" t="s">
        <v>2276</v>
      </c>
      <c r="L168" s="21" t="s">
        <v>2276</v>
      </c>
      <c r="M168" s="21" t="s">
        <v>2276</v>
      </c>
      <c r="N168" s="21" t="s">
        <v>2276</v>
      </c>
      <c r="O168" s="21" t="s">
        <v>2276</v>
      </c>
      <c r="P168" s="21" t="s">
        <v>2379</v>
      </c>
      <c r="Q168" s="102" t="s">
        <v>2276</v>
      </c>
      <c r="R168" s="102"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3" t="s">
        <v>2276</v>
      </c>
      <c r="L169" s="21" t="s">
        <v>2276</v>
      </c>
      <c r="M169" s="21" t="s">
        <v>2276</v>
      </c>
      <c r="N169" s="21" t="s">
        <v>2276</v>
      </c>
      <c r="O169" s="21" t="s">
        <v>2276</v>
      </c>
      <c r="P169" s="21" t="s">
        <v>2379</v>
      </c>
      <c r="Q169" s="102" t="s">
        <v>2276</v>
      </c>
      <c r="R169" s="102"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3" t="s">
        <v>2276</v>
      </c>
      <c r="L170" s="21" t="s">
        <v>2276</v>
      </c>
      <c r="M170" s="21" t="s">
        <v>2276</v>
      </c>
      <c r="N170" s="21" t="s">
        <v>2276</v>
      </c>
      <c r="O170" s="21" t="s">
        <v>2276</v>
      </c>
      <c r="P170" s="21" t="s">
        <v>2378</v>
      </c>
      <c r="Q170" s="102" t="s">
        <v>2276</v>
      </c>
      <c r="R170" s="102"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3" t="s">
        <v>2276</v>
      </c>
      <c r="L171" s="21" t="s">
        <v>2276</v>
      </c>
      <c r="M171" s="21" t="s">
        <v>2276</v>
      </c>
      <c r="N171" s="21" t="s">
        <v>2276</v>
      </c>
      <c r="O171" s="21" t="s">
        <v>2276</v>
      </c>
      <c r="P171" s="21" t="s">
        <v>2378</v>
      </c>
      <c r="Q171" s="102" t="s">
        <v>2276</v>
      </c>
      <c r="R171" s="102"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3" t="s">
        <v>2276</v>
      </c>
      <c r="L172" s="21" t="s">
        <v>2276</v>
      </c>
      <c r="M172" s="21" t="s">
        <v>2276</v>
      </c>
      <c r="N172" s="21" t="s">
        <v>2276</v>
      </c>
      <c r="O172" s="21" t="s">
        <v>2276</v>
      </c>
      <c r="P172" s="21" t="s">
        <v>2378</v>
      </c>
      <c r="Q172" s="102" t="s">
        <v>2276</v>
      </c>
      <c r="R172" s="102"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3" t="s">
        <v>2276</v>
      </c>
      <c r="L173" s="21" t="s">
        <v>2276</v>
      </c>
      <c r="M173" s="21" t="s">
        <v>2276</v>
      </c>
      <c r="N173" s="21" t="s">
        <v>2276</v>
      </c>
      <c r="O173" s="21" t="s">
        <v>2276</v>
      </c>
      <c r="P173" s="21" t="s">
        <v>2378</v>
      </c>
      <c r="Q173" s="102" t="s">
        <v>2276</v>
      </c>
      <c r="R173" s="102"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3" t="s">
        <v>2276</v>
      </c>
      <c r="L174" s="21" t="s">
        <v>2276</v>
      </c>
      <c r="M174" s="21" t="s">
        <v>2276</v>
      </c>
      <c r="N174" s="21" t="s">
        <v>2276</v>
      </c>
      <c r="O174" s="21" t="s">
        <v>2276</v>
      </c>
      <c r="P174" s="21" t="s">
        <v>2378</v>
      </c>
      <c r="Q174" s="102" t="s">
        <v>2276</v>
      </c>
      <c r="R174" s="102"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3" t="s">
        <v>2276</v>
      </c>
      <c r="L175" s="21" t="s">
        <v>2276</v>
      </c>
      <c r="M175" s="21" t="s">
        <v>2276</v>
      </c>
      <c r="N175" s="21" t="s">
        <v>2276</v>
      </c>
      <c r="O175" s="21" t="s">
        <v>2276</v>
      </c>
      <c r="P175" s="21" t="s">
        <v>2378</v>
      </c>
      <c r="Q175" s="102" t="s">
        <v>2276</v>
      </c>
      <c r="R175" s="102"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3" t="s">
        <v>2276</v>
      </c>
      <c r="L176" s="21" t="s">
        <v>2276</v>
      </c>
      <c r="M176" s="21" t="s">
        <v>2276</v>
      </c>
      <c r="N176" s="21" t="s">
        <v>2276</v>
      </c>
      <c r="O176" s="21" t="s">
        <v>2276</v>
      </c>
      <c r="P176" s="21" t="s">
        <v>2378</v>
      </c>
      <c r="Q176" s="102" t="s">
        <v>2276</v>
      </c>
      <c r="R176" s="102"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3" t="s">
        <v>2276</v>
      </c>
      <c r="L177" s="21" t="s">
        <v>2276</v>
      </c>
      <c r="M177" s="21" t="s">
        <v>2276</v>
      </c>
      <c r="N177" s="21" t="s">
        <v>2276</v>
      </c>
      <c r="O177" s="21" t="s">
        <v>2276</v>
      </c>
      <c r="P177" s="21" t="s">
        <v>2378</v>
      </c>
      <c r="Q177" s="102" t="s">
        <v>2276</v>
      </c>
      <c r="R177" s="102"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3" t="s">
        <v>2276</v>
      </c>
      <c r="L178" s="21" t="s">
        <v>2276</v>
      </c>
      <c r="M178" s="21" t="s">
        <v>2276</v>
      </c>
      <c r="N178" s="21" t="s">
        <v>2276</v>
      </c>
      <c r="O178" s="21" t="s">
        <v>2276</v>
      </c>
      <c r="P178" s="21" t="s">
        <v>2377</v>
      </c>
      <c r="Q178" s="102" t="s">
        <v>2276</v>
      </c>
      <c r="R178" s="102"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3" t="s">
        <v>2276</v>
      </c>
      <c r="L179" s="21" t="s">
        <v>2276</v>
      </c>
      <c r="M179" s="21" t="s">
        <v>2276</v>
      </c>
      <c r="N179" s="21" t="s">
        <v>2276</v>
      </c>
      <c r="O179" s="21" t="s">
        <v>2276</v>
      </c>
      <c r="P179" s="21" t="s">
        <v>2378</v>
      </c>
      <c r="Q179" s="102" t="s">
        <v>2276</v>
      </c>
      <c r="R179" s="102"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3" t="s">
        <v>2276</v>
      </c>
      <c r="L180" s="21" t="s">
        <v>2276</v>
      </c>
      <c r="M180" s="21" t="s">
        <v>2276</v>
      </c>
      <c r="N180" s="21" t="s">
        <v>2276</v>
      </c>
      <c r="O180" s="21" t="s">
        <v>2276</v>
      </c>
      <c r="P180" s="21" t="s">
        <v>2378</v>
      </c>
      <c r="Q180" s="102" t="s">
        <v>2276</v>
      </c>
      <c r="R180" s="102"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3" t="s">
        <v>2276</v>
      </c>
      <c r="L181" s="21" t="s">
        <v>2276</v>
      </c>
      <c r="M181" s="21" t="s">
        <v>2276</v>
      </c>
      <c r="N181" s="21" t="s">
        <v>2276</v>
      </c>
      <c r="O181" s="21" t="s">
        <v>2276</v>
      </c>
      <c r="P181" s="21" t="s">
        <v>2378</v>
      </c>
      <c r="Q181" s="102" t="s">
        <v>2276</v>
      </c>
      <c r="R181" s="102"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3" t="s">
        <v>2276</v>
      </c>
      <c r="L182" s="21" t="s">
        <v>2276</v>
      </c>
      <c r="M182" s="21" t="s">
        <v>2276</v>
      </c>
      <c r="N182" s="21" t="s">
        <v>2276</v>
      </c>
      <c r="O182" s="21" t="s">
        <v>2276</v>
      </c>
      <c r="P182" s="21" t="s">
        <v>2378</v>
      </c>
      <c r="Q182" s="102" t="s">
        <v>2276</v>
      </c>
      <c r="R182" s="102"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3" t="s">
        <v>2276</v>
      </c>
      <c r="L183" s="21" t="s">
        <v>2276</v>
      </c>
      <c r="M183" s="21" t="s">
        <v>2276</v>
      </c>
      <c r="N183" s="21" t="s">
        <v>2276</v>
      </c>
      <c r="O183" s="21" t="s">
        <v>2276</v>
      </c>
      <c r="P183" s="21" t="s">
        <v>2378</v>
      </c>
      <c r="Q183" s="102" t="s">
        <v>2276</v>
      </c>
      <c r="R183" s="102"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3" t="s">
        <v>2276</v>
      </c>
      <c r="L184" s="21" t="s">
        <v>2276</v>
      </c>
      <c r="M184" s="21" t="s">
        <v>2276</v>
      </c>
      <c r="N184" s="21" t="s">
        <v>2276</v>
      </c>
      <c r="O184" s="21" t="s">
        <v>2276</v>
      </c>
      <c r="P184" s="21" t="s">
        <v>2378</v>
      </c>
      <c r="Q184" s="102" t="s">
        <v>2276</v>
      </c>
      <c r="R184" s="102"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3" t="s">
        <v>2276</v>
      </c>
      <c r="L185" s="21" t="s">
        <v>2276</v>
      </c>
      <c r="M185" s="21" t="s">
        <v>2276</v>
      </c>
      <c r="N185" s="21" t="s">
        <v>2276</v>
      </c>
      <c r="O185" s="21" t="s">
        <v>2276</v>
      </c>
      <c r="P185" s="21" t="s">
        <v>2378</v>
      </c>
      <c r="Q185" s="102" t="s">
        <v>2276</v>
      </c>
      <c r="R185" s="102"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3" t="s">
        <v>2276</v>
      </c>
      <c r="L186" s="21" t="s">
        <v>2276</v>
      </c>
      <c r="M186" s="21" t="s">
        <v>2276</v>
      </c>
      <c r="N186" s="21" t="s">
        <v>2276</v>
      </c>
      <c r="O186" s="21" t="s">
        <v>2276</v>
      </c>
      <c r="P186" s="21" t="s">
        <v>2378</v>
      </c>
      <c r="Q186" s="102" t="s">
        <v>2276</v>
      </c>
      <c r="R186" s="102"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3" t="s">
        <v>2276</v>
      </c>
      <c r="L187" s="21" t="s">
        <v>2276</v>
      </c>
      <c r="M187" s="21" t="s">
        <v>2276</v>
      </c>
      <c r="N187" s="21" t="s">
        <v>2276</v>
      </c>
      <c r="O187" s="21" t="s">
        <v>2276</v>
      </c>
      <c r="P187" s="21" t="s">
        <v>2378</v>
      </c>
      <c r="Q187" s="102" t="s">
        <v>2276</v>
      </c>
      <c r="R187" s="102"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3" t="s">
        <v>2276</v>
      </c>
      <c r="L188" s="21" t="s">
        <v>2276</v>
      </c>
      <c r="M188" s="21" t="s">
        <v>2276</v>
      </c>
      <c r="N188" s="21" t="s">
        <v>2276</v>
      </c>
      <c r="O188" s="21" t="s">
        <v>2276</v>
      </c>
      <c r="P188" s="21" t="s">
        <v>2378</v>
      </c>
      <c r="Q188" s="102" t="s">
        <v>2276</v>
      </c>
      <c r="R188" s="102"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3" t="s">
        <v>2276</v>
      </c>
      <c r="L189" s="21" t="s">
        <v>2276</v>
      </c>
      <c r="M189" s="21" t="s">
        <v>2276</v>
      </c>
      <c r="N189" s="21" t="s">
        <v>2276</v>
      </c>
      <c r="O189" s="21" t="s">
        <v>2276</v>
      </c>
      <c r="P189" s="21" t="s">
        <v>2377</v>
      </c>
      <c r="Q189" s="102" t="s">
        <v>2276</v>
      </c>
      <c r="R189" s="102"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3" t="s">
        <v>2276</v>
      </c>
      <c r="L190" s="21" t="s">
        <v>2276</v>
      </c>
      <c r="M190" s="21" t="s">
        <v>2276</v>
      </c>
      <c r="N190" s="21" t="s">
        <v>2276</v>
      </c>
      <c r="O190" s="21" t="s">
        <v>2276</v>
      </c>
      <c r="P190" s="21" t="s">
        <v>2378</v>
      </c>
      <c r="Q190" s="102" t="s">
        <v>2276</v>
      </c>
      <c r="R190" s="102"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3" t="s">
        <v>2276</v>
      </c>
      <c r="L191" s="21" t="s">
        <v>2276</v>
      </c>
      <c r="M191" s="21" t="s">
        <v>2276</v>
      </c>
      <c r="N191" s="21" t="s">
        <v>2276</v>
      </c>
      <c r="O191" s="21" t="s">
        <v>2276</v>
      </c>
      <c r="P191" s="21" t="s">
        <v>2378</v>
      </c>
      <c r="Q191" s="102" t="s">
        <v>2276</v>
      </c>
      <c r="R191" s="102"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3" t="s">
        <v>2276</v>
      </c>
      <c r="L192" s="21" t="s">
        <v>2276</v>
      </c>
      <c r="M192" s="21" t="s">
        <v>2276</v>
      </c>
      <c r="N192" s="21" t="s">
        <v>2276</v>
      </c>
      <c r="O192" s="21" t="s">
        <v>2276</v>
      </c>
      <c r="P192" s="21" t="s">
        <v>2378</v>
      </c>
      <c r="Q192" s="102" t="s">
        <v>2276</v>
      </c>
      <c r="R192" s="102"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3" t="s">
        <v>2276</v>
      </c>
      <c r="L193" s="21" t="s">
        <v>2276</v>
      </c>
      <c r="M193" s="21" t="s">
        <v>2276</v>
      </c>
      <c r="N193" s="21" t="s">
        <v>2276</v>
      </c>
      <c r="O193" s="21" t="s">
        <v>2276</v>
      </c>
      <c r="P193" s="21" t="s">
        <v>2377</v>
      </c>
      <c r="Q193" s="102" t="s">
        <v>2276</v>
      </c>
      <c r="R193" s="102"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3" t="s">
        <v>2276</v>
      </c>
      <c r="L194" s="21" t="s">
        <v>2276</v>
      </c>
      <c r="M194" s="21" t="s">
        <v>2276</v>
      </c>
      <c r="N194" s="21" t="s">
        <v>2276</v>
      </c>
      <c r="O194" s="21" t="s">
        <v>2276</v>
      </c>
      <c r="P194" s="21" t="s">
        <v>2377</v>
      </c>
      <c r="Q194" s="102" t="s">
        <v>2276</v>
      </c>
      <c r="R194" s="102"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3" t="s">
        <v>2276</v>
      </c>
      <c r="L195" s="21" t="s">
        <v>2276</v>
      </c>
      <c r="M195" s="21" t="s">
        <v>2276</v>
      </c>
      <c r="N195" s="21" t="s">
        <v>2276</v>
      </c>
      <c r="O195" s="21" t="s">
        <v>2276</v>
      </c>
      <c r="P195" s="21" t="s">
        <v>2377</v>
      </c>
      <c r="Q195" s="102" t="s">
        <v>2276</v>
      </c>
      <c r="R195" s="102"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3" t="s">
        <v>2276</v>
      </c>
      <c r="L196" s="21" t="s">
        <v>2276</v>
      </c>
      <c r="M196" s="21" t="s">
        <v>2276</v>
      </c>
      <c r="N196" s="21" t="s">
        <v>2276</v>
      </c>
      <c r="O196" s="21" t="s">
        <v>2276</v>
      </c>
      <c r="P196" s="21" t="s">
        <v>2377</v>
      </c>
      <c r="Q196" s="102" t="s">
        <v>2276</v>
      </c>
      <c r="R196" s="102"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3" t="s">
        <v>2276</v>
      </c>
      <c r="L197" s="21" t="s">
        <v>2276</v>
      </c>
      <c r="M197" s="21" t="s">
        <v>2276</v>
      </c>
      <c r="N197" s="21" t="s">
        <v>2276</v>
      </c>
      <c r="O197" s="21" t="s">
        <v>2276</v>
      </c>
      <c r="P197" s="21" t="s">
        <v>2377</v>
      </c>
      <c r="Q197" s="102" t="s">
        <v>2276</v>
      </c>
      <c r="R197" s="102"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3" t="s">
        <v>2276</v>
      </c>
      <c r="L198" s="21" t="s">
        <v>2276</v>
      </c>
      <c r="M198" s="21" t="s">
        <v>2276</v>
      </c>
      <c r="N198" s="21" t="s">
        <v>2276</v>
      </c>
      <c r="O198" s="21" t="s">
        <v>2276</v>
      </c>
      <c r="P198" s="21" t="s">
        <v>2377</v>
      </c>
      <c r="Q198" s="102" t="s">
        <v>2276</v>
      </c>
      <c r="R198" s="102"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3" t="s">
        <v>2276</v>
      </c>
      <c r="L199" s="21" t="s">
        <v>2276</v>
      </c>
      <c r="M199" s="21" t="s">
        <v>2276</v>
      </c>
      <c r="N199" s="21" t="s">
        <v>2276</v>
      </c>
      <c r="O199" s="21" t="s">
        <v>2276</v>
      </c>
      <c r="P199" s="21" t="s">
        <v>2377</v>
      </c>
      <c r="Q199" s="102" t="s">
        <v>2276</v>
      </c>
      <c r="R199" s="102"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3" t="s">
        <v>2276</v>
      </c>
      <c r="L200" s="21" t="s">
        <v>2276</v>
      </c>
      <c r="M200" s="21" t="s">
        <v>2276</v>
      </c>
      <c r="N200" s="21" t="s">
        <v>2276</v>
      </c>
      <c r="O200" s="21" t="s">
        <v>2276</v>
      </c>
      <c r="P200" s="21" t="s">
        <v>2377</v>
      </c>
      <c r="Q200" s="102" t="s">
        <v>2276</v>
      </c>
      <c r="R200" s="102"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3" t="s">
        <v>2276</v>
      </c>
      <c r="L201" s="21" t="s">
        <v>2276</v>
      </c>
      <c r="M201" s="21" t="s">
        <v>2276</v>
      </c>
      <c r="N201" s="21" t="s">
        <v>2276</v>
      </c>
      <c r="O201" s="21" t="s">
        <v>2276</v>
      </c>
      <c r="P201" s="21" t="s">
        <v>2377</v>
      </c>
      <c r="Q201" s="102" t="s">
        <v>2276</v>
      </c>
      <c r="R201" s="102"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3" t="s">
        <v>2276</v>
      </c>
      <c r="L202" s="21" t="s">
        <v>2276</v>
      </c>
      <c r="M202" s="21" t="s">
        <v>2276</v>
      </c>
      <c r="N202" s="21" t="s">
        <v>2276</v>
      </c>
      <c r="O202" s="21" t="s">
        <v>2276</v>
      </c>
      <c r="P202" s="21" t="s">
        <v>2377</v>
      </c>
      <c r="Q202" s="102" t="s">
        <v>2276</v>
      </c>
      <c r="R202" s="102"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3" t="s">
        <v>2276</v>
      </c>
      <c r="L203" s="21" t="s">
        <v>2276</v>
      </c>
      <c r="M203" s="21" t="s">
        <v>2276</v>
      </c>
      <c r="N203" s="21" t="s">
        <v>2276</v>
      </c>
      <c r="O203" s="21" t="s">
        <v>2276</v>
      </c>
      <c r="P203" s="21" t="s">
        <v>2377</v>
      </c>
      <c r="Q203" s="102" t="s">
        <v>2276</v>
      </c>
      <c r="R203" s="102"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3" t="s">
        <v>2276</v>
      </c>
      <c r="L204" s="21" t="s">
        <v>2276</v>
      </c>
      <c r="M204" s="21" t="s">
        <v>2276</v>
      </c>
      <c r="N204" s="21" t="s">
        <v>2276</v>
      </c>
      <c r="O204" s="21" t="s">
        <v>2276</v>
      </c>
      <c r="P204" s="21" t="s">
        <v>2377</v>
      </c>
      <c r="Q204" s="102" t="s">
        <v>2276</v>
      </c>
      <c r="R204" s="102"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3" t="s">
        <v>2276</v>
      </c>
      <c r="L205" s="21" t="s">
        <v>2276</v>
      </c>
      <c r="M205" s="21" t="s">
        <v>2276</v>
      </c>
      <c r="N205" s="21" t="s">
        <v>2276</v>
      </c>
      <c r="O205" s="21" t="s">
        <v>2276</v>
      </c>
      <c r="P205" s="21" t="s">
        <v>2377</v>
      </c>
      <c r="Q205" s="102" t="s">
        <v>2276</v>
      </c>
      <c r="R205" s="102"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3" t="s">
        <v>2276</v>
      </c>
      <c r="L206" s="21" t="s">
        <v>2276</v>
      </c>
      <c r="M206" s="21" t="s">
        <v>2276</v>
      </c>
      <c r="N206" s="21" t="s">
        <v>2276</v>
      </c>
      <c r="O206" s="21" t="s">
        <v>2276</v>
      </c>
      <c r="P206" s="21" t="s">
        <v>2377</v>
      </c>
      <c r="Q206" s="102" t="s">
        <v>2276</v>
      </c>
      <c r="R206" s="102"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3" t="s">
        <v>2276</v>
      </c>
      <c r="L207" s="21" t="s">
        <v>2276</v>
      </c>
      <c r="M207" s="21" t="s">
        <v>2276</v>
      </c>
      <c r="N207" s="21" t="s">
        <v>2276</v>
      </c>
      <c r="O207" s="21" t="s">
        <v>2276</v>
      </c>
      <c r="P207" s="21" t="s">
        <v>2377</v>
      </c>
      <c r="Q207" s="102" t="s">
        <v>2276</v>
      </c>
      <c r="R207" s="102"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3" t="s">
        <v>2276</v>
      </c>
      <c r="L208" s="21" t="s">
        <v>2276</v>
      </c>
      <c r="M208" s="21" t="s">
        <v>2276</v>
      </c>
      <c r="N208" s="21" t="s">
        <v>2276</v>
      </c>
      <c r="O208" s="21" t="s">
        <v>2276</v>
      </c>
      <c r="P208" s="21" t="s">
        <v>2377</v>
      </c>
      <c r="Q208" s="102" t="s">
        <v>2276</v>
      </c>
      <c r="R208" s="102"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3" t="s">
        <v>2276</v>
      </c>
      <c r="L209" s="21" t="s">
        <v>2276</v>
      </c>
      <c r="M209" s="21" t="s">
        <v>2276</v>
      </c>
      <c r="N209" s="21" t="s">
        <v>2276</v>
      </c>
      <c r="O209" s="21" t="s">
        <v>2276</v>
      </c>
      <c r="P209" s="21" t="s">
        <v>2377</v>
      </c>
      <c r="Q209" s="102" t="s">
        <v>2276</v>
      </c>
      <c r="R209" s="102"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3" t="s">
        <v>2276</v>
      </c>
      <c r="L210" s="21" t="s">
        <v>2276</v>
      </c>
      <c r="M210" s="21" t="s">
        <v>2276</v>
      </c>
      <c r="N210" s="21" t="s">
        <v>2276</v>
      </c>
      <c r="O210" s="21" t="s">
        <v>2276</v>
      </c>
      <c r="P210" s="21" t="s">
        <v>2377</v>
      </c>
      <c r="Q210" s="102" t="s">
        <v>2276</v>
      </c>
      <c r="R210" s="102"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3" t="s">
        <v>2276</v>
      </c>
      <c r="L211" s="21" t="s">
        <v>2276</v>
      </c>
      <c r="M211" s="21" t="s">
        <v>2276</v>
      </c>
      <c r="N211" s="21" t="s">
        <v>2276</v>
      </c>
      <c r="O211" s="21" t="s">
        <v>2276</v>
      </c>
      <c r="P211" s="21" t="s">
        <v>2377</v>
      </c>
      <c r="Q211" s="102" t="s">
        <v>2276</v>
      </c>
      <c r="R211" s="102"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3" t="s">
        <v>2276</v>
      </c>
      <c r="L212" s="21" t="s">
        <v>2276</v>
      </c>
      <c r="M212" s="21" t="s">
        <v>2276</v>
      </c>
      <c r="N212" s="21" t="s">
        <v>2276</v>
      </c>
      <c r="O212" s="21" t="s">
        <v>2276</v>
      </c>
      <c r="P212" s="21" t="s">
        <v>2377</v>
      </c>
      <c r="Q212" s="102" t="s">
        <v>2276</v>
      </c>
      <c r="R212" s="102"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3" t="s">
        <v>2276</v>
      </c>
      <c r="L213" s="21" t="s">
        <v>2276</v>
      </c>
      <c r="M213" s="21" t="s">
        <v>2276</v>
      </c>
      <c r="N213" s="21" t="s">
        <v>2276</v>
      </c>
      <c r="O213" s="21" t="s">
        <v>2276</v>
      </c>
      <c r="P213" s="21" t="s">
        <v>2377</v>
      </c>
      <c r="Q213" s="102" t="s">
        <v>2276</v>
      </c>
      <c r="R213" s="102"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3" t="s">
        <v>2276</v>
      </c>
      <c r="L214" s="21" t="s">
        <v>2276</v>
      </c>
      <c r="M214" s="21" t="s">
        <v>2276</v>
      </c>
      <c r="N214" s="21" t="s">
        <v>2276</v>
      </c>
      <c r="O214" s="21" t="s">
        <v>2276</v>
      </c>
      <c r="P214" s="21" t="s">
        <v>2377</v>
      </c>
      <c r="Q214" s="102" t="s">
        <v>2276</v>
      </c>
      <c r="R214" s="102"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3" t="s">
        <v>2276</v>
      </c>
      <c r="L215" s="21" t="s">
        <v>2276</v>
      </c>
      <c r="M215" s="21" t="s">
        <v>2276</v>
      </c>
      <c r="N215" s="21" t="s">
        <v>2276</v>
      </c>
      <c r="O215" s="21" t="s">
        <v>2276</v>
      </c>
      <c r="P215" s="21" t="s">
        <v>2379</v>
      </c>
      <c r="Q215" s="102" t="s">
        <v>2276</v>
      </c>
      <c r="R215" s="102"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3" t="s">
        <v>2276</v>
      </c>
      <c r="L216" s="21" t="s">
        <v>2276</v>
      </c>
      <c r="M216" s="21" t="s">
        <v>2276</v>
      </c>
      <c r="N216" s="21" t="s">
        <v>2276</v>
      </c>
      <c r="O216" s="21" t="s">
        <v>2276</v>
      </c>
      <c r="P216" s="21" t="s">
        <v>2379</v>
      </c>
      <c r="Q216" s="102" t="s">
        <v>2276</v>
      </c>
      <c r="R216" s="102"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3" t="s">
        <v>2276</v>
      </c>
      <c r="L217" s="21" t="s">
        <v>2276</v>
      </c>
      <c r="M217" s="21" t="s">
        <v>2276</v>
      </c>
      <c r="N217" s="21" t="s">
        <v>2276</v>
      </c>
      <c r="O217" s="21" t="s">
        <v>2276</v>
      </c>
      <c r="P217" s="21" t="s">
        <v>2379</v>
      </c>
      <c r="Q217" s="102" t="s">
        <v>2276</v>
      </c>
      <c r="R217" s="102"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3" t="s">
        <v>2276</v>
      </c>
      <c r="L218" s="21" t="s">
        <v>2276</v>
      </c>
      <c r="M218" s="21" t="s">
        <v>2276</v>
      </c>
      <c r="N218" s="21" t="s">
        <v>2276</v>
      </c>
      <c r="O218" s="21" t="s">
        <v>2276</v>
      </c>
      <c r="P218" s="21" t="s">
        <v>2379</v>
      </c>
      <c r="Q218" s="102" t="s">
        <v>2276</v>
      </c>
      <c r="R218" s="102"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3" t="s">
        <v>2276</v>
      </c>
      <c r="L219" s="21" t="s">
        <v>2276</v>
      </c>
      <c r="M219" s="21" t="s">
        <v>2276</v>
      </c>
      <c r="N219" s="21" t="s">
        <v>2276</v>
      </c>
      <c r="O219" s="21" t="s">
        <v>2276</v>
      </c>
      <c r="P219" s="21" t="s">
        <v>2379</v>
      </c>
      <c r="Q219" s="102" t="s">
        <v>2276</v>
      </c>
      <c r="R219" s="102"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3" t="s">
        <v>2276</v>
      </c>
      <c r="L220" s="21" t="s">
        <v>2276</v>
      </c>
      <c r="M220" s="21" t="s">
        <v>2276</v>
      </c>
      <c r="N220" s="21" t="s">
        <v>2276</v>
      </c>
      <c r="O220" s="21" t="s">
        <v>2276</v>
      </c>
      <c r="P220" s="21" t="s">
        <v>2379</v>
      </c>
      <c r="Q220" s="102" t="s">
        <v>2276</v>
      </c>
      <c r="R220" s="102"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3" t="s">
        <v>2276</v>
      </c>
      <c r="L221" s="21" t="s">
        <v>2276</v>
      </c>
      <c r="M221" s="21" t="s">
        <v>2276</v>
      </c>
      <c r="N221" s="21" t="s">
        <v>2276</v>
      </c>
      <c r="O221" s="21" t="s">
        <v>2276</v>
      </c>
      <c r="P221" s="21" t="s">
        <v>2379</v>
      </c>
      <c r="Q221" s="102" t="s">
        <v>2276</v>
      </c>
      <c r="R221" s="102"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3" t="s">
        <v>2276</v>
      </c>
      <c r="L222" s="21" t="s">
        <v>2276</v>
      </c>
      <c r="M222" s="21" t="s">
        <v>2276</v>
      </c>
      <c r="N222" s="21" t="s">
        <v>2276</v>
      </c>
      <c r="O222" s="21" t="s">
        <v>2276</v>
      </c>
      <c r="P222" s="21" t="s">
        <v>2378</v>
      </c>
      <c r="Q222" s="102" t="s">
        <v>2276</v>
      </c>
      <c r="R222" s="102"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3" t="s">
        <v>2276</v>
      </c>
      <c r="L223" s="21" t="s">
        <v>2276</v>
      </c>
      <c r="M223" s="21" t="s">
        <v>2276</v>
      </c>
      <c r="N223" s="21" t="s">
        <v>2276</v>
      </c>
      <c r="O223" s="21" t="s">
        <v>2276</v>
      </c>
      <c r="P223" s="21" t="s">
        <v>2378</v>
      </c>
      <c r="Q223" s="102" t="s">
        <v>2276</v>
      </c>
      <c r="R223" s="102"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3" t="s">
        <v>2276</v>
      </c>
      <c r="L224" s="21" t="s">
        <v>2276</v>
      </c>
      <c r="M224" s="21" t="s">
        <v>2276</v>
      </c>
      <c r="N224" s="21" t="s">
        <v>2276</v>
      </c>
      <c r="O224" s="21" t="s">
        <v>2276</v>
      </c>
      <c r="P224" s="21" t="s">
        <v>2377</v>
      </c>
      <c r="Q224" s="102" t="s">
        <v>2276</v>
      </c>
      <c r="R224" s="102"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3" t="s">
        <v>2276</v>
      </c>
      <c r="L225" s="21" t="s">
        <v>2276</v>
      </c>
      <c r="M225" s="21" t="s">
        <v>2276</v>
      </c>
      <c r="N225" s="21" t="s">
        <v>2276</v>
      </c>
      <c r="O225" s="21" t="s">
        <v>2276</v>
      </c>
      <c r="P225" s="21" t="s">
        <v>2378</v>
      </c>
      <c r="Q225" s="102" t="s">
        <v>2276</v>
      </c>
      <c r="R225" s="102"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3" t="s">
        <v>2276</v>
      </c>
      <c r="L226" s="21" t="s">
        <v>2276</v>
      </c>
      <c r="M226" s="21" t="s">
        <v>2276</v>
      </c>
      <c r="N226" s="21" t="s">
        <v>2276</v>
      </c>
      <c r="O226" s="21" t="s">
        <v>2276</v>
      </c>
      <c r="P226" s="21" t="s">
        <v>2276</v>
      </c>
      <c r="Q226" s="102" t="s">
        <v>2276</v>
      </c>
      <c r="R226" s="102"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3" t="s">
        <v>2276</v>
      </c>
      <c r="L227" s="21" t="s">
        <v>2276</v>
      </c>
      <c r="M227" s="21" t="s">
        <v>2276</v>
      </c>
      <c r="N227" s="21" t="s">
        <v>2276</v>
      </c>
      <c r="O227" s="21" t="s">
        <v>2276</v>
      </c>
      <c r="P227" s="21" t="s">
        <v>2276</v>
      </c>
      <c r="Q227" s="102" t="s">
        <v>2276</v>
      </c>
      <c r="R227" s="102"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3" t="s">
        <v>2276</v>
      </c>
      <c r="L228" s="21" t="s">
        <v>2276</v>
      </c>
      <c r="M228" s="21" t="s">
        <v>2276</v>
      </c>
      <c r="N228" s="21" t="s">
        <v>2276</v>
      </c>
      <c r="O228" s="21" t="s">
        <v>2276</v>
      </c>
      <c r="P228" s="21" t="s">
        <v>2276</v>
      </c>
      <c r="Q228" s="102" t="s">
        <v>2276</v>
      </c>
      <c r="R228" s="102"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3" t="s">
        <v>2276</v>
      </c>
      <c r="L229" s="21" t="s">
        <v>2276</v>
      </c>
      <c r="M229" s="21" t="s">
        <v>2276</v>
      </c>
      <c r="N229" s="21" t="s">
        <v>2276</v>
      </c>
      <c r="O229" s="21" t="s">
        <v>2276</v>
      </c>
      <c r="P229" s="21" t="s">
        <v>2276</v>
      </c>
      <c r="Q229" s="102" t="s">
        <v>2276</v>
      </c>
      <c r="R229" s="102"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3" t="s">
        <v>2276</v>
      </c>
      <c r="L230" s="21" t="s">
        <v>2276</v>
      </c>
      <c r="M230" s="21" t="s">
        <v>2276</v>
      </c>
      <c r="N230" s="21" t="s">
        <v>2276</v>
      </c>
      <c r="O230" s="21" t="s">
        <v>2276</v>
      </c>
      <c r="P230" s="21" t="s">
        <v>2276</v>
      </c>
      <c r="Q230" s="102" t="s">
        <v>2276</v>
      </c>
      <c r="R230" s="102"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3" t="s">
        <v>2364</v>
      </c>
      <c r="L231" s="21" t="s">
        <v>2364</v>
      </c>
      <c r="M231" s="21" t="s">
        <v>2364</v>
      </c>
      <c r="N231" s="21" t="s">
        <v>2364</v>
      </c>
      <c r="O231" s="21" t="s">
        <v>2364</v>
      </c>
      <c r="P231" s="21" t="s">
        <v>2364</v>
      </c>
      <c r="Q231" s="102" t="s">
        <v>2276</v>
      </c>
      <c r="R231" s="102"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3" t="s">
        <v>2276</v>
      </c>
      <c r="L232" s="21" t="s">
        <v>2276</v>
      </c>
      <c r="M232" s="21" t="s">
        <v>2276</v>
      </c>
      <c r="N232" s="21" t="s">
        <v>2276</v>
      </c>
      <c r="O232" s="21" t="s">
        <v>2276</v>
      </c>
      <c r="P232" s="21" t="s">
        <v>2276</v>
      </c>
      <c r="Q232" s="102" t="s">
        <v>2276</v>
      </c>
      <c r="R232" s="102"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3" t="s">
        <v>2276</v>
      </c>
      <c r="L233" s="21" t="s">
        <v>2276</v>
      </c>
      <c r="M233" s="21" t="s">
        <v>2276</v>
      </c>
      <c r="N233" s="21" t="s">
        <v>2276</v>
      </c>
      <c r="O233" s="21" t="s">
        <v>2276</v>
      </c>
      <c r="P233" s="21" t="s">
        <v>2276</v>
      </c>
      <c r="Q233" s="102" t="s">
        <v>2276</v>
      </c>
      <c r="R233" s="102"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3" t="s">
        <v>2276</v>
      </c>
      <c r="L234" s="21" t="s">
        <v>2276</v>
      </c>
      <c r="M234" s="21" t="s">
        <v>2276</v>
      </c>
      <c r="N234" s="21" t="s">
        <v>2276</v>
      </c>
      <c r="O234" s="21" t="s">
        <v>2276</v>
      </c>
      <c r="P234" s="21" t="s">
        <v>2276</v>
      </c>
      <c r="Q234" s="102" t="s">
        <v>2276</v>
      </c>
      <c r="R234" s="102"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3" t="s">
        <v>2364</v>
      </c>
      <c r="L235" s="21" t="s">
        <v>2364</v>
      </c>
      <c r="M235" s="21" t="s">
        <v>2364</v>
      </c>
      <c r="N235" s="21" t="s">
        <v>2364</v>
      </c>
      <c r="O235" s="21" t="s">
        <v>2364</v>
      </c>
      <c r="P235" s="21" t="s">
        <v>2364</v>
      </c>
      <c r="Q235" s="102" t="s">
        <v>2276</v>
      </c>
      <c r="R235" s="102"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3" t="s">
        <v>2276</v>
      </c>
      <c r="L236" s="21" t="s">
        <v>2276</v>
      </c>
      <c r="M236" s="21" t="s">
        <v>2276</v>
      </c>
      <c r="N236" s="21" t="s">
        <v>2276</v>
      </c>
      <c r="O236" s="21" t="s">
        <v>2276</v>
      </c>
      <c r="P236" s="21" t="s">
        <v>2276</v>
      </c>
      <c r="Q236" s="102" t="s">
        <v>2276</v>
      </c>
      <c r="R236" s="102"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3" t="s">
        <v>2276</v>
      </c>
      <c r="L237" s="21" t="s">
        <v>2276</v>
      </c>
      <c r="M237" s="21" t="s">
        <v>2276</v>
      </c>
      <c r="N237" s="21" t="s">
        <v>2276</v>
      </c>
      <c r="O237" s="21" t="s">
        <v>2276</v>
      </c>
      <c r="P237" s="21" t="s">
        <v>2276</v>
      </c>
      <c r="Q237" s="102" t="s">
        <v>2276</v>
      </c>
      <c r="R237" s="102"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3" t="s">
        <v>2364</v>
      </c>
      <c r="L238" s="21" t="s">
        <v>2364</v>
      </c>
      <c r="M238" s="21" t="s">
        <v>2364</v>
      </c>
      <c r="N238" s="21" t="s">
        <v>2364</v>
      </c>
      <c r="O238" s="21" t="s">
        <v>2364</v>
      </c>
      <c r="P238" s="21" t="s">
        <v>2364</v>
      </c>
      <c r="Q238" s="102" t="s">
        <v>2276</v>
      </c>
      <c r="R238" s="102"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3" t="s">
        <v>2364</v>
      </c>
      <c r="L239" s="21" t="s">
        <v>2364</v>
      </c>
      <c r="M239" s="21" t="s">
        <v>2364</v>
      </c>
      <c r="N239" s="21" t="s">
        <v>2364</v>
      </c>
      <c r="O239" s="21" t="s">
        <v>2364</v>
      </c>
      <c r="P239" s="21" t="s">
        <v>2364</v>
      </c>
      <c r="Q239" s="102" t="s">
        <v>2276</v>
      </c>
      <c r="R239" s="102"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3" t="s">
        <v>2364</v>
      </c>
      <c r="L240" s="21" t="s">
        <v>2364</v>
      </c>
      <c r="M240" s="21" t="s">
        <v>2364</v>
      </c>
      <c r="N240" s="21" t="s">
        <v>2364</v>
      </c>
      <c r="O240" s="21" t="s">
        <v>2364</v>
      </c>
      <c r="P240" s="21" t="s">
        <v>2364</v>
      </c>
      <c r="Q240" s="102" t="s">
        <v>2276</v>
      </c>
      <c r="R240" s="102"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3" t="s">
        <v>2276</v>
      </c>
      <c r="L241" s="21" t="s">
        <v>2276</v>
      </c>
      <c r="M241" s="21" t="s">
        <v>2276</v>
      </c>
      <c r="N241" s="21" t="s">
        <v>2276</v>
      </c>
      <c r="O241" s="21" t="s">
        <v>2276</v>
      </c>
      <c r="P241" s="21" t="s">
        <v>2276</v>
      </c>
      <c r="Q241" s="102" t="s">
        <v>2276</v>
      </c>
      <c r="R241" s="102"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7" t="s">
        <v>2276</v>
      </c>
      <c r="K242" s="109" t="s">
        <v>2276</v>
      </c>
      <c r="L242" s="77" t="s">
        <v>2276</v>
      </c>
      <c r="M242" s="77" t="s">
        <v>2276</v>
      </c>
      <c r="N242" s="77" t="s">
        <v>2276</v>
      </c>
      <c r="O242" s="77" t="s">
        <v>2276</v>
      </c>
      <c r="P242" s="77" t="s">
        <v>2276</v>
      </c>
      <c r="Q242" s="102" t="s">
        <v>2276</v>
      </c>
      <c r="R242" s="102" t="s">
        <v>2276</v>
      </c>
      <c r="S242" s="21" t="s">
        <v>2527</v>
      </c>
      <c r="T242" s="77" t="s">
        <v>2276</v>
      </c>
      <c r="U242" s="77" t="s">
        <v>2527</v>
      </c>
      <c r="V242" s="77" t="s">
        <v>2276</v>
      </c>
      <c r="W242" s="77"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7" t="s">
        <v>2276</v>
      </c>
      <c r="K243" s="109" t="s">
        <v>2276</v>
      </c>
      <c r="L243" s="77" t="s">
        <v>2276</v>
      </c>
      <c r="M243" s="77" t="s">
        <v>2276</v>
      </c>
      <c r="N243" s="77" t="s">
        <v>2276</v>
      </c>
      <c r="O243" s="77" t="s">
        <v>2276</v>
      </c>
      <c r="P243" s="77" t="s">
        <v>2276</v>
      </c>
      <c r="Q243" s="102" t="s">
        <v>2276</v>
      </c>
      <c r="R243" s="102" t="s">
        <v>2276</v>
      </c>
      <c r="S243" s="77" t="s">
        <v>2276</v>
      </c>
      <c r="T243" s="77" t="s">
        <v>2276</v>
      </c>
      <c r="U243" s="77" t="s">
        <v>2276</v>
      </c>
      <c r="V243" s="77" t="s">
        <v>2276</v>
      </c>
      <c r="W243" s="77"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3" t="s">
        <v>2276</v>
      </c>
      <c r="L244" s="21" t="s">
        <v>2276</v>
      </c>
      <c r="M244" s="21" t="s">
        <v>2276</v>
      </c>
      <c r="N244" s="21" t="s">
        <v>2276</v>
      </c>
      <c r="O244" s="21" t="s">
        <v>2276</v>
      </c>
      <c r="P244" s="21" t="s">
        <v>2276</v>
      </c>
      <c r="Q244" s="102" t="s">
        <v>2276</v>
      </c>
      <c r="R244" s="102"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3" t="s">
        <v>2276</v>
      </c>
      <c r="L245" s="21" t="s">
        <v>2276</v>
      </c>
      <c r="M245" s="21" t="s">
        <v>2276</v>
      </c>
      <c r="N245" s="21" t="s">
        <v>2276</v>
      </c>
      <c r="O245" s="21" t="s">
        <v>2276</v>
      </c>
      <c r="P245" s="21" t="s">
        <v>2276</v>
      </c>
      <c r="Q245" s="102" t="s">
        <v>2276</v>
      </c>
      <c r="R245" s="102"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3" t="s">
        <v>2276</v>
      </c>
      <c r="L246" s="21" t="s">
        <v>2276</v>
      </c>
      <c r="M246" s="21" t="s">
        <v>2276</v>
      </c>
      <c r="N246" s="21" t="s">
        <v>2276</v>
      </c>
      <c r="O246" s="21" t="s">
        <v>2276</v>
      </c>
      <c r="P246" s="21" t="s">
        <v>2276</v>
      </c>
      <c r="Q246" s="102" t="s">
        <v>2276</v>
      </c>
      <c r="R246" s="102"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3" t="s">
        <v>2276</v>
      </c>
      <c r="L247" s="21" t="s">
        <v>2276</v>
      </c>
      <c r="M247" s="21" t="s">
        <v>2276</v>
      </c>
      <c r="N247" s="21" t="s">
        <v>2276</v>
      </c>
      <c r="O247" s="21" t="s">
        <v>2276</v>
      </c>
      <c r="P247" s="21" t="s">
        <v>2276</v>
      </c>
      <c r="Q247" s="102" t="s">
        <v>2276</v>
      </c>
      <c r="R247" s="102"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3" t="s">
        <v>2276</v>
      </c>
      <c r="L248" s="21" t="s">
        <v>2276</v>
      </c>
      <c r="M248" s="21" t="s">
        <v>2276</v>
      </c>
      <c r="N248" s="21" t="s">
        <v>2276</v>
      </c>
      <c r="O248" s="21" t="s">
        <v>2276</v>
      </c>
      <c r="P248" s="21" t="s">
        <v>2276</v>
      </c>
      <c r="Q248" s="102" t="s">
        <v>2276</v>
      </c>
      <c r="R248" s="102"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3" t="s">
        <v>2364</v>
      </c>
      <c r="L249" s="21" t="s">
        <v>2364</v>
      </c>
      <c r="M249" s="21" t="s">
        <v>2364</v>
      </c>
      <c r="N249" s="21" t="s">
        <v>2364</v>
      </c>
      <c r="O249" s="21" t="s">
        <v>2364</v>
      </c>
      <c r="P249" s="21" t="s">
        <v>2364</v>
      </c>
      <c r="Q249" s="102" t="s">
        <v>2276</v>
      </c>
      <c r="R249" s="102"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3" t="s">
        <v>2364</v>
      </c>
      <c r="L250" s="21" t="s">
        <v>2364</v>
      </c>
      <c r="M250" s="21" t="s">
        <v>2364</v>
      </c>
      <c r="N250" s="21" t="s">
        <v>2364</v>
      </c>
      <c r="O250" s="21" t="s">
        <v>2364</v>
      </c>
      <c r="P250" s="21" t="s">
        <v>2364</v>
      </c>
      <c r="Q250" s="102" t="s">
        <v>2276</v>
      </c>
      <c r="R250" s="102"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3" t="s">
        <v>2276</v>
      </c>
      <c r="L251" s="21" t="s">
        <v>2276</v>
      </c>
      <c r="M251" s="21" t="s">
        <v>2276</v>
      </c>
      <c r="N251" s="21" t="s">
        <v>2276</v>
      </c>
      <c r="O251" s="21" t="s">
        <v>2276</v>
      </c>
      <c r="P251" s="21" t="s">
        <v>2276</v>
      </c>
      <c r="Q251" s="102" t="s">
        <v>2276</v>
      </c>
      <c r="R251" s="102"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3" t="s">
        <v>2364</v>
      </c>
      <c r="L252" s="21" t="s">
        <v>2364</v>
      </c>
      <c r="M252" s="21" t="s">
        <v>2364</v>
      </c>
      <c r="N252" s="21" t="s">
        <v>2364</v>
      </c>
      <c r="O252" s="21" t="s">
        <v>2364</v>
      </c>
      <c r="P252" s="21" t="s">
        <v>2364</v>
      </c>
      <c r="Q252" s="102" t="s">
        <v>2276</v>
      </c>
      <c r="R252" s="102"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3" t="s">
        <v>2364</v>
      </c>
      <c r="L253" s="21" t="s">
        <v>2364</v>
      </c>
      <c r="M253" s="21" t="s">
        <v>2364</v>
      </c>
      <c r="N253" s="21" t="s">
        <v>2364</v>
      </c>
      <c r="O253" s="21" t="s">
        <v>2364</v>
      </c>
      <c r="P253" s="21" t="s">
        <v>2364</v>
      </c>
      <c r="Q253" s="102" t="s">
        <v>2276</v>
      </c>
      <c r="R253" s="102"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3" t="s">
        <v>2364</v>
      </c>
      <c r="L254" s="21" t="s">
        <v>2364</v>
      </c>
      <c r="M254" s="21" t="s">
        <v>2364</v>
      </c>
      <c r="N254" s="21" t="s">
        <v>2364</v>
      </c>
      <c r="O254" s="21" t="s">
        <v>2364</v>
      </c>
      <c r="P254" s="21" t="s">
        <v>2364</v>
      </c>
      <c r="Q254" s="102" t="s">
        <v>2276</v>
      </c>
      <c r="R254" s="102"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3" t="s">
        <v>2364</v>
      </c>
      <c r="L255" s="21" t="s">
        <v>2364</v>
      </c>
      <c r="M255" s="21" t="s">
        <v>2364</v>
      </c>
      <c r="N255" s="21" t="s">
        <v>2364</v>
      </c>
      <c r="O255" s="21" t="s">
        <v>2364</v>
      </c>
      <c r="P255" s="21" t="s">
        <v>2364</v>
      </c>
      <c r="Q255" s="102" t="s">
        <v>2276</v>
      </c>
      <c r="R255" s="102"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3" t="s">
        <v>2364</v>
      </c>
      <c r="L256" s="21" t="s">
        <v>2364</v>
      </c>
      <c r="M256" s="21" t="s">
        <v>2364</v>
      </c>
      <c r="N256" s="21" t="s">
        <v>2364</v>
      </c>
      <c r="O256" s="21" t="s">
        <v>2364</v>
      </c>
      <c r="P256" s="21" t="s">
        <v>2364</v>
      </c>
      <c r="Q256" s="102" t="s">
        <v>2276</v>
      </c>
      <c r="R256" s="102"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3" t="s">
        <v>2364</v>
      </c>
      <c r="L257" s="21" t="s">
        <v>2364</v>
      </c>
      <c r="M257" s="21" t="s">
        <v>2364</v>
      </c>
      <c r="N257" s="21" t="s">
        <v>2364</v>
      </c>
      <c r="O257" s="21" t="s">
        <v>2364</v>
      </c>
      <c r="P257" s="21" t="s">
        <v>2364</v>
      </c>
      <c r="Q257" s="102" t="s">
        <v>2276</v>
      </c>
      <c r="R257" s="102"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3" t="s">
        <v>2364</v>
      </c>
      <c r="L258" s="21" t="s">
        <v>2364</v>
      </c>
      <c r="M258" s="21" t="s">
        <v>2364</v>
      </c>
      <c r="N258" s="21" t="s">
        <v>2364</v>
      </c>
      <c r="O258" s="21" t="s">
        <v>2364</v>
      </c>
      <c r="P258" s="21" t="s">
        <v>2364</v>
      </c>
      <c r="Q258" s="102" t="s">
        <v>2276</v>
      </c>
      <c r="R258" s="102"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3" t="s">
        <v>2276</v>
      </c>
      <c r="L259" s="21" t="s">
        <v>2276</v>
      </c>
      <c r="M259" s="21" t="s">
        <v>2276</v>
      </c>
      <c r="N259" s="21" t="s">
        <v>2276</v>
      </c>
      <c r="O259" s="21" t="s">
        <v>2276</v>
      </c>
      <c r="P259" s="21" t="s">
        <v>2276</v>
      </c>
      <c r="Q259" s="102" t="s">
        <v>2276</v>
      </c>
      <c r="R259" s="102"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3" t="s">
        <v>2364</v>
      </c>
      <c r="K260" s="111" t="s">
        <v>2364</v>
      </c>
      <c r="L260" s="73" t="s">
        <v>2364</v>
      </c>
      <c r="M260" s="73" t="s">
        <v>2364</v>
      </c>
      <c r="N260" s="73" t="s">
        <v>2364</v>
      </c>
      <c r="O260" s="73" t="s">
        <v>2364</v>
      </c>
      <c r="P260" s="73" t="s">
        <v>2364</v>
      </c>
      <c r="Q260" s="102" t="s">
        <v>2276</v>
      </c>
      <c r="R260" s="102" t="s">
        <v>2276</v>
      </c>
      <c r="S260" s="73" t="s">
        <v>2364</v>
      </c>
      <c r="T260" s="73" t="s">
        <v>2364</v>
      </c>
      <c r="U260" s="73" t="s">
        <v>2364</v>
      </c>
      <c r="V260" s="73"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3" t="s">
        <v>2364</v>
      </c>
      <c r="L261" s="21" t="s">
        <v>2364</v>
      </c>
      <c r="M261" s="21" t="s">
        <v>2364</v>
      </c>
      <c r="N261" s="21" t="s">
        <v>2364</v>
      </c>
      <c r="O261" s="21" t="s">
        <v>2364</v>
      </c>
      <c r="P261" s="21" t="s">
        <v>2364</v>
      </c>
      <c r="Q261" s="102" t="s">
        <v>2276</v>
      </c>
      <c r="R261" s="102"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3" t="s">
        <v>2276</v>
      </c>
      <c r="L262" s="21" t="s">
        <v>2276</v>
      </c>
      <c r="M262" s="21" t="s">
        <v>2276</v>
      </c>
      <c r="N262" s="21" t="s">
        <v>2276</v>
      </c>
      <c r="O262" s="21" t="s">
        <v>2276</v>
      </c>
      <c r="P262" s="21" t="s">
        <v>2276</v>
      </c>
      <c r="Q262" s="102" t="s">
        <v>2276</v>
      </c>
      <c r="R262" s="102"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3" t="s">
        <v>2364</v>
      </c>
      <c r="L263" s="21" t="s">
        <v>2364</v>
      </c>
      <c r="M263" s="21" t="s">
        <v>2364</v>
      </c>
      <c r="N263" s="21" t="s">
        <v>2364</v>
      </c>
      <c r="O263" s="21" t="s">
        <v>2364</v>
      </c>
      <c r="P263" s="21" t="s">
        <v>2364</v>
      </c>
      <c r="Q263" s="102" t="s">
        <v>2276</v>
      </c>
      <c r="R263" s="102"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3" t="s">
        <v>2364</v>
      </c>
      <c r="L264" s="21" t="s">
        <v>2364</v>
      </c>
      <c r="M264" s="21" t="s">
        <v>2364</v>
      </c>
      <c r="N264" s="21" t="s">
        <v>2364</v>
      </c>
      <c r="O264" s="21" t="s">
        <v>2364</v>
      </c>
      <c r="P264" s="21" t="s">
        <v>2364</v>
      </c>
      <c r="Q264" s="102" t="s">
        <v>2276</v>
      </c>
      <c r="R264" s="102"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3" t="s">
        <v>2276</v>
      </c>
      <c r="K265" s="111" t="s">
        <v>2276</v>
      </c>
      <c r="L265" s="73" t="s">
        <v>2276</v>
      </c>
      <c r="M265" s="73" t="s">
        <v>2276</v>
      </c>
      <c r="N265" s="73" t="s">
        <v>2276</v>
      </c>
      <c r="O265" s="73" t="s">
        <v>2276</v>
      </c>
      <c r="P265" s="73" t="s">
        <v>2276</v>
      </c>
      <c r="Q265" s="102" t="s">
        <v>2276</v>
      </c>
      <c r="R265" s="102" t="s">
        <v>2276</v>
      </c>
      <c r="S265" s="73" t="s">
        <v>2276</v>
      </c>
      <c r="T265" s="73" t="s">
        <v>2276</v>
      </c>
      <c r="U265" s="73" t="s">
        <v>2376</v>
      </c>
      <c r="V265" s="73" t="s">
        <v>2276</v>
      </c>
      <c r="W265" s="73"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3" t="s">
        <v>2364</v>
      </c>
      <c r="L266" s="21" t="s">
        <v>2364</v>
      </c>
      <c r="M266" s="21" t="s">
        <v>2364</v>
      </c>
      <c r="N266" s="21" t="s">
        <v>2364</v>
      </c>
      <c r="O266" s="21" t="s">
        <v>2364</v>
      </c>
      <c r="P266" s="21" t="s">
        <v>2364</v>
      </c>
      <c r="Q266" s="102" t="s">
        <v>2276</v>
      </c>
      <c r="R266" s="102"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3" t="s">
        <v>2364</v>
      </c>
      <c r="L267" s="21" t="s">
        <v>2364</v>
      </c>
      <c r="M267" s="21" t="s">
        <v>2364</v>
      </c>
      <c r="N267" s="21" t="s">
        <v>2364</v>
      </c>
      <c r="O267" s="21" t="s">
        <v>2364</v>
      </c>
      <c r="P267" s="21" t="s">
        <v>2364</v>
      </c>
      <c r="Q267" s="102" t="s">
        <v>2276</v>
      </c>
      <c r="R267" s="102"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3" t="s">
        <v>2364</v>
      </c>
      <c r="K268" s="111" t="s">
        <v>2364</v>
      </c>
      <c r="L268" s="73" t="s">
        <v>2364</v>
      </c>
      <c r="M268" s="73" t="s">
        <v>2364</v>
      </c>
      <c r="N268" s="73" t="s">
        <v>2364</v>
      </c>
      <c r="O268" s="73" t="s">
        <v>2364</v>
      </c>
      <c r="P268" s="73" t="s">
        <v>2364</v>
      </c>
      <c r="Q268" s="102" t="s">
        <v>2276</v>
      </c>
      <c r="R268" s="102" t="s">
        <v>2276</v>
      </c>
      <c r="S268" s="73" t="s">
        <v>2364</v>
      </c>
      <c r="T268" s="73" t="s">
        <v>2364</v>
      </c>
      <c r="U268" s="73" t="s">
        <v>2364</v>
      </c>
      <c r="V268" s="73"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3" t="s">
        <v>2364</v>
      </c>
      <c r="L269" s="21" t="s">
        <v>2364</v>
      </c>
      <c r="M269" s="21" t="s">
        <v>2364</v>
      </c>
      <c r="N269" s="21" t="s">
        <v>2364</v>
      </c>
      <c r="O269" s="21" t="s">
        <v>2364</v>
      </c>
      <c r="P269" s="21" t="s">
        <v>2364</v>
      </c>
      <c r="Q269" s="102" t="s">
        <v>2276</v>
      </c>
      <c r="R269" s="102"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3" t="s">
        <v>2276</v>
      </c>
      <c r="L270" s="21" t="s">
        <v>2276</v>
      </c>
      <c r="M270" s="21" t="s">
        <v>2276</v>
      </c>
      <c r="N270" s="21" t="s">
        <v>2276</v>
      </c>
      <c r="O270" s="21" t="s">
        <v>2276</v>
      </c>
      <c r="P270" s="21" t="s">
        <v>2276</v>
      </c>
      <c r="Q270" s="102" t="s">
        <v>2276</v>
      </c>
      <c r="R270" s="102"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3" t="s">
        <v>2364</v>
      </c>
      <c r="L271" s="21" t="s">
        <v>2364</v>
      </c>
      <c r="M271" s="21" t="s">
        <v>2364</v>
      </c>
      <c r="N271" s="21" t="s">
        <v>2364</v>
      </c>
      <c r="O271" s="21" t="s">
        <v>2364</v>
      </c>
      <c r="P271" s="21" t="s">
        <v>2364</v>
      </c>
      <c r="Q271" s="102" t="s">
        <v>2276</v>
      </c>
      <c r="R271" s="102"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3" t="s">
        <v>2364</v>
      </c>
      <c r="L272" s="21" t="s">
        <v>2364</v>
      </c>
      <c r="M272" s="21" t="s">
        <v>2364</v>
      </c>
      <c r="N272" s="21" t="s">
        <v>2364</v>
      </c>
      <c r="O272" s="21" t="s">
        <v>2364</v>
      </c>
      <c r="P272" s="21" t="s">
        <v>2364</v>
      </c>
      <c r="Q272" s="102" t="s">
        <v>2276</v>
      </c>
      <c r="R272" s="102"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3" t="s">
        <v>2276</v>
      </c>
      <c r="L273" s="21" t="s">
        <v>2276</v>
      </c>
      <c r="M273" s="21" t="s">
        <v>2276</v>
      </c>
      <c r="N273" s="21" t="s">
        <v>2276</v>
      </c>
      <c r="O273" s="21" t="s">
        <v>2276</v>
      </c>
      <c r="P273" s="21" t="s">
        <v>2276</v>
      </c>
      <c r="Q273" s="102" t="s">
        <v>2276</v>
      </c>
      <c r="R273" s="102"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3" t="s">
        <v>2276</v>
      </c>
      <c r="L274" s="21" t="s">
        <v>2276</v>
      </c>
      <c r="M274" s="21" t="s">
        <v>2276</v>
      </c>
      <c r="N274" s="21" t="s">
        <v>2276</v>
      </c>
      <c r="O274" s="21" t="s">
        <v>2276</v>
      </c>
      <c r="P274" s="21" t="s">
        <v>2276</v>
      </c>
      <c r="Q274" s="102" t="s">
        <v>2276</v>
      </c>
      <c r="R274" s="102"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3" t="s">
        <v>2276</v>
      </c>
      <c r="L275" s="21" t="s">
        <v>2276</v>
      </c>
      <c r="M275" s="21" t="s">
        <v>2276</v>
      </c>
      <c r="N275" s="21" t="s">
        <v>2276</v>
      </c>
      <c r="O275" s="21" t="s">
        <v>2276</v>
      </c>
      <c r="P275" s="21" t="s">
        <v>2276</v>
      </c>
      <c r="Q275" s="102" t="s">
        <v>2276</v>
      </c>
      <c r="R275" s="102"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3" t="s">
        <v>2364</v>
      </c>
      <c r="L276" s="21" t="s">
        <v>2364</v>
      </c>
      <c r="M276" s="21" t="s">
        <v>2364</v>
      </c>
      <c r="N276" s="21" t="s">
        <v>2364</v>
      </c>
      <c r="O276" s="21" t="s">
        <v>2364</v>
      </c>
      <c r="P276" s="21" t="s">
        <v>2364</v>
      </c>
      <c r="Q276" s="102" t="s">
        <v>2276</v>
      </c>
      <c r="R276" s="102"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3" t="s">
        <v>2276</v>
      </c>
      <c r="L277" s="21" t="s">
        <v>2276</v>
      </c>
      <c r="M277" s="21" t="s">
        <v>2276</v>
      </c>
      <c r="N277" s="21" t="s">
        <v>2276</v>
      </c>
      <c r="O277" s="21" t="s">
        <v>2276</v>
      </c>
      <c r="P277" s="21" t="s">
        <v>2276</v>
      </c>
      <c r="Q277" s="102" t="s">
        <v>2276</v>
      </c>
      <c r="R277" s="102"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3" t="s">
        <v>2276</v>
      </c>
      <c r="L278" s="21" t="s">
        <v>2276</v>
      </c>
      <c r="M278" s="21" t="s">
        <v>2276</v>
      </c>
      <c r="N278" s="21" t="s">
        <v>2276</v>
      </c>
      <c r="O278" s="21" t="s">
        <v>2276</v>
      </c>
      <c r="P278" s="21" t="s">
        <v>2276</v>
      </c>
      <c r="Q278" s="102" t="s">
        <v>2276</v>
      </c>
      <c r="R278" s="102"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3" t="s">
        <v>2364</v>
      </c>
      <c r="L279" s="21" t="s">
        <v>2364</v>
      </c>
      <c r="M279" s="21" t="s">
        <v>2364</v>
      </c>
      <c r="N279" s="21" t="s">
        <v>2364</v>
      </c>
      <c r="O279" s="21" t="s">
        <v>2364</v>
      </c>
      <c r="P279" s="21" t="s">
        <v>2364</v>
      </c>
      <c r="Q279" s="102" t="s">
        <v>2276</v>
      </c>
      <c r="R279" s="102"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3" t="s">
        <v>2276</v>
      </c>
      <c r="L280" s="21" t="s">
        <v>2276</v>
      </c>
      <c r="M280" s="21" t="s">
        <v>2276</v>
      </c>
      <c r="N280" s="21" t="s">
        <v>2276</v>
      </c>
      <c r="O280" s="21" t="s">
        <v>2276</v>
      </c>
      <c r="P280" s="21" t="s">
        <v>2276</v>
      </c>
      <c r="Q280" s="102" t="s">
        <v>2276</v>
      </c>
      <c r="R280" s="102"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3" t="s">
        <v>2276</v>
      </c>
      <c r="L281" s="21" t="s">
        <v>2276</v>
      </c>
      <c r="M281" s="21" t="s">
        <v>2276</v>
      </c>
      <c r="N281" s="21" t="s">
        <v>2276</v>
      </c>
      <c r="O281" s="21" t="s">
        <v>2276</v>
      </c>
      <c r="P281" s="21" t="s">
        <v>2276</v>
      </c>
      <c r="Q281" s="102" t="s">
        <v>2276</v>
      </c>
      <c r="R281" s="102"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3" t="s">
        <v>2364</v>
      </c>
      <c r="L282" s="21" t="s">
        <v>2364</v>
      </c>
      <c r="M282" s="21" t="s">
        <v>2364</v>
      </c>
      <c r="N282" s="21" t="s">
        <v>2364</v>
      </c>
      <c r="O282" s="21" t="s">
        <v>2364</v>
      </c>
      <c r="P282" s="21" t="s">
        <v>2364</v>
      </c>
      <c r="Q282" s="102" t="s">
        <v>2276</v>
      </c>
      <c r="R282" s="102"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3" t="s">
        <v>2276</v>
      </c>
      <c r="L283" s="21" t="s">
        <v>2276</v>
      </c>
      <c r="M283" s="21" t="s">
        <v>2276</v>
      </c>
      <c r="N283" s="21" t="s">
        <v>2276</v>
      </c>
      <c r="O283" s="21" t="s">
        <v>2276</v>
      </c>
      <c r="P283" s="21" t="s">
        <v>2276</v>
      </c>
      <c r="Q283" s="102" t="s">
        <v>2276</v>
      </c>
      <c r="R283" s="102"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3" t="s">
        <v>2276</v>
      </c>
      <c r="L284" s="21" t="s">
        <v>2276</v>
      </c>
      <c r="M284" s="21" t="s">
        <v>2276</v>
      </c>
      <c r="N284" s="21" t="s">
        <v>2276</v>
      </c>
      <c r="O284" s="21" t="s">
        <v>2276</v>
      </c>
      <c r="P284" s="21" t="s">
        <v>2276</v>
      </c>
      <c r="Q284" s="102" t="s">
        <v>2276</v>
      </c>
      <c r="R284" s="102"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3" t="s">
        <v>2364</v>
      </c>
      <c r="L285" s="21" t="s">
        <v>2364</v>
      </c>
      <c r="M285" s="21" t="s">
        <v>2364</v>
      </c>
      <c r="N285" s="21" t="s">
        <v>2364</v>
      </c>
      <c r="O285" s="21" t="s">
        <v>2364</v>
      </c>
      <c r="P285" s="21" t="s">
        <v>2364</v>
      </c>
      <c r="Q285" s="102" t="s">
        <v>2276</v>
      </c>
      <c r="R285" s="102"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3" t="s">
        <v>2276</v>
      </c>
      <c r="L286" s="21" t="s">
        <v>2276</v>
      </c>
      <c r="M286" s="21" t="s">
        <v>2276</v>
      </c>
      <c r="N286" s="21" t="s">
        <v>2276</v>
      </c>
      <c r="O286" s="21" t="s">
        <v>2276</v>
      </c>
      <c r="P286" s="21" t="s">
        <v>2276</v>
      </c>
      <c r="Q286" s="102" t="s">
        <v>2276</v>
      </c>
      <c r="R286" s="102"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3" t="s">
        <v>2364</v>
      </c>
      <c r="L287" s="21" t="s">
        <v>2364</v>
      </c>
      <c r="M287" s="21" t="s">
        <v>2364</v>
      </c>
      <c r="N287" s="21" t="s">
        <v>2364</v>
      </c>
      <c r="O287" s="21" t="s">
        <v>2364</v>
      </c>
      <c r="P287" s="21" t="s">
        <v>2364</v>
      </c>
      <c r="Q287" s="102" t="s">
        <v>2276</v>
      </c>
      <c r="R287" s="102"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3" t="s">
        <v>2276</v>
      </c>
      <c r="L288" s="21" t="s">
        <v>2276</v>
      </c>
      <c r="M288" s="21" t="s">
        <v>2276</v>
      </c>
      <c r="N288" s="21" t="s">
        <v>2276</v>
      </c>
      <c r="O288" s="21" t="s">
        <v>2276</v>
      </c>
      <c r="P288" s="21" t="s">
        <v>2276</v>
      </c>
      <c r="Q288" s="102" t="s">
        <v>2276</v>
      </c>
      <c r="R288" s="102"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3" t="s">
        <v>2276</v>
      </c>
      <c r="L289" s="21" t="s">
        <v>2276</v>
      </c>
      <c r="M289" s="21" t="s">
        <v>2276</v>
      </c>
      <c r="N289" s="21" t="s">
        <v>2276</v>
      </c>
      <c r="O289" s="21" t="s">
        <v>2276</v>
      </c>
      <c r="P289" s="21" t="s">
        <v>2276</v>
      </c>
      <c r="Q289" s="102" t="s">
        <v>2276</v>
      </c>
      <c r="R289" s="102"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3" t="s">
        <v>2276</v>
      </c>
      <c r="L290" s="21" t="s">
        <v>2276</v>
      </c>
      <c r="M290" s="21" t="s">
        <v>2276</v>
      </c>
      <c r="N290" s="21" t="s">
        <v>2276</v>
      </c>
      <c r="O290" s="21" t="s">
        <v>2276</v>
      </c>
      <c r="P290" s="21" t="s">
        <v>2276</v>
      </c>
      <c r="Q290" s="102" t="s">
        <v>2276</v>
      </c>
      <c r="R290" s="102"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3" t="s">
        <v>2276</v>
      </c>
      <c r="L291" s="21" t="s">
        <v>2276</v>
      </c>
      <c r="M291" s="21" t="s">
        <v>2276</v>
      </c>
      <c r="N291" s="21" t="s">
        <v>2276</v>
      </c>
      <c r="O291" s="21" t="s">
        <v>2276</v>
      </c>
      <c r="P291" s="21" t="s">
        <v>2276</v>
      </c>
      <c r="Q291" s="102" t="s">
        <v>2276</v>
      </c>
      <c r="R291" s="102"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3" t="s">
        <v>2276</v>
      </c>
      <c r="L292" s="21" t="s">
        <v>2276</v>
      </c>
      <c r="M292" s="21" t="s">
        <v>2276</v>
      </c>
      <c r="N292" s="21" t="s">
        <v>2276</v>
      </c>
      <c r="O292" s="21" t="s">
        <v>2276</v>
      </c>
      <c r="P292" s="21" t="s">
        <v>2276</v>
      </c>
      <c r="Q292" s="102" t="s">
        <v>2276</v>
      </c>
      <c r="R292" s="102"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3" t="s">
        <v>2276</v>
      </c>
      <c r="L293" s="21" t="s">
        <v>2276</v>
      </c>
      <c r="M293" s="21" t="s">
        <v>2276</v>
      </c>
      <c r="N293" s="21" t="s">
        <v>2276</v>
      </c>
      <c r="O293" s="21" t="s">
        <v>2276</v>
      </c>
      <c r="P293" s="21" t="s">
        <v>2276</v>
      </c>
      <c r="Q293" s="102" t="s">
        <v>2276</v>
      </c>
      <c r="R293" s="102"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3" t="s">
        <v>2276</v>
      </c>
      <c r="L294" s="21" t="s">
        <v>2276</v>
      </c>
      <c r="M294" s="21" t="s">
        <v>2276</v>
      </c>
      <c r="N294" s="21" t="s">
        <v>2276</v>
      </c>
      <c r="O294" s="21" t="s">
        <v>2276</v>
      </c>
      <c r="P294" s="21" t="s">
        <v>2276</v>
      </c>
      <c r="Q294" s="102" t="s">
        <v>2276</v>
      </c>
      <c r="R294" s="102"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3" t="s">
        <v>2276</v>
      </c>
      <c r="L295" s="21" t="s">
        <v>2276</v>
      </c>
      <c r="M295" s="21" t="s">
        <v>2276</v>
      </c>
      <c r="N295" s="21" t="s">
        <v>2276</v>
      </c>
      <c r="O295" s="21" t="s">
        <v>2276</v>
      </c>
      <c r="P295" s="21" t="s">
        <v>2276</v>
      </c>
      <c r="Q295" s="102" t="s">
        <v>2276</v>
      </c>
      <c r="R295" s="102"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3" t="s">
        <v>2276</v>
      </c>
      <c r="L296" s="21" t="s">
        <v>2276</v>
      </c>
      <c r="M296" s="21" t="s">
        <v>2276</v>
      </c>
      <c r="N296" s="21" t="s">
        <v>2276</v>
      </c>
      <c r="O296" s="21" t="s">
        <v>2276</v>
      </c>
      <c r="P296" s="21" t="s">
        <v>2276</v>
      </c>
      <c r="Q296" s="102" t="s">
        <v>2276</v>
      </c>
      <c r="R296" s="102"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3" t="s">
        <v>2276</v>
      </c>
      <c r="L297" s="21" t="s">
        <v>2276</v>
      </c>
      <c r="M297" s="21" t="s">
        <v>2276</v>
      </c>
      <c r="N297" s="21" t="s">
        <v>2276</v>
      </c>
      <c r="O297" s="21" t="s">
        <v>2276</v>
      </c>
      <c r="P297" s="21" t="s">
        <v>2276</v>
      </c>
      <c r="Q297" s="102" t="s">
        <v>2276</v>
      </c>
      <c r="R297" s="102"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3" t="s">
        <v>2276</v>
      </c>
      <c r="L298" s="21" t="s">
        <v>2276</v>
      </c>
      <c r="M298" s="21" t="s">
        <v>2276</v>
      </c>
      <c r="N298" s="21" t="s">
        <v>2276</v>
      </c>
      <c r="O298" s="21" t="s">
        <v>2276</v>
      </c>
      <c r="P298" s="21" t="s">
        <v>2276</v>
      </c>
      <c r="Q298" s="102" t="s">
        <v>2276</v>
      </c>
      <c r="R298" s="102"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3" t="s">
        <v>2276</v>
      </c>
      <c r="L299" s="21" t="s">
        <v>2276</v>
      </c>
      <c r="M299" s="21" t="s">
        <v>2276</v>
      </c>
      <c r="N299" s="21" t="s">
        <v>2276</v>
      </c>
      <c r="O299" s="21" t="s">
        <v>2276</v>
      </c>
      <c r="P299" s="21" t="s">
        <v>2276</v>
      </c>
      <c r="Q299" s="102" t="s">
        <v>2276</v>
      </c>
      <c r="R299" s="102"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3" t="s">
        <v>2276</v>
      </c>
      <c r="L300" s="21" t="s">
        <v>2276</v>
      </c>
      <c r="M300" s="21" t="s">
        <v>2276</v>
      </c>
      <c r="N300" s="21" t="s">
        <v>2276</v>
      </c>
      <c r="O300" s="21" t="s">
        <v>2276</v>
      </c>
      <c r="P300" s="21" t="s">
        <v>2276</v>
      </c>
      <c r="Q300" s="102" t="s">
        <v>2276</v>
      </c>
      <c r="R300" s="102"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3" t="s">
        <v>2276</v>
      </c>
      <c r="L301" s="21" t="s">
        <v>2276</v>
      </c>
      <c r="M301" s="21" t="s">
        <v>2276</v>
      </c>
      <c r="N301" s="21" t="s">
        <v>2276</v>
      </c>
      <c r="O301" s="21" t="s">
        <v>2276</v>
      </c>
      <c r="P301" s="21" t="s">
        <v>2276</v>
      </c>
      <c r="Q301" s="102" t="s">
        <v>2276</v>
      </c>
      <c r="R301" s="102"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3" t="s">
        <v>2276</v>
      </c>
      <c r="L302" s="21" t="s">
        <v>2276</v>
      </c>
      <c r="M302" s="21" t="s">
        <v>2276</v>
      </c>
      <c r="N302" s="21" t="s">
        <v>2276</v>
      </c>
      <c r="O302" s="21" t="s">
        <v>2276</v>
      </c>
      <c r="P302" s="21" t="s">
        <v>2276</v>
      </c>
      <c r="Q302" s="102" t="s">
        <v>2276</v>
      </c>
      <c r="R302" s="102"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3" t="s">
        <v>2276</v>
      </c>
      <c r="L303" s="21" t="s">
        <v>2276</v>
      </c>
      <c r="M303" s="21" t="s">
        <v>2276</v>
      </c>
      <c r="N303" s="21" t="s">
        <v>2276</v>
      </c>
      <c r="O303" s="21" t="s">
        <v>2276</v>
      </c>
      <c r="P303" s="21" t="s">
        <v>2276</v>
      </c>
      <c r="Q303" s="102" t="s">
        <v>2276</v>
      </c>
      <c r="R303" s="102"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3" t="s">
        <v>2276</v>
      </c>
      <c r="L304" s="21" t="s">
        <v>2276</v>
      </c>
      <c r="M304" s="21" t="s">
        <v>2276</v>
      </c>
      <c r="N304" s="21" t="s">
        <v>2276</v>
      </c>
      <c r="O304" s="21" t="s">
        <v>2276</v>
      </c>
      <c r="P304" s="21" t="s">
        <v>2276</v>
      </c>
      <c r="Q304" s="102" t="s">
        <v>2276</v>
      </c>
      <c r="R304" s="102"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3" t="s">
        <v>2276</v>
      </c>
      <c r="L305" s="21" t="s">
        <v>2276</v>
      </c>
      <c r="M305" s="21" t="s">
        <v>2276</v>
      </c>
      <c r="N305" s="21" t="s">
        <v>2276</v>
      </c>
      <c r="O305" s="21" t="s">
        <v>2276</v>
      </c>
      <c r="P305" s="21" t="s">
        <v>2276</v>
      </c>
      <c r="Q305" s="102" t="s">
        <v>2276</v>
      </c>
      <c r="R305" s="102"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3" t="s">
        <v>2276</v>
      </c>
      <c r="L306" s="21" t="s">
        <v>2276</v>
      </c>
      <c r="M306" s="21" t="s">
        <v>2276</v>
      </c>
      <c r="N306" s="21" t="s">
        <v>2276</v>
      </c>
      <c r="O306" s="21" t="s">
        <v>2276</v>
      </c>
      <c r="P306" s="21" t="s">
        <v>2276</v>
      </c>
      <c r="Q306" s="102" t="s">
        <v>2276</v>
      </c>
      <c r="R306" s="102"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3" t="s">
        <v>2276</v>
      </c>
      <c r="L307" s="21" t="s">
        <v>2276</v>
      </c>
      <c r="M307" s="21" t="s">
        <v>2276</v>
      </c>
      <c r="N307" s="21" t="s">
        <v>2276</v>
      </c>
      <c r="O307" s="21" t="s">
        <v>2276</v>
      </c>
      <c r="P307" s="21" t="s">
        <v>2276</v>
      </c>
      <c r="Q307" s="102" t="s">
        <v>2276</v>
      </c>
      <c r="R307" s="102"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3" t="s">
        <v>2276</v>
      </c>
      <c r="L308" s="21" t="s">
        <v>2276</v>
      </c>
      <c r="M308" s="21" t="s">
        <v>2276</v>
      </c>
      <c r="N308" s="21" t="s">
        <v>2276</v>
      </c>
      <c r="O308" s="21" t="s">
        <v>2276</v>
      </c>
      <c r="P308" s="21" t="s">
        <v>2276</v>
      </c>
      <c r="Q308" s="102" t="s">
        <v>2276</v>
      </c>
      <c r="R308" s="102"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3" t="s">
        <v>2276</v>
      </c>
      <c r="L309" s="21" t="s">
        <v>2276</v>
      </c>
      <c r="M309" s="21" t="s">
        <v>2276</v>
      </c>
      <c r="N309" s="21" t="s">
        <v>2276</v>
      </c>
      <c r="O309" s="21" t="s">
        <v>2276</v>
      </c>
      <c r="P309" s="21" t="s">
        <v>2276</v>
      </c>
      <c r="Q309" s="102" t="s">
        <v>2276</v>
      </c>
      <c r="R309" s="102"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3" t="s">
        <v>2276</v>
      </c>
      <c r="L310" s="21" t="s">
        <v>2276</v>
      </c>
      <c r="M310" s="21" t="s">
        <v>2276</v>
      </c>
      <c r="N310" s="21" t="s">
        <v>2276</v>
      </c>
      <c r="O310" s="21" t="s">
        <v>2276</v>
      </c>
      <c r="P310" s="21" t="s">
        <v>2276</v>
      </c>
      <c r="Q310" s="102" t="s">
        <v>2276</v>
      </c>
      <c r="R310" s="102"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3" t="s">
        <v>2276</v>
      </c>
      <c r="L311" s="21" t="s">
        <v>2276</v>
      </c>
      <c r="M311" s="21" t="s">
        <v>2276</v>
      </c>
      <c r="N311" s="21" t="s">
        <v>2276</v>
      </c>
      <c r="O311" s="21" t="s">
        <v>2276</v>
      </c>
      <c r="P311" s="21" t="s">
        <v>2276</v>
      </c>
      <c r="Q311" s="102" t="s">
        <v>2276</v>
      </c>
      <c r="R311" s="102"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3" t="s">
        <v>2276</v>
      </c>
      <c r="L312" s="21" t="s">
        <v>2276</v>
      </c>
      <c r="M312" s="21" t="s">
        <v>2276</v>
      </c>
      <c r="N312" s="21" t="s">
        <v>2276</v>
      </c>
      <c r="O312" s="21" t="s">
        <v>2276</v>
      </c>
      <c r="P312" s="21" t="s">
        <v>2276</v>
      </c>
      <c r="Q312" s="102" t="s">
        <v>2276</v>
      </c>
      <c r="R312" s="102"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3" t="s">
        <v>2276</v>
      </c>
      <c r="L313" s="21" t="s">
        <v>2276</v>
      </c>
      <c r="M313" s="21" t="s">
        <v>2276</v>
      </c>
      <c r="N313" s="21" t="s">
        <v>2276</v>
      </c>
      <c r="O313" s="21" t="s">
        <v>2276</v>
      </c>
      <c r="P313" s="21" t="s">
        <v>2276</v>
      </c>
      <c r="Q313" s="102" t="s">
        <v>2276</v>
      </c>
      <c r="R313" s="102"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3" t="s">
        <v>2276</v>
      </c>
      <c r="L314" s="21" t="s">
        <v>2276</v>
      </c>
      <c r="M314" s="21" t="s">
        <v>2276</v>
      </c>
      <c r="N314" s="21" t="s">
        <v>2276</v>
      </c>
      <c r="O314" s="21" t="s">
        <v>2276</v>
      </c>
      <c r="P314" s="21" t="s">
        <v>2276</v>
      </c>
      <c r="Q314" s="102" t="s">
        <v>2276</v>
      </c>
      <c r="R314" s="102"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3" t="s">
        <v>2276</v>
      </c>
      <c r="L315" s="21" t="s">
        <v>2276</v>
      </c>
      <c r="M315" s="21" t="s">
        <v>2276</v>
      </c>
      <c r="N315" s="21" t="s">
        <v>2276</v>
      </c>
      <c r="O315" s="21" t="s">
        <v>2276</v>
      </c>
      <c r="P315" s="21" t="s">
        <v>2276</v>
      </c>
      <c r="Q315" s="102" t="s">
        <v>2276</v>
      </c>
      <c r="R315" s="102"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3" t="s">
        <v>2276</v>
      </c>
      <c r="L316" s="21" t="s">
        <v>2276</v>
      </c>
      <c r="M316" s="21" t="s">
        <v>2276</v>
      </c>
      <c r="N316" s="21" t="s">
        <v>2276</v>
      </c>
      <c r="O316" s="21" t="s">
        <v>2276</v>
      </c>
      <c r="P316" s="21" t="s">
        <v>2276</v>
      </c>
      <c r="Q316" s="102" t="s">
        <v>2276</v>
      </c>
      <c r="R316" s="102"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3" t="s">
        <v>2276</v>
      </c>
      <c r="L317" s="21" t="s">
        <v>2276</v>
      </c>
      <c r="M317" s="21" t="s">
        <v>2276</v>
      </c>
      <c r="N317" s="21" t="s">
        <v>2276</v>
      </c>
      <c r="O317" s="21" t="s">
        <v>2276</v>
      </c>
      <c r="P317" s="21" t="s">
        <v>2276</v>
      </c>
      <c r="Q317" s="102" t="s">
        <v>2276</v>
      </c>
      <c r="R317" s="102"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3" t="s">
        <v>2276</v>
      </c>
      <c r="L318" s="21" t="s">
        <v>2276</v>
      </c>
      <c r="M318" s="21" t="s">
        <v>2276</v>
      </c>
      <c r="N318" s="21" t="s">
        <v>2276</v>
      </c>
      <c r="O318" s="21" t="s">
        <v>2276</v>
      </c>
      <c r="P318" s="21" t="s">
        <v>2276</v>
      </c>
      <c r="Q318" s="102" t="s">
        <v>2276</v>
      </c>
      <c r="R318" s="102"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3" t="s">
        <v>2276</v>
      </c>
      <c r="L319" s="21" t="s">
        <v>2276</v>
      </c>
      <c r="M319" s="21" t="s">
        <v>2276</v>
      </c>
      <c r="N319" s="21" t="s">
        <v>2276</v>
      </c>
      <c r="O319" s="21" t="s">
        <v>2276</v>
      </c>
      <c r="P319" s="21" t="s">
        <v>2276</v>
      </c>
      <c r="Q319" s="102" t="s">
        <v>2276</v>
      </c>
      <c r="R319" s="102"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3" t="s">
        <v>2276</v>
      </c>
      <c r="L320" s="21" t="s">
        <v>2276</v>
      </c>
      <c r="M320" s="21" t="s">
        <v>2276</v>
      </c>
      <c r="N320" s="21" t="s">
        <v>2276</v>
      </c>
      <c r="O320" s="21" t="s">
        <v>2276</v>
      </c>
      <c r="P320" s="21" t="s">
        <v>2276</v>
      </c>
      <c r="Q320" s="102" t="s">
        <v>2276</v>
      </c>
      <c r="R320" s="102"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3" t="s">
        <v>2276</v>
      </c>
      <c r="L321" s="21" t="s">
        <v>2276</v>
      </c>
      <c r="M321" s="21" t="s">
        <v>2276</v>
      </c>
      <c r="N321" s="21" t="s">
        <v>2276</v>
      </c>
      <c r="O321" s="21" t="s">
        <v>2276</v>
      </c>
      <c r="P321" s="21" t="s">
        <v>2276</v>
      </c>
      <c r="Q321" s="102" t="s">
        <v>2276</v>
      </c>
      <c r="R321" s="102"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3" t="s">
        <v>2276</v>
      </c>
      <c r="L322" s="21" t="s">
        <v>2276</v>
      </c>
      <c r="M322" s="21" t="s">
        <v>2276</v>
      </c>
      <c r="N322" s="21" t="s">
        <v>2276</v>
      </c>
      <c r="O322" s="21" t="s">
        <v>2276</v>
      </c>
      <c r="P322" s="21" t="s">
        <v>2276</v>
      </c>
      <c r="Q322" s="102" t="s">
        <v>2276</v>
      </c>
      <c r="R322" s="102"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3" t="s">
        <v>2276</v>
      </c>
      <c r="L323" s="21" t="s">
        <v>2276</v>
      </c>
      <c r="M323" s="21" t="s">
        <v>2276</v>
      </c>
      <c r="N323" s="21" t="s">
        <v>2276</v>
      </c>
      <c r="O323" s="21" t="s">
        <v>2276</v>
      </c>
      <c r="P323" s="21" t="s">
        <v>2276</v>
      </c>
      <c r="Q323" s="102" t="s">
        <v>2276</v>
      </c>
      <c r="R323" s="102"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3" t="s">
        <v>2276</v>
      </c>
      <c r="L324" s="21" t="s">
        <v>2276</v>
      </c>
      <c r="M324" s="21" t="s">
        <v>2276</v>
      </c>
      <c r="N324" s="21" t="s">
        <v>2276</v>
      </c>
      <c r="O324" s="21" t="s">
        <v>2276</v>
      </c>
      <c r="P324" s="21" t="s">
        <v>2276</v>
      </c>
      <c r="Q324" s="102" t="s">
        <v>2276</v>
      </c>
      <c r="R324" s="102"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3" t="s">
        <v>2276</v>
      </c>
      <c r="L325" s="21" t="s">
        <v>2276</v>
      </c>
      <c r="M325" s="21" t="s">
        <v>2276</v>
      </c>
      <c r="N325" s="21" t="s">
        <v>2276</v>
      </c>
      <c r="O325" s="21" t="s">
        <v>2276</v>
      </c>
      <c r="P325" s="21" t="s">
        <v>2276</v>
      </c>
      <c r="Q325" s="102" t="s">
        <v>2276</v>
      </c>
      <c r="R325" s="102"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3" t="s">
        <v>2276</v>
      </c>
      <c r="L326" s="21" t="s">
        <v>2276</v>
      </c>
      <c r="M326" s="21" t="s">
        <v>2276</v>
      </c>
      <c r="N326" s="21" t="s">
        <v>2276</v>
      </c>
      <c r="O326" s="21" t="s">
        <v>2276</v>
      </c>
      <c r="P326" s="21" t="s">
        <v>2276</v>
      </c>
      <c r="Q326" s="102" t="s">
        <v>2276</v>
      </c>
      <c r="R326" s="102"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3" t="s">
        <v>2276</v>
      </c>
      <c r="L327" s="21" t="s">
        <v>2276</v>
      </c>
      <c r="M327" s="21" t="s">
        <v>2276</v>
      </c>
      <c r="N327" s="21" t="s">
        <v>2276</v>
      </c>
      <c r="O327" s="21" t="s">
        <v>2276</v>
      </c>
      <c r="P327" s="21" t="s">
        <v>2276</v>
      </c>
      <c r="Q327" s="102" t="s">
        <v>2276</v>
      </c>
      <c r="R327" s="102"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3" t="s">
        <v>2276</v>
      </c>
      <c r="L328" s="21" t="s">
        <v>2276</v>
      </c>
      <c r="M328" s="21" t="s">
        <v>2276</v>
      </c>
      <c r="N328" s="21" t="s">
        <v>2276</v>
      </c>
      <c r="O328" s="21" t="s">
        <v>2276</v>
      </c>
      <c r="P328" s="21" t="s">
        <v>2276</v>
      </c>
      <c r="Q328" s="102" t="s">
        <v>2276</v>
      </c>
      <c r="R328" s="102"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3" t="s">
        <v>2276</v>
      </c>
      <c r="L329" s="21" t="s">
        <v>2276</v>
      </c>
      <c r="M329" s="21" t="s">
        <v>2276</v>
      </c>
      <c r="N329" s="21" t="s">
        <v>2276</v>
      </c>
      <c r="O329" s="21" t="s">
        <v>2276</v>
      </c>
      <c r="P329" s="21" t="s">
        <v>2276</v>
      </c>
      <c r="Q329" s="102" t="s">
        <v>2276</v>
      </c>
      <c r="R329" s="102"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3" t="s">
        <v>2276</v>
      </c>
      <c r="L330" s="21" t="s">
        <v>2276</v>
      </c>
      <c r="M330" s="21" t="s">
        <v>2276</v>
      </c>
      <c r="N330" s="21" t="s">
        <v>2276</v>
      </c>
      <c r="O330" s="21" t="s">
        <v>2276</v>
      </c>
      <c r="P330" s="21" t="s">
        <v>2276</v>
      </c>
      <c r="Q330" s="102" t="s">
        <v>2276</v>
      </c>
      <c r="R330" s="102"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3" t="s">
        <v>2276</v>
      </c>
      <c r="L331" s="21" t="s">
        <v>2276</v>
      </c>
      <c r="M331" s="21" t="s">
        <v>2276</v>
      </c>
      <c r="N331" s="21" t="s">
        <v>2276</v>
      </c>
      <c r="O331" s="21" t="s">
        <v>2276</v>
      </c>
      <c r="P331" s="21" t="s">
        <v>2276</v>
      </c>
      <c r="Q331" s="102" t="s">
        <v>2276</v>
      </c>
      <c r="R331" s="102"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3" t="s">
        <v>2276</v>
      </c>
      <c r="L332" s="21" t="s">
        <v>2276</v>
      </c>
      <c r="M332" s="21" t="s">
        <v>2276</v>
      </c>
      <c r="N332" s="21" t="s">
        <v>2276</v>
      </c>
      <c r="O332" s="21" t="s">
        <v>2276</v>
      </c>
      <c r="P332" s="21" t="s">
        <v>2276</v>
      </c>
      <c r="Q332" s="102" t="s">
        <v>2276</v>
      </c>
      <c r="R332" s="102"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3" t="s">
        <v>2276</v>
      </c>
      <c r="L333" s="21" t="s">
        <v>2276</v>
      </c>
      <c r="M333" s="21" t="s">
        <v>2276</v>
      </c>
      <c r="N333" s="21" t="s">
        <v>2276</v>
      </c>
      <c r="O333" s="21" t="s">
        <v>2276</v>
      </c>
      <c r="P333" s="21" t="s">
        <v>2276</v>
      </c>
      <c r="Q333" s="102" t="s">
        <v>2276</v>
      </c>
      <c r="R333" s="102"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3" t="s">
        <v>2276</v>
      </c>
      <c r="L334" s="21" t="s">
        <v>2276</v>
      </c>
      <c r="M334" s="21" t="s">
        <v>2276</v>
      </c>
      <c r="N334" s="21" t="s">
        <v>2276</v>
      </c>
      <c r="O334" s="21" t="s">
        <v>2276</v>
      </c>
      <c r="P334" s="21" t="s">
        <v>2276</v>
      </c>
      <c r="Q334" s="102" t="s">
        <v>2276</v>
      </c>
      <c r="R334" s="102"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3" t="s">
        <v>2276</v>
      </c>
      <c r="L335" s="21" t="s">
        <v>2276</v>
      </c>
      <c r="M335" s="21" t="s">
        <v>2276</v>
      </c>
      <c r="N335" s="21" t="s">
        <v>2276</v>
      </c>
      <c r="O335" s="21" t="s">
        <v>2276</v>
      </c>
      <c r="P335" s="21" t="s">
        <v>2276</v>
      </c>
      <c r="Q335" s="102" t="s">
        <v>2276</v>
      </c>
      <c r="R335" s="102"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3" t="s">
        <v>2276</v>
      </c>
      <c r="L336" s="21" t="s">
        <v>2276</v>
      </c>
      <c r="M336" s="21" t="s">
        <v>2276</v>
      </c>
      <c r="N336" s="21" t="s">
        <v>2276</v>
      </c>
      <c r="O336" s="21" t="s">
        <v>2276</v>
      </c>
      <c r="P336" s="21" t="s">
        <v>2276</v>
      </c>
      <c r="Q336" s="102" t="s">
        <v>2276</v>
      </c>
      <c r="R336" s="102"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3" t="s">
        <v>2276</v>
      </c>
      <c r="L337" s="21" t="s">
        <v>2276</v>
      </c>
      <c r="M337" s="21" t="s">
        <v>2276</v>
      </c>
      <c r="N337" s="21" t="s">
        <v>2276</v>
      </c>
      <c r="O337" s="21" t="s">
        <v>2276</v>
      </c>
      <c r="P337" s="21" t="s">
        <v>2276</v>
      </c>
      <c r="Q337" s="102" t="s">
        <v>2276</v>
      </c>
      <c r="R337" s="102"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3" t="s">
        <v>2276</v>
      </c>
      <c r="L338" s="21" t="s">
        <v>2276</v>
      </c>
      <c r="M338" s="21" t="s">
        <v>2276</v>
      </c>
      <c r="N338" s="21" t="s">
        <v>2276</v>
      </c>
      <c r="O338" s="21" t="s">
        <v>2276</v>
      </c>
      <c r="P338" s="21" t="s">
        <v>2276</v>
      </c>
      <c r="Q338" s="102" t="s">
        <v>2276</v>
      </c>
      <c r="R338" s="102"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3" t="s">
        <v>2276</v>
      </c>
      <c r="L339" s="21" t="s">
        <v>2276</v>
      </c>
      <c r="M339" s="21" t="s">
        <v>2276</v>
      </c>
      <c r="N339" s="21" t="s">
        <v>2276</v>
      </c>
      <c r="O339" s="21" t="s">
        <v>2276</v>
      </c>
      <c r="P339" s="21" t="s">
        <v>2276</v>
      </c>
      <c r="Q339" s="102" t="s">
        <v>2276</v>
      </c>
      <c r="R339" s="102"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3" t="s">
        <v>2276</v>
      </c>
      <c r="L340" s="21" t="s">
        <v>2276</v>
      </c>
      <c r="M340" s="21" t="s">
        <v>2276</v>
      </c>
      <c r="N340" s="21" t="s">
        <v>2276</v>
      </c>
      <c r="O340" s="21" t="s">
        <v>2276</v>
      </c>
      <c r="P340" s="21" t="s">
        <v>2276</v>
      </c>
      <c r="Q340" s="102" t="s">
        <v>2276</v>
      </c>
      <c r="R340" s="102"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3" t="s">
        <v>2276</v>
      </c>
      <c r="L341" s="21" t="s">
        <v>2276</v>
      </c>
      <c r="M341" s="21" t="s">
        <v>2276</v>
      </c>
      <c r="N341" s="21" t="s">
        <v>2276</v>
      </c>
      <c r="O341" s="21" t="s">
        <v>2276</v>
      </c>
      <c r="P341" s="21" t="s">
        <v>2276</v>
      </c>
      <c r="Q341" s="102" t="s">
        <v>2276</v>
      </c>
      <c r="R341" s="102"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3" t="s">
        <v>2276</v>
      </c>
      <c r="L342" s="21" t="s">
        <v>2276</v>
      </c>
      <c r="M342" s="21" t="s">
        <v>2276</v>
      </c>
      <c r="N342" s="21" t="s">
        <v>2276</v>
      </c>
      <c r="O342" s="21" t="s">
        <v>2276</v>
      </c>
      <c r="P342" s="21" t="s">
        <v>2276</v>
      </c>
      <c r="Q342" s="102" t="s">
        <v>2276</v>
      </c>
      <c r="R342" s="102"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3" t="s">
        <v>2276</v>
      </c>
      <c r="L343" s="21" t="s">
        <v>2276</v>
      </c>
      <c r="M343" s="21" t="s">
        <v>2276</v>
      </c>
      <c r="N343" s="21" t="s">
        <v>2276</v>
      </c>
      <c r="O343" s="21" t="s">
        <v>2276</v>
      </c>
      <c r="P343" s="21" t="s">
        <v>2276</v>
      </c>
      <c r="Q343" s="102" t="s">
        <v>2276</v>
      </c>
      <c r="R343" s="102"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3" t="s">
        <v>2276</v>
      </c>
      <c r="L344" s="21" t="s">
        <v>2276</v>
      </c>
      <c r="M344" s="21" t="s">
        <v>2276</v>
      </c>
      <c r="N344" s="21" t="s">
        <v>2276</v>
      </c>
      <c r="O344" s="21" t="s">
        <v>2276</v>
      </c>
      <c r="P344" s="21" t="s">
        <v>2276</v>
      </c>
      <c r="Q344" s="102" t="s">
        <v>2276</v>
      </c>
      <c r="R344" s="102"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3" t="s">
        <v>2276</v>
      </c>
      <c r="L345" s="21" t="s">
        <v>2276</v>
      </c>
      <c r="M345" s="21" t="s">
        <v>2276</v>
      </c>
      <c r="N345" s="21" t="s">
        <v>2276</v>
      </c>
      <c r="O345" s="21" t="s">
        <v>2276</v>
      </c>
      <c r="P345" s="21" t="s">
        <v>2276</v>
      </c>
      <c r="Q345" s="102" t="s">
        <v>2276</v>
      </c>
      <c r="R345" s="102"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3" t="s">
        <v>2276</v>
      </c>
      <c r="L346" s="21" t="s">
        <v>2276</v>
      </c>
      <c r="M346" s="21" t="s">
        <v>2276</v>
      </c>
      <c r="N346" s="21" t="s">
        <v>2276</v>
      </c>
      <c r="O346" s="21" t="s">
        <v>2276</v>
      </c>
      <c r="P346" s="21" t="s">
        <v>2276</v>
      </c>
      <c r="Q346" s="102" t="s">
        <v>2276</v>
      </c>
      <c r="R346" s="102"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3" t="s">
        <v>2276</v>
      </c>
      <c r="L347" s="21" t="s">
        <v>2276</v>
      </c>
      <c r="M347" s="21" t="s">
        <v>2276</v>
      </c>
      <c r="N347" s="21" t="s">
        <v>2276</v>
      </c>
      <c r="O347" s="21" t="s">
        <v>2276</v>
      </c>
      <c r="P347" s="21" t="s">
        <v>2276</v>
      </c>
      <c r="Q347" s="102" t="s">
        <v>2276</v>
      </c>
      <c r="R347" s="102"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3" t="s">
        <v>2276</v>
      </c>
      <c r="L348" s="21" t="s">
        <v>2276</v>
      </c>
      <c r="M348" s="21" t="s">
        <v>2276</v>
      </c>
      <c r="N348" s="21" t="s">
        <v>2276</v>
      </c>
      <c r="O348" s="21" t="s">
        <v>2276</v>
      </c>
      <c r="P348" s="21" t="s">
        <v>2276</v>
      </c>
      <c r="Q348" s="102" t="s">
        <v>2276</v>
      </c>
      <c r="R348" s="102"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3" t="s">
        <v>2276</v>
      </c>
      <c r="L349" s="21" t="s">
        <v>2276</v>
      </c>
      <c r="M349" s="21" t="s">
        <v>2276</v>
      </c>
      <c r="N349" s="21" t="s">
        <v>2276</v>
      </c>
      <c r="O349" s="21" t="s">
        <v>2276</v>
      </c>
      <c r="P349" s="21" t="s">
        <v>2276</v>
      </c>
      <c r="Q349" s="102" t="s">
        <v>2276</v>
      </c>
      <c r="R349" s="102"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3" t="s">
        <v>2276</v>
      </c>
      <c r="L350" s="21" t="s">
        <v>2276</v>
      </c>
      <c r="M350" s="21" t="s">
        <v>2276</v>
      </c>
      <c r="N350" s="21" t="s">
        <v>2276</v>
      </c>
      <c r="O350" s="21" t="s">
        <v>2276</v>
      </c>
      <c r="P350" s="21" t="s">
        <v>2276</v>
      </c>
      <c r="Q350" s="102" t="s">
        <v>2276</v>
      </c>
      <c r="R350" s="102"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3" t="s">
        <v>2276</v>
      </c>
      <c r="L351" s="21" t="s">
        <v>2276</v>
      </c>
      <c r="M351" s="21" t="s">
        <v>2276</v>
      </c>
      <c r="N351" s="21" t="s">
        <v>2276</v>
      </c>
      <c r="O351" s="21" t="s">
        <v>2276</v>
      </c>
      <c r="P351" s="21" t="s">
        <v>2276</v>
      </c>
      <c r="Q351" s="102" t="s">
        <v>2276</v>
      </c>
      <c r="R351" s="102"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3" t="s">
        <v>2276</v>
      </c>
      <c r="L352" s="21" t="s">
        <v>2276</v>
      </c>
      <c r="M352" s="21" t="s">
        <v>2276</v>
      </c>
      <c r="N352" s="21" t="s">
        <v>2276</v>
      </c>
      <c r="O352" s="21" t="s">
        <v>2276</v>
      </c>
      <c r="P352" s="21" t="s">
        <v>2276</v>
      </c>
      <c r="Q352" s="102" t="s">
        <v>2276</v>
      </c>
      <c r="R352" s="102"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3" t="s">
        <v>2276</v>
      </c>
      <c r="L353" s="21" t="s">
        <v>2276</v>
      </c>
      <c r="M353" s="21" t="s">
        <v>2276</v>
      </c>
      <c r="N353" s="21" t="s">
        <v>2276</v>
      </c>
      <c r="O353" s="21" t="s">
        <v>2276</v>
      </c>
      <c r="P353" s="21" t="s">
        <v>2276</v>
      </c>
      <c r="Q353" s="102" t="s">
        <v>2276</v>
      </c>
      <c r="R353" s="102"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3" t="s">
        <v>2276</v>
      </c>
      <c r="L354" s="21" t="s">
        <v>2276</v>
      </c>
      <c r="M354" s="21" t="s">
        <v>2276</v>
      </c>
      <c r="N354" s="21" t="s">
        <v>2276</v>
      </c>
      <c r="O354" s="21" t="s">
        <v>2276</v>
      </c>
      <c r="P354" s="21" t="s">
        <v>2276</v>
      </c>
      <c r="Q354" s="102" t="s">
        <v>2276</v>
      </c>
      <c r="R354" s="102"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3" t="s">
        <v>2276</v>
      </c>
      <c r="L355" s="21" t="s">
        <v>2276</v>
      </c>
      <c r="M355" s="21" t="s">
        <v>2276</v>
      </c>
      <c r="N355" s="21" t="s">
        <v>2276</v>
      </c>
      <c r="O355" s="21" t="s">
        <v>2276</v>
      </c>
      <c r="P355" s="21" t="s">
        <v>2276</v>
      </c>
      <c r="Q355" s="102" t="s">
        <v>2276</v>
      </c>
      <c r="R355" s="102"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3" t="s">
        <v>2276</v>
      </c>
      <c r="L356" s="21" t="s">
        <v>2276</v>
      </c>
      <c r="M356" s="21" t="s">
        <v>2276</v>
      </c>
      <c r="N356" s="21" t="s">
        <v>2276</v>
      </c>
      <c r="O356" s="21" t="s">
        <v>2276</v>
      </c>
      <c r="P356" s="21" t="s">
        <v>2276</v>
      </c>
      <c r="Q356" s="102" t="s">
        <v>2276</v>
      </c>
      <c r="R356" s="102"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3" t="s">
        <v>2276</v>
      </c>
      <c r="L357" s="21" t="s">
        <v>2276</v>
      </c>
      <c r="M357" s="21" t="s">
        <v>2276</v>
      </c>
      <c r="N357" s="21" t="s">
        <v>2276</v>
      </c>
      <c r="O357" s="21" t="s">
        <v>2276</v>
      </c>
      <c r="P357" s="21" t="s">
        <v>2276</v>
      </c>
      <c r="Q357" s="102" t="s">
        <v>2276</v>
      </c>
      <c r="R357" s="102"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3" t="s">
        <v>2276</v>
      </c>
      <c r="L358" s="21" t="s">
        <v>2276</v>
      </c>
      <c r="M358" s="21" t="s">
        <v>2276</v>
      </c>
      <c r="N358" s="21" t="s">
        <v>2276</v>
      </c>
      <c r="O358" s="21" t="s">
        <v>2276</v>
      </c>
      <c r="P358" s="21" t="s">
        <v>2276</v>
      </c>
      <c r="Q358" s="102" t="s">
        <v>2276</v>
      </c>
      <c r="R358" s="102"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3" t="s">
        <v>2276</v>
      </c>
      <c r="L359" s="21" t="s">
        <v>2276</v>
      </c>
      <c r="M359" s="21" t="s">
        <v>2276</v>
      </c>
      <c r="N359" s="21" t="s">
        <v>2276</v>
      </c>
      <c r="O359" s="21" t="s">
        <v>2276</v>
      </c>
      <c r="P359" s="21" t="s">
        <v>2276</v>
      </c>
      <c r="Q359" s="102" t="s">
        <v>2276</v>
      </c>
      <c r="R359" s="102"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3" t="s">
        <v>2276</v>
      </c>
      <c r="L360" s="21" t="s">
        <v>2276</v>
      </c>
      <c r="M360" s="21" t="s">
        <v>2276</v>
      </c>
      <c r="N360" s="21" t="s">
        <v>2276</v>
      </c>
      <c r="O360" s="21" t="s">
        <v>2276</v>
      </c>
      <c r="P360" s="21" t="s">
        <v>2276</v>
      </c>
      <c r="Q360" s="102" t="s">
        <v>2276</v>
      </c>
      <c r="R360" s="102"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3" t="s">
        <v>2276</v>
      </c>
      <c r="L361" s="21" t="s">
        <v>2276</v>
      </c>
      <c r="M361" s="21" t="s">
        <v>2276</v>
      </c>
      <c r="N361" s="21" t="s">
        <v>2276</v>
      </c>
      <c r="O361" s="21" t="s">
        <v>2276</v>
      </c>
      <c r="P361" s="21" t="s">
        <v>2276</v>
      </c>
      <c r="Q361" s="102" t="s">
        <v>2276</v>
      </c>
      <c r="R361" s="102"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3" t="s">
        <v>2276</v>
      </c>
      <c r="L362" s="21" t="s">
        <v>2276</v>
      </c>
      <c r="M362" s="21" t="s">
        <v>2276</v>
      </c>
      <c r="N362" s="21" t="s">
        <v>2276</v>
      </c>
      <c r="O362" s="21" t="s">
        <v>2276</v>
      </c>
      <c r="P362" s="21" t="s">
        <v>2276</v>
      </c>
      <c r="Q362" s="102" t="s">
        <v>2276</v>
      </c>
      <c r="R362" s="102"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3" t="s">
        <v>2276</v>
      </c>
      <c r="L363" s="21" t="s">
        <v>2276</v>
      </c>
      <c r="M363" s="21" t="s">
        <v>2276</v>
      </c>
      <c r="N363" s="21" t="s">
        <v>2276</v>
      </c>
      <c r="O363" s="21" t="s">
        <v>2276</v>
      </c>
      <c r="P363" s="21" t="s">
        <v>2276</v>
      </c>
      <c r="Q363" s="102" t="s">
        <v>2276</v>
      </c>
      <c r="R363" s="102"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3" t="s">
        <v>2276</v>
      </c>
      <c r="L364" s="21" t="s">
        <v>2276</v>
      </c>
      <c r="M364" s="21" t="s">
        <v>2276</v>
      </c>
      <c r="N364" s="21" t="s">
        <v>2276</v>
      </c>
      <c r="O364" s="21" t="s">
        <v>2276</v>
      </c>
      <c r="P364" s="21" t="s">
        <v>2276</v>
      </c>
      <c r="Q364" s="102" t="s">
        <v>2276</v>
      </c>
      <c r="R364" s="102"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3" t="s">
        <v>2276</v>
      </c>
      <c r="L365" s="21" t="s">
        <v>2276</v>
      </c>
      <c r="M365" s="21" t="s">
        <v>2276</v>
      </c>
      <c r="N365" s="21" t="s">
        <v>2276</v>
      </c>
      <c r="O365" s="21" t="s">
        <v>2276</v>
      </c>
      <c r="P365" s="21" t="s">
        <v>2276</v>
      </c>
      <c r="Q365" s="102" t="s">
        <v>2276</v>
      </c>
      <c r="R365" s="102"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3" t="s">
        <v>2276</v>
      </c>
      <c r="L366" s="21" t="s">
        <v>2276</v>
      </c>
      <c r="M366" s="21" t="s">
        <v>2276</v>
      </c>
      <c r="N366" s="21" t="s">
        <v>2276</v>
      </c>
      <c r="O366" s="21" t="s">
        <v>2276</v>
      </c>
      <c r="P366" s="21" t="s">
        <v>2276</v>
      </c>
      <c r="Q366" s="102" t="s">
        <v>2276</v>
      </c>
      <c r="R366" s="102"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3" t="s">
        <v>2276</v>
      </c>
      <c r="L367" s="21" t="s">
        <v>2276</v>
      </c>
      <c r="M367" s="21" t="s">
        <v>2276</v>
      </c>
      <c r="N367" s="21" t="s">
        <v>2276</v>
      </c>
      <c r="O367" s="21" t="s">
        <v>2276</v>
      </c>
      <c r="P367" s="21" t="s">
        <v>2276</v>
      </c>
      <c r="Q367" s="102" t="s">
        <v>2276</v>
      </c>
      <c r="R367" s="102"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3" t="s">
        <v>2276</v>
      </c>
      <c r="L368" s="21" t="s">
        <v>2276</v>
      </c>
      <c r="M368" s="21" t="s">
        <v>2276</v>
      </c>
      <c r="N368" s="21" t="s">
        <v>2276</v>
      </c>
      <c r="O368" s="21" t="s">
        <v>2276</v>
      </c>
      <c r="P368" s="21" t="s">
        <v>2276</v>
      </c>
      <c r="Q368" s="102" t="s">
        <v>2276</v>
      </c>
      <c r="R368" s="102"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3" t="s">
        <v>2276</v>
      </c>
      <c r="L369" s="21" t="s">
        <v>2276</v>
      </c>
      <c r="M369" s="21" t="s">
        <v>2276</v>
      </c>
      <c r="N369" s="21" t="s">
        <v>2276</v>
      </c>
      <c r="O369" s="21" t="s">
        <v>2276</v>
      </c>
      <c r="P369" s="21" t="s">
        <v>2276</v>
      </c>
      <c r="Q369" s="102" t="s">
        <v>2276</v>
      </c>
      <c r="R369" s="102"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3" t="s">
        <v>2276</v>
      </c>
      <c r="L370" s="21" t="s">
        <v>2276</v>
      </c>
      <c r="M370" s="21" t="s">
        <v>2276</v>
      </c>
      <c r="N370" s="21" t="s">
        <v>2276</v>
      </c>
      <c r="O370" s="21" t="s">
        <v>2276</v>
      </c>
      <c r="P370" s="21" t="s">
        <v>2276</v>
      </c>
      <c r="Q370" s="102" t="s">
        <v>2276</v>
      </c>
      <c r="R370" s="102"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3" t="s">
        <v>2276</v>
      </c>
      <c r="L371" s="21" t="s">
        <v>2276</v>
      </c>
      <c r="M371" s="21" t="s">
        <v>2276</v>
      </c>
      <c r="N371" s="21" t="s">
        <v>2276</v>
      </c>
      <c r="O371" s="21" t="s">
        <v>2276</v>
      </c>
      <c r="P371" s="21" t="s">
        <v>2276</v>
      </c>
      <c r="Q371" s="102" t="s">
        <v>2276</v>
      </c>
      <c r="R371" s="102"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3" t="s">
        <v>2276</v>
      </c>
      <c r="L372" s="21" t="s">
        <v>2276</v>
      </c>
      <c r="M372" s="21" t="s">
        <v>2276</v>
      </c>
      <c r="N372" s="21" t="s">
        <v>2276</v>
      </c>
      <c r="O372" s="21" t="s">
        <v>2276</v>
      </c>
      <c r="P372" s="21" t="s">
        <v>2276</v>
      </c>
      <c r="Q372" s="102" t="s">
        <v>2276</v>
      </c>
      <c r="R372" s="102"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3" t="s">
        <v>2276</v>
      </c>
      <c r="L373" s="21" t="s">
        <v>2276</v>
      </c>
      <c r="M373" s="21" t="s">
        <v>2276</v>
      </c>
      <c r="N373" s="21" t="s">
        <v>2276</v>
      </c>
      <c r="O373" s="21" t="s">
        <v>2276</v>
      </c>
      <c r="P373" s="21" t="s">
        <v>2276</v>
      </c>
      <c r="Q373" s="102" t="s">
        <v>2276</v>
      </c>
      <c r="R373" s="102"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3" t="s">
        <v>2276</v>
      </c>
      <c r="L374" s="21" t="s">
        <v>2276</v>
      </c>
      <c r="M374" s="21" t="s">
        <v>2276</v>
      </c>
      <c r="N374" s="21" t="s">
        <v>2276</v>
      </c>
      <c r="O374" s="21" t="s">
        <v>2276</v>
      </c>
      <c r="P374" s="21" t="s">
        <v>2276</v>
      </c>
      <c r="Q374" s="102" t="s">
        <v>2276</v>
      </c>
      <c r="R374" s="102"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3" t="s">
        <v>2276</v>
      </c>
      <c r="L375" s="21" t="s">
        <v>2276</v>
      </c>
      <c r="M375" s="21" t="s">
        <v>2276</v>
      </c>
      <c r="N375" s="21" t="s">
        <v>2276</v>
      </c>
      <c r="O375" s="21" t="s">
        <v>2276</v>
      </c>
      <c r="P375" s="21" t="s">
        <v>2276</v>
      </c>
      <c r="Q375" s="102" t="s">
        <v>2276</v>
      </c>
      <c r="R375" s="102"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3" t="s">
        <v>2276</v>
      </c>
      <c r="L376" s="21" t="s">
        <v>2276</v>
      </c>
      <c r="M376" s="21" t="s">
        <v>2276</v>
      </c>
      <c r="N376" s="21" t="s">
        <v>2276</v>
      </c>
      <c r="O376" s="21" t="s">
        <v>2276</v>
      </c>
      <c r="P376" s="21" t="s">
        <v>2276</v>
      </c>
      <c r="Q376" s="102" t="s">
        <v>2276</v>
      </c>
      <c r="R376" s="102"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3" t="s">
        <v>2276</v>
      </c>
      <c r="L377" s="21" t="s">
        <v>2276</v>
      </c>
      <c r="M377" s="21" t="s">
        <v>2276</v>
      </c>
      <c r="N377" s="21" t="s">
        <v>2276</v>
      </c>
      <c r="O377" s="21" t="s">
        <v>2276</v>
      </c>
      <c r="P377" s="21" t="s">
        <v>2276</v>
      </c>
      <c r="Q377" s="102" t="s">
        <v>2276</v>
      </c>
      <c r="R377" s="102"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3" t="s">
        <v>2276</v>
      </c>
      <c r="L378" s="21" t="s">
        <v>2276</v>
      </c>
      <c r="M378" s="21" t="s">
        <v>2276</v>
      </c>
      <c r="N378" s="21" t="s">
        <v>2276</v>
      </c>
      <c r="O378" s="21" t="s">
        <v>2276</v>
      </c>
      <c r="P378" s="21" t="s">
        <v>2276</v>
      </c>
      <c r="Q378" s="102" t="s">
        <v>2276</v>
      </c>
      <c r="R378" s="102"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3" t="s">
        <v>2276</v>
      </c>
      <c r="L379" s="21" t="s">
        <v>2276</v>
      </c>
      <c r="M379" s="21" t="s">
        <v>2276</v>
      </c>
      <c r="N379" s="21" t="s">
        <v>2276</v>
      </c>
      <c r="O379" s="21" t="s">
        <v>2276</v>
      </c>
      <c r="P379" s="21" t="s">
        <v>2276</v>
      </c>
      <c r="Q379" s="102" t="s">
        <v>2276</v>
      </c>
      <c r="R379" s="102"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3" t="s">
        <v>2276</v>
      </c>
      <c r="L380" s="21" t="s">
        <v>2276</v>
      </c>
      <c r="M380" s="21" t="s">
        <v>2276</v>
      </c>
      <c r="N380" s="21" t="s">
        <v>2276</v>
      </c>
      <c r="O380" s="21" t="s">
        <v>2276</v>
      </c>
      <c r="P380" s="21" t="s">
        <v>2276</v>
      </c>
      <c r="Q380" s="102" t="s">
        <v>2276</v>
      </c>
      <c r="R380" s="102"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3" t="s">
        <v>2276</v>
      </c>
      <c r="L381" s="21" t="s">
        <v>2276</v>
      </c>
      <c r="M381" s="21" t="s">
        <v>2276</v>
      </c>
      <c r="N381" s="21" t="s">
        <v>2276</v>
      </c>
      <c r="O381" s="21" t="s">
        <v>2276</v>
      </c>
      <c r="P381" s="21" t="s">
        <v>2276</v>
      </c>
      <c r="Q381" s="102" t="s">
        <v>2276</v>
      </c>
      <c r="R381" s="102"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3" t="s">
        <v>2276</v>
      </c>
      <c r="L382" s="21" t="s">
        <v>2276</v>
      </c>
      <c r="M382" s="21" t="s">
        <v>2276</v>
      </c>
      <c r="N382" s="21" t="s">
        <v>2276</v>
      </c>
      <c r="O382" s="21" t="s">
        <v>2276</v>
      </c>
      <c r="P382" s="21" t="s">
        <v>2276</v>
      </c>
      <c r="Q382" s="102" t="s">
        <v>2276</v>
      </c>
      <c r="R382" s="102"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3" t="s">
        <v>2276</v>
      </c>
      <c r="L383" s="21" t="s">
        <v>2276</v>
      </c>
      <c r="M383" s="21" t="s">
        <v>2276</v>
      </c>
      <c r="N383" s="21" t="s">
        <v>2276</v>
      </c>
      <c r="O383" s="21" t="s">
        <v>2276</v>
      </c>
      <c r="P383" s="21" t="s">
        <v>2276</v>
      </c>
      <c r="Q383" s="102" t="s">
        <v>2276</v>
      </c>
      <c r="R383" s="102"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3" t="s">
        <v>2276</v>
      </c>
      <c r="L384" s="21" t="s">
        <v>2276</v>
      </c>
      <c r="M384" s="21" t="s">
        <v>2276</v>
      </c>
      <c r="N384" s="21" t="s">
        <v>2276</v>
      </c>
      <c r="O384" s="21" t="s">
        <v>2276</v>
      </c>
      <c r="P384" s="21" t="s">
        <v>2276</v>
      </c>
      <c r="Q384" s="102" t="s">
        <v>2276</v>
      </c>
      <c r="R384" s="102"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3" t="s">
        <v>2276</v>
      </c>
      <c r="L385" s="21" t="s">
        <v>2276</v>
      </c>
      <c r="M385" s="21" t="s">
        <v>2276</v>
      </c>
      <c r="N385" s="21" t="s">
        <v>2276</v>
      </c>
      <c r="O385" s="21" t="s">
        <v>2276</v>
      </c>
      <c r="P385" s="21" t="s">
        <v>2276</v>
      </c>
      <c r="Q385" s="102" t="s">
        <v>2276</v>
      </c>
      <c r="R385" s="102"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3" t="s">
        <v>2276</v>
      </c>
      <c r="L386" s="21" t="s">
        <v>2276</v>
      </c>
      <c r="M386" s="21" t="s">
        <v>2276</v>
      </c>
      <c r="N386" s="21" t="s">
        <v>2276</v>
      </c>
      <c r="O386" s="21" t="s">
        <v>2276</v>
      </c>
      <c r="P386" s="21" t="s">
        <v>2276</v>
      </c>
      <c r="Q386" s="102" t="s">
        <v>2276</v>
      </c>
      <c r="R386" s="102"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3" t="s">
        <v>2276</v>
      </c>
      <c r="L387" s="21" t="s">
        <v>2276</v>
      </c>
      <c r="M387" s="21" t="s">
        <v>2276</v>
      </c>
      <c r="N387" s="21" t="s">
        <v>2276</v>
      </c>
      <c r="O387" s="21" t="s">
        <v>2276</v>
      </c>
      <c r="P387" s="21" t="s">
        <v>2276</v>
      </c>
      <c r="Q387" s="102" t="s">
        <v>2276</v>
      </c>
      <c r="R387" s="102"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3" t="s">
        <v>2276</v>
      </c>
      <c r="L388" s="21" t="s">
        <v>2362</v>
      </c>
      <c r="M388" s="21" t="s">
        <v>2276</v>
      </c>
      <c r="N388" s="21" t="s">
        <v>2377</v>
      </c>
      <c r="O388" s="21" t="s">
        <v>2276</v>
      </c>
      <c r="P388" s="21" t="s">
        <v>2373</v>
      </c>
      <c r="Q388" s="102" t="s">
        <v>2276</v>
      </c>
      <c r="R388" s="102"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3" t="s">
        <v>2276</v>
      </c>
      <c r="L389" s="21" t="s">
        <v>2362</v>
      </c>
      <c r="M389" s="21" t="s">
        <v>2276</v>
      </c>
      <c r="N389" s="21" t="s">
        <v>2377</v>
      </c>
      <c r="O389" s="21" t="s">
        <v>2276</v>
      </c>
      <c r="P389" s="21" t="s">
        <v>2373</v>
      </c>
      <c r="Q389" s="102" t="s">
        <v>2276</v>
      </c>
      <c r="R389" s="102"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3" t="s">
        <v>2276</v>
      </c>
      <c r="L390" s="21" t="s">
        <v>2276</v>
      </c>
      <c r="M390" s="21" t="s">
        <v>2378</v>
      </c>
      <c r="N390" s="21" t="s">
        <v>2276</v>
      </c>
      <c r="O390" s="21" t="s">
        <v>2276</v>
      </c>
      <c r="P390" s="21" t="s">
        <v>2276</v>
      </c>
      <c r="Q390" s="21" t="s">
        <v>2276</v>
      </c>
      <c r="R390" s="102"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3" t="s">
        <v>2276</v>
      </c>
      <c r="L391" s="21" t="s">
        <v>2276</v>
      </c>
      <c r="M391" s="21" t="s">
        <v>2276</v>
      </c>
      <c r="N391" s="21" t="s">
        <v>2276</v>
      </c>
      <c r="O391" s="21" t="s">
        <v>2276</v>
      </c>
      <c r="P391" s="21" t="s">
        <v>2276</v>
      </c>
      <c r="Q391" s="102" t="s">
        <v>2276</v>
      </c>
      <c r="R391" s="102"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3" t="s">
        <v>2276</v>
      </c>
      <c r="L392" s="21" t="s">
        <v>2362</v>
      </c>
      <c r="M392" s="21" t="s">
        <v>2276</v>
      </c>
      <c r="N392" s="21" t="s">
        <v>2377</v>
      </c>
      <c r="O392" s="21" t="s">
        <v>2276</v>
      </c>
      <c r="P392" s="21" t="s">
        <v>2373</v>
      </c>
      <c r="Q392" s="102" t="s">
        <v>2276</v>
      </c>
      <c r="R392" s="102"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3" t="s">
        <v>2276</v>
      </c>
      <c r="L393" s="21" t="s">
        <v>2362</v>
      </c>
      <c r="M393" s="21" t="s">
        <v>2276</v>
      </c>
      <c r="N393" s="21" t="s">
        <v>2377</v>
      </c>
      <c r="O393" s="21" t="s">
        <v>2276</v>
      </c>
      <c r="P393" s="21" t="s">
        <v>2373</v>
      </c>
      <c r="Q393" s="102" t="s">
        <v>2276</v>
      </c>
      <c r="R393" s="102"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3" t="s">
        <v>2276</v>
      </c>
      <c r="L394" s="21" t="s">
        <v>2276</v>
      </c>
      <c r="M394" s="21" t="s">
        <v>2378</v>
      </c>
      <c r="N394" s="21" t="s">
        <v>2276</v>
      </c>
      <c r="O394" s="21" t="s">
        <v>2276</v>
      </c>
      <c r="P394" s="21" t="s">
        <v>2276</v>
      </c>
      <c r="Q394" s="21" t="s">
        <v>2276</v>
      </c>
      <c r="R394" s="102"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3" t="s">
        <v>2364</v>
      </c>
      <c r="L395" s="21" t="s">
        <v>2364</v>
      </c>
      <c r="M395" s="21" t="s">
        <v>2364</v>
      </c>
      <c r="N395" s="21" t="s">
        <v>2364</v>
      </c>
      <c r="O395" s="21" t="s">
        <v>2364</v>
      </c>
      <c r="P395" s="21" t="s">
        <v>2364</v>
      </c>
      <c r="Q395" s="102" t="s">
        <v>2276</v>
      </c>
      <c r="R395" s="102"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3" t="s">
        <v>2364</v>
      </c>
      <c r="L396" s="21" t="s">
        <v>2364</v>
      </c>
      <c r="M396" s="21" t="s">
        <v>2364</v>
      </c>
      <c r="N396" s="21" t="s">
        <v>2364</v>
      </c>
      <c r="O396" s="21" t="s">
        <v>2364</v>
      </c>
      <c r="P396" s="21" t="s">
        <v>2364</v>
      </c>
      <c r="Q396" s="102" t="s">
        <v>2276</v>
      </c>
      <c r="R396" s="102"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3" t="s">
        <v>2364</v>
      </c>
      <c r="L397" s="21" t="s">
        <v>2364</v>
      </c>
      <c r="M397" s="21" t="s">
        <v>2364</v>
      </c>
      <c r="N397" s="21" t="s">
        <v>2364</v>
      </c>
      <c r="O397" s="21" t="s">
        <v>2364</v>
      </c>
      <c r="P397" s="21" t="s">
        <v>2364</v>
      </c>
      <c r="Q397" s="102" t="s">
        <v>2276</v>
      </c>
      <c r="R397" s="102"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3" t="s">
        <v>2364</v>
      </c>
      <c r="L398" s="21" t="s">
        <v>2364</v>
      </c>
      <c r="M398" s="21" t="s">
        <v>2364</v>
      </c>
      <c r="N398" s="21" t="s">
        <v>2364</v>
      </c>
      <c r="O398" s="21" t="s">
        <v>2364</v>
      </c>
      <c r="P398" s="21" t="s">
        <v>2364</v>
      </c>
      <c r="Q398" s="102" t="s">
        <v>2276</v>
      </c>
      <c r="R398" s="102"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3" t="s">
        <v>2364</v>
      </c>
      <c r="L399" s="21" t="s">
        <v>2364</v>
      </c>
      <c r="M399" s="21" t="s">
        <v>2364</v>
      </c>
      <c r="N399" s="21" t="s">
        <v>2364</v>
      </c>
      <c r="O399" s="21" t="s">
        <v>2364</v>
      </c>
      <c r="P399" s="21" t="s">
        <v>2364</v>
      </c>
      <c r="Q399" s="102" t="s">
        <v>2276</v>
      </c>
      <c r="R399" s="102"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3" t="s">
        <v>2364</v>
      </c>
      <c r="L400" s="21" t="s">
        <v>2364</v>
      </c>
      <c r="M400" s="21" t="s">
        <v>2364</v>
      </c>
      <c r="N400" s="21" t="s">
        <v>2364</v>
      </c>
      <c r="O400" s="21" t="s">
        <v>2364</v>
      </c>
      <c r="P400" s="21" t="s">
        <v>2364</v>
      </c>
      <c r="Q400" s="102" t="s">
        <v>2276</v>
      </c>
      <c r="R400" s="102"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3" t="s">
        <v>2364</v>
      </c>
      <c r="L401" s="21" t="s">
        <v>2364</v>
      </c>
      <c r="M401" s="21" t="s">
        <v>2364</v>
      </c>
      <c r="N401" s="21" t="s">
        <v>2364</v>
      </c>
      <c r="O401" s="21" t="s">
        <v>2364</v>
      </c>
      <c r="P401" s="21" t="s">
        <v>2364</v>
      </c>
      <c r="Q401" s="102" t="s">
        <v>2276</v>
      </c>
      <c r="R401" s="102"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3" t="s">
        <v>2364</v>
      </c>
      <c r="L402" s="21" t="s">
        <v>2364</v>
      </c>
      <c r="M402" s="21" t="s">
        <v>2364</v>
      </c>
      <c r="N402" s="21" t="s">
        <v>2364</v>
      </c>
      <c r="O402" s="21" t="s">
        <v>2364</v>
      </c>
      <c r="P402" s="21" t="s">
        <v>2364</v>
      </c>
      <c r="Q402" s="102" t="s">
        <v>2276</v>
      </c>
      <c r="R402" s="102"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3" t="s">
        <v>2364</v>
      </c>
      <c r="L403" s="21" t="s">
        <v>2364</v>
      </c>
      <c r="M403" s="21" t="s">
        <v>2364</v>
      </c>
      <c r="N403" s="21" t="s">
        <v>2364</v>
      </c>
      <c r="O403" s="21" t="s">
        <v>2364</v>
      </c>
      <c r="P403" s="21" t="s">
        <v>2364</v>
      </c>
      <c r="Q403" s="102" t="s">
        <v>2276</v>
      </c>
      <c r="R403" s="102"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3" t="s">
        <v>2364</v>
      </c>
      <c r="L404" s="21" t="s">
        <v>2364</v>
      </c>
      <c r="M404" s="21" t="s">
        <v>2364</v>
      </c>
      <c r="N404" s="21" t="s">
        <v>2364</v>
      </c>
      <c r="O404" s="21" t="s">
        <v>2364</v>
      </c>
      <c r="P404" s="21" t="s">
        <v>2364</v>
      </c>
      <c r="Q404" s="102" t="s">
        <v>2276</v>
      </c>
      <c r="R404" s="102"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3" t="s">
        <v>2364</v>
      </c>
      <c r="L405" s="21" t="s">
        <v>2364</v>
      </c>
      <c r="M405" s="21" t="s">
        <v>2364</v>
      </c>
      <c r="N405" s="21" t="s">
        <v>2364</v>
      </c>
      <c r="O405" s="21" t="s">
        <v>2364</v>
      </c>
      <c r="P405" s="21" t="s">
        <v>2364</v>
      </c>
      <c r="Q405" s="102" t="s">
        <v>2276</v>
      </c>
      <c r="R405" s="102"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3" t="s">
        <v>2364</v>
      </c>
      <c r="L406" s="21" t="s">
        <v>2364</v>
      </c>
      <c r="M406" s="21" t="s">
        <v>2364</v>
      </c>
      <c r="N406" s="21" t="s">
        <v>2364</v>
      </c>
      <c r="O406" s="21" t="s">
        <v>2364</v>
      </c>
      <c r="P406" s="21" t="s">
        <v>2364</v>
      </c>
      <c r="Q406" s="102" t="s">
        <v>2276</v>
      </c>
      <c r="R406" s="102"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3" t="s">
        <v>2364</v>
      </c>
      <c r="L407" s="21" t="s">
        <v>2364</v>
      </c>
      <c r="M407" s="21" t="s">
        <v>2364</v>
      </c>
      <c r="N407" s="21" t="s">
        <v>2364</v>
      </c>
      <c r="O407" s="21" t="s">
        <v>2364</v>
      </c>
      <c r="P407" s="21" t="s">
        <v>2364</v>
      </c>
      <c r="Q407" s="102" t="s">
        <v>2276</v>
      </c>
      <c r="R407" s="102"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3" t="s">
        <v>2364</v>
      </c>
      <c r="L408" s="21" t="s">
        <v>2364</v>
      </c>
      <c r="M408" s="21" t="s">
        <v>2364</v>
      </c>
      <c r="N408" s="21" t="s">
        <v>2364</v>
      </c>
      <c r="O408" s="21" t="s">
        <v>2364</v>
      </c>
      <c r="P408" s="21" t="s">
        <v>2364</v>
      </c>
      <c r="Q408" s="102" t="s">
        <v>2276</v>
      </c>
      <c r="R408" s="102"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3" t="s">
        <v>2276</v>
      </c>
      <c r="L409" s="21" t="s">
        <v>2276</v>
      </c>
      <c r="M409" s="21" t="s">
        <v>2276</v>
      </c>
      <c r="N409" s="21" t="s">
        <v>2276</v>
      </c>
      <c r="O409" s="21" t="s">
        <v>2276</v>
      </c>
      <c r="P409" s="21" t="s">
        <v>2276</v>
      </c>
      <c r="Q409" s="102" t="s">
        <v>2276</v>
      </c>
      <c r="R409" s="102"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3" t="s">
        <v>2276</v>
      </c>
      <c r="L410" s="21" t="s">
        <v>2276</v>
      </c>
      <c r="M410" s="21" t="s">
        <v>2276</v>
      </c>
      <c r="N410" s="21" t="s">
        <v>2276</v>
      </c>
      <c r="O410" s="21" t="s">
        <v>2276</v>
      </c>
      <c r="P410" s="21" t="s">
        <v>2276</v>
      </c>
      <c r="Q410" s="102" t="s">
        <v>2276</v>
      </c>
      <c r="R410" s="102"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3" t="s">
        <v>2276</v>
      </c>
      <c r="L411" s="21" t="s">
        <v>2276</v>
      </c>
      <c r="M411" s="21" t="s">
        <v>2276</v>
      </c>
      <c r="N411" s="21" t="s">
        <v>2276</v>
      </c>
      <c r="O411" s="21" t="s">
        <v>2276</v>
      </c>
      <c r="P411" s="21" t="s">
        <v>2276</v>
      </c>
      <c r="Q411" s="102" t="s">
        <v>2276</v>
      </c>
      <c r="R411" s="102"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3" t="s">
        <v>2364</v>
      </c>
      <c r="L412" s="21" t="s">
        <v>2364</v>
      </c>
      <c r="M412" s="21" t="s">
        <v>2364</v>
      </c>
      <c r="N412" s="21" t="s">
        <v>2364</v>
      </c>
      <c r="O412" s="21" t="s">
        <v>2364</v>
      </c>
      <c r="P412" s="21" t="s">
        <v>2364</v>
      </c>
      <c r="Q412" s="102" t="s">
        <v>2276</v>
      </c>
      <c r="R412" s="102"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3" t="s">
        <v>2364</v>
      </c>
      <c r="L413" s="21" t="s">
        <v>2364</v>
      </c>
      <c r="M413" s="21" t="s">
        <v>2364</v>
      </c>
      <c r="N413" s="21" t="s">
        <v>2364</v>
      </c>
      <c r="O413" s="21" t="s">
        <v>2364</v>
      </c>
      <c r="P413" s="21" t="s">
        <v>2364</v>
      </c>
      <c r="Q413" s="102" t="s">
        <v>2276</v>
      </c>
      <c r="R413" s="102"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3" t="s">
        <v>2364</v>
      </c>
      <c r="L414" s="21" t="s">
        <v>2364</v>
      </c>
      <c r="M414" s="21" t="s">
        <v>2364</v>
      </c>
      <c r="N414" s="21" t="s">
        <v>2364</v>
      </c>
      <c r="O414" s="21" t="s">
        <v>2364</v>
      </c>
      <c r="P414" s="21" t="s">
        <v>2364</v>
      </c>
      <c r="Q414" s="102" t="s">
        <v>2276</v>
      </c>
      <c r="R414" s="102"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3" t="s">
        <v>2364</v>
      </c>
      <c r="L415" s="21" t="s">
        <v>2364</v>
      </c>
      <c r="M415" s="21" t="s">
        <v>2364</v>
      </c>
      <c r="N415" s="21" t="s">
        <v>2364</v>
      </c>
      <c r="O415" s="21" t="s">
        <v>2364</v>
      </c>
      <c r="P415" s="21" t="s">
        <v>2364</v>
      </c>
      <c r="Q415" s="102" t="s">
        <v>2276</v>
      </c>
      <c r="R415" s="102"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3" t="s">
        <v>2364</v>
      </c>
      <c r="L416" s="21" t="s">
        <v>2364</v>
      </c>
      <c r="M416" s="21" t="s">
        <v>2364</v>
      </c>
      <c r="N416" s="21" t="s">
        <v>2364</v>
      </c>
      <c r="O416" s="21" t="s">
        <v>2364</v>
      </c>
      <c r="P416" s="21" t="s">
        <v>2364</v>
      </c>
      <c r="Q416" s="102" t="s">
        <v>2276</v>
      </c>
      <c r="R416" s="102"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3" t="s">
        <v>2276</v>
      </c>
      <c r="L417" s="21" t="s">
        <v>2276</v>
      </c>
      <c r="M417" s="21" t="s">
        <v>2276</v>
      </c>
      <c r="N417" s="21" t="s">
        <v>2276</v>
      </c>
      <c r="O417" s="21" t="s">
        <v>2276</v>
      </c>
      <c r="P417" s="21" t="s">
        <v>2276</v>
      </c>
      <c r="Q417" s="102" t="s">
        <v>2276</v>
      </c>
      <c r="R417" s="102"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3" t="s">
        <v>2276</v>
      </c>
      <c r="L418" s="21" t="s">
        <v>2276</v>
      </c>
      <c r="M418" s="21" t="s">
        <v>2276</v>
      </c>
      <c r="N418" s="21" t="s">
        <v>2276</v>
      </c>
      <c r="O418" s="21" t="s">
        <v>2276</v>
      </c>
      <c r="P418" s="21" t="s">
        <v>2276</v>
      </c>
      <c r="Q418" s="102" t="s">
        <v>2276</v>
      </c>
      <c r="R418" s="102"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3" t="s">
        <v>2276</v>
      </c>
      <c r="L419" s="21" t="s">
        <v>2276</v>
      </c>
      <c r="M419" s="21" t="s">
        <v>2276</v>
      </c>
      <c r="N419" s="21" t="s">
        <v>2276</v>
      </c>
      <c r="O419" s="21" t="s">
        <v>2276</v>
      </c>
      <c r="P419" s="21" t="s">
        <v>2276</v>
      </c>
      <c r="Q419" s="102" t="s">
        <v>2276</v>
      </c>
      <c r="R419" s="102"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3" t="s">
        <v>2276</v>
      </c>
      <c r="L420" s="21" t="s">
        <v>2276</v>
      </c>
      <c r="M420" s="21" t="s">
        <v>2276</v>
      </c>
      <c r="N420" s="21" t="s">
        <v>2276</v>
      </c>
      <c r="O420" s="21" t="s">
        <v>2276</v>
      </c>
      <c r="P420" s="21" t="s">
        <v>2276</v>
      </c>
      <c r="Q420" s="102" t="s">
        <v>2276</v>
      </c>
      <c r="R420" s="102"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3" t="s">
        <v>2276</v>
      </c>
      <c r="L421" s="21" t="s">
        <v>2276</v>
      </c>
      <c r="M421" s="21" t="s">
        <v>2276</v>
      </c>
      <c r="N421" s="21" t="s">
        <v>2276</v>
      </c>
      <c r="O421" s="21" t="s">
        <v>2276</v>
      </c>
      <c r="P421" s="21" t="s">
        <v>2276</v>
      </c>
      <c r="Q421" s="102" t="s">
        <v>2276</v>
      </c>
      <c r="R421" s="102"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3" t="s">
        <v>2364</v>
      </c>
      <c r="L422" s="21" t="s">
        <v>2364</v>
      </c>
      <c r="M422" s="21" t="s">
        <v>2364</v>
      </c>
      <c r="N422" s="21" t="s">
        <v>2364</v>
      </c>
      <c r="O422" s="21" t="s">
        <v>2364</v>
      </c>
      <c r="P422" s="21" t="s">
        <v>2364</v>
      </c>
      <c r="Q422" s="102" t="s">
        <v>2276</v>
      </c>
      <c r="R422" s="102"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3" t="s">
        <v>2364</v>
      </c>
      <c r="L423" s="21" t="s">
        <v>2364</v>
      </c>
      <c r="M423" s="21" t="s">
        <v>2364</v>
      </c>
      <c r="N423" s="21" t="s">
        <v>2364</v>
      </c>
      <c r="O423" s="21" t="s">
        <v>2364</v>
      </c>
      <c r="P423" s="21" t="s">
        <v>2364</v>
      </c>
      <c r="Q423" s="102" t="s">
        <v>2276</v>
      </c>
      <c r="R423" s="102"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3" t="s">
        <v>2364</v>
      </c>
      <c r="L424" s="21" t="s">
        <v>2364</v>
      </c>
      <c r="M424" s="21" t="s">
        <v>2364</v>
      </c>
      <c r="N424" s="21" t="s">
        <v>2364</v>
      </c>
      <c r="O424" s="21" t="s">
        <v>2364</v>
      </c>
      <c r="P424" s="21" t="s">
        <v>2364</v>
      </c>
      <c r="Q424" s="102" t="s">
        <v>2276</v>
      </c>
      <c r="R424" s="102"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3" t="s">
        <v>2364</v>
      </c>
      <c r="L425" s="21" t="s">
        <v>2364</v>
      </c>
      <c r="M425" s="21" t="s">
        <v>2364</v>
      </c>
      <c r="N425" s="21" t="s">
        <v>2364</v>
      </c>
      <c r="O425" s="21" t="s">
        <v>2364</v>
      </c>
      <c r="P425" s="21" t="s">
        <v>2364</v>
      </c>
      <c r="Q425" s="102" t="s">
        <v>2276</v>
      </c>
      <c r="R425" s="102"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3" t="s">
        <v>2364</v>
      </c>
      <c r="L426" s="21" t="s">
        <v>2364</v>
      </c>
      <c r="M426" s="21" t="s">
        <v>2364</v>
      </c>
      <c r="N426" s="21" t="s">
        <v>2364</v>
      </c>
      <c r="O426" s="21" t="s">
        <v>2364</v>
      </c>
      <c r="P426" s="21" t="s">
        <v>2364</v>
      </c>
      <c r="Q426" s="102" t="s">
        <v>2276</v>
      </c>
      <c r="R426" s="102"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3" t="s">
        <v>2364</v>
      </c>
      <c r="L427" s="21" t="s">
        <v>2364</v>
      </c>
      <c r="M427" s="21" t="s">
        <v>2364</v>
      </c>
      <c r="N427" s="21" t="s">
        <v>2364</v>
      </c>
      <c r="O427" s="21" t="s">
        <v>2364</v>
      </c>
      <c r="P427" s="21" t="s">
        <v>2364</v>
      </c>
      <c r="Q427" s="102" t="s">
        <v>2276</v>
      </c>
      <c r="R427" s="102"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3" t="s">
        <v>2364</v>
      </c>
      <c r="L428" s="21" t="s">
        <v>2364</v>
      </c>
      <c r="M428" s="21" t="s">
        <v>2364</v>
      </c>
      <c r="N428" s="21" t="s">
        <v>2364</v>
      </c>
      <c r="O428" s="21" t="s">
        <v>2364</v>
      </c>
      <c r="P428" s="21" t="s">
        <v>2364</v>
      </c>
      <c r="Q428" s="102" t="s">
        <v>2276</v>
      </c>
      <c r="R428" s="102"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3" t="s">
        <v>2364</v>
      </c>
      <c r="L429" s="21" t="s">
        <v>2364</v>
      </c>
      <c r="M429" s="21" t="s">
        <v>2364</v>
      </c>
      <c r="N429" s="21" t="s">
        <v>2364</v>
      </c>
      <c r="O429" s="21" t="s">
        <v>2364</v>
      </c>
      <c r="P429" s="21" t="s">
        <v>2364</v>
      </c>
      <c r="Q429" s="102" t="s">
        <v>2276</v>
      </c>
      <c r="R429" s="102"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3" t="s">
        <v>2364</v>
      </c>
      <c r="L430" s="21" t="s">
        <v>2364</v>
      </c>
      <c r="M430" s="21" t="s">
        <v>2364</v>
      </c>
      <c r="N430" s="21" t="s">
        <v>2364</v>
      </c>
      <c r="O430" s="21" t="s">
        <v>2364</v>
      </c>
      <c r="P430" s="21" t="s">
        <v>2364</v>
      </c>
      <c r="Q430" s="102" t="s">
        <v>2276</v>
      </c>
      <c r="R430" s="102"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3" t="s">
        <v>2364</v>
      </c>
      <c r="L431" s="21" t="s">
        <v>2364</v>
      </c>
      <c r="M431" s="21" t="s">
        <v>2364</v>
      </c>
      <c r="N431" s="21" t="s">
        <v>2364</v>
      </c>
      <c r="O431" s="21" t="s">
        <v>2364</v>
      </c>
      <c r="P431" s="21" t="s">
        <v>2364</v>
      </c>
      <c r="Q431" s="102" t="s">
        <v>2276</v>
      </c>
      <c r="R431" s="102"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3" t="s">
        <v>2364</v>
      </c>
      <c r="L432" s="21" t="s">
        <v>2364</v>
      </c>
      <c r="M432" s="21" t="s">
        <v>2364</v>
      </c>
      <c r="N432" s="21" t="s">
        <v>2364</v>
      </c>
      <c r="O432" s="21" t="s">
        <v>2364</v>
      </c>
      <c r="P432" s="21" t="s">
        <v>2364</v>
      </c>
      <c r="Q432" s="102" t="s">
        <v>2276</v>
      </c>
      <c r="R432" s="102"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3" t="s">
        <v>2364</v>
      </c>
      <c r="L433" s="21" t="s">
        <v>2364</v>
      </c>
      <c r="M433" s="21" t="s">
        <v>2364</v>
      </c>
      <c r="N433" s="21" t="s">
        <v>2364</v>
      </c>
      <c r="O433" s="21" t="s">
        <v>2364</v>
      </c>
      <c r="P433" s="21" t="s">
        <v>2364</v>
      </c>
      <c r="Q433" s="102" t="s">
        <v>2276</v>
      </c>
      <c r="R433" s="102"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3" t="s">
        <v>2364</v>
      </c>
      <c r="L434" s="21" t="s">
        <v>2364</v>
      </c>
      <c r="M434" s="21" t="s">
        <v>2364</v>
      </c>
      <c r="N434" s="21" t="s">
        <v>2364</v>
      </c>
      <c r="O434" s="21" t="s">
        <v>2364</v>
      </c>
      <c r="P434" s="21" t="s">
        <v>2364</v>
      </c>
      <c r="Q434" s="102" t="s">
        <v>2276</v>
      </c>
      <c r="R434" s="102"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3" t="s">
        <v>2364</v>
      </c>
      <c r="L435" s="21" t="s">
        <v>2364</v>
      </c>
      <c r="M435" s="21" t="s">
        <v>2364</v>
      </c>
      <c r="N435" s="21" t="s">
        <v>2364</v>
      </c>
      <c r="O435" s="21" t="s">
        <v>2364</v>
      </c>
      <c r="P435" s="21" t="s">
        <v>2364</v>
      </c>
      <c r="Q435" s="102" t="s">
        <v>2276</v>
      </c>
      <c r="R435" s="102"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3" t="s">
        <v>2276</v>
      </c>
      <c r="L436" s="21" t="s">
        <v>2276</v>
      </c>
      <c r="M436" s="21" t="s">
        <v>2276</v>
      </c>
      <c r="N436" s="21" t="s">
        <v>2276</v>
      </c>
      <c r="O436" s="21" t="s">
        <v>2276</v>
      </c>
      <c r="P436" s="21" t="s">
        <v>2276</v>
      </c>
      <c r="Q436" s="102" t="s">
        <v>2276</v>
      </c>
      <c r="R436" s="102"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3" t="s">
        <v>2276</v>
      </c>
      <c r="L437" s="21" t="s">
        <v>2276</v>
      </c>
      <c r="M437" s="21" t="s">
        <v>2276</v>
      </c>
      <c r="N437" s="21" t="s">
        <v>2276</v>
      </c>
      <c r="O437" s="21" t="s">
        <v>2276</v>
      </c>
      <c r="P437" s="21" t="s">
        <v>2276</v>
      </c>
      <c r="Q437" s="102" t="s">
        <v>2276</v>
      </c>
      <c r="R437" s="102"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3" t="s">
        <v>2276</v>
      </c>
      <c r="L438" s="21" t="s">
        <v>2276</v>
      </c>
      <c r="M438" s="21" t="s">
        <v>2276</v>
      </c>
      <c r="N438" s="21" t="s">
        <v>2276</v>
      </c>
      <c r="O438" s="21" t="s">
        <v>2276</v>
      </c>
      <c r="P438" s="21" t="s">
        <v>2276</v>
      </c>
      <c r="Q438" s="102" t="s">
        <v>2276</v>
      </c>
      <c r="R438" s="102"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3" t="s">
        <v>2276</v>
      </c>
      <c r="L439" s="21" t="s">
        <v>2276</v>
      </c>
      <c r="M439" s="21" t="s">
        <v>2276</v>
      </c>
      <c r="N439" s="21" t="s">
        <v>2276</v>
      </c>
      <c r="O439" s="21" t="s">
        <v>2276</v>
      </c>
      <c r="P439" s="21" t="s">
        <v>2276</v>
      </c>
      <c r="Q439" s="102" t="s">
        <v>2276</v>
      </c>
      <c r="R439" s="102"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3" t="s">
        <v>2276</v>
      </c>
      <c r="L440" s="21" t="s">
        <v>2276</v>
      </c>
      <c r="M440" s="21" t="s">
        <v>2276</v>
      </c>
      <c r="N440" s="21" t="s">
        <v>2276</v>
      </c>
      <c r="O440" s="21" t="s">
        <v>2276</v>
      </c>
      <c r="P440" s="21" t="s">
        <v>2276</v>
      </c>
      <c r="Q440" s="102" t="s">
        <v>2276</v>
      </c>
      <c r="R440" s="102"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3" t="s">
        <v>2276</v>
      </c>
      <c r="L441" s="21" t="s">
        <v>2276</v>
      </c>
      <c r="M441" s="21" t="s">
        <v>2276</v>
      </c>
      <c r="N441" s="21" t="s">
        <v>2276</v>
      </c>
      <c r="O441" s="21" t="s">
        <v>2276</v>
      </c>
      <c r="P441" s="21" t="s">
        <v>2276</v>
      </c>
      <c r="Q441" s="102" t="s">
        <v>2276</v>
      </c>
      <c r="R441" s="102"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3" t="s">
        <v>2364</v>
      </c>
      <c r="L442" s="21" t="s">
        <v>2364</v>
      </c>
      <c r="M442" s="21" t="s">
        <v>2364</v>
      </c>
      <c r="N442" s="21" t="s">
        <v>2364</v>
      </c>
      <c r="O442" s="21" t="s">
        <v>2364</v>
      </c>
      <c r="P442" s="21" t="s">
        <v>2364</v>
      </c>
      <c r="Q442" s="102" t="s">
        <v>2276</v>
      </c>
      <c r="R442" s="102"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3" t="s">
        <v>2276</v>
      </c>
      <c r="L443" s="21" t="s">
        <v>2276</v>
      </c>
      <c r="M443" s="21" t="s">
        <v>2276</v>
      </c>
      <c r="N443" s="21" t="s">
        <v>2276</v>
      </c>
      <c r="O443" s="21" t="s">
        <v>2276</v>
      </c>
      <c r="P443" s="21" t="s">
        <v>2276</v>
      </c>
      <c r="Q443" s="102" t="s">
        <v>2276</v>
      </c>
      <c r="R443" s="102"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3" t="s">
        <v>2276</v>
      </c>
      <c r="L444" s="21" t="s">
        <v>2276</v>
      </c>
      <c r="M444" s="21" t="s">
        <v>2276</v>
      </c>
      <c r="N444" s="21" t="s">
        <v>2276</v>
      </c>
      <c r="O444" s="21" t="s">
        <v>2375</v>
      </c>
      <c r="P444" s="21" t="s">
        <v>2276</v>
      </c>
      <c r="Q444" s="102" t="s">
        <v>2276</v>
      </c>
      <c r="R444" s="102"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3" t="s">
        <v>2276</v>
      </c>
      <c r="L445" s="21" t="s">
        <v>2276</v>
      </c>
      <c r="M445" s="21" t="s">
        <v>2276</v>
      </c>
      <c r="N445" s="21" t="s">
        <v>2276</v>
      </c>
      <c r="O445" s="21" t="s">
        <v>2276</v>
      </c>
      <c r="P445" s="21" t="s">
        <v>2276</v>
      </c>
      <c r="Q445" s="102" t="s">
        <v>2276</v>
      </c>
      <c r="R445" s="102"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3" t="s">
        <v>2276</v>
      </c>
      <c r="L446" s="21" t="s">
        <v>2276</v>
      </c>
      <c r="M446" s="21" t="s">
        <v>2276</v>
      </c>
      <c r="N446" s="21" t="s">
        <v>2276</v>
      </c>
      <c r="O446" s="21" t="s">
        <v>2375</v>
      </c>
      <c r="P446" s="21" t="s">
        <v>2276</v>
      </c>
      <c r="Q446" s="102" t="s">
        <v>2276</v>
      </c>
      <c r="R446" s="102"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3" t="s">
        <v>2276</v>
      </c>
      <c r="L447" s="21" t="s">
        <v>2276</v>
      </c>
      <c r="M447" s="21" t="s">
        <v>2276</v>
      </c>
      <c r="N447" s="21" t="s">
        <v>2276</v>
      </c>
      <c r="O447" s="21" t="s">
        <v>2276</v>
      </c>
      <c r="P447" s="21" t="s">
        <v>2276</v>
      </c>
      <c r="Q447" s="102" t="s">
        <v>2276</v>
      </c>
      <c r="R447" s="102"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3" t="s">
        <v>2276</v>
      </c>
      <c r="L448" s="21" t="s">
        <v>2276</v>
      </c>
      <c r="M448" s="21" t="s">
        <v>2276</v>
      </c>
      <c r="N448" s="21" t="s">
        <v>2276</v>
      </c>
      <c r="O448" s="21" t="s">
        <v>2375</v>
      </c>
      <c r="P448" s="21" t="s">
        <v>2276</v>
      </c>
      <c r="Q448" s="102" t="s">
        <v>2276</v>
      </c>
      <c r="R448" s="102"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7" t="s">
        <v>2276</v>
      </c>
      <c r="K449" s="109" t="s">
        <v>2276</v>
      </c>
      <c r="L449" s="77" t="s">
        <v>2276</v>
      </c>
      <c r="M449" s="77" t="s">
        <v>2276</v>
      </c>
      <c r="N449" s="77" t="s">
        <v>2276</v>
      </c>
      <c r="O449" s="77" t="s">
        <v>2276</v>
      </c>
      <c r="P449" s="77" t="s">
        <v>2276</v>
      </c>
      <c r="Q449" s="102" t="s">
        <v>2276</v>
      </c>
      <c r="R449" s="102" t="s">
        <v>2276</v>
      </c>
      <c r="S449" s="77" t="s">
        <v>2276</v>
      </c>
      <c r="T449" s="77" t="s">
        <v>2276</v>
      </c>
      <c r="U449" s="77" t="s">
        <v>2276</v>
      </c>
      <c r="V449" s="77" t="s">
        <v>2276</v>
      </c>
      <c r="W449" s="77"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7" t="s">
        <v>2276</v>
      </c>
      <c r="K450" s="109" t="s">
        <v>2276</v>
      </c>
      <c r="L450" s="77" t="s">
        <v>2276</v>
      </c>
      <c r="M450" s="77" t="s">
        <v>2276</v>
      </c>
      <c r="N450" s="77" t="s">
        <v>2276</v>
      </c>
      <c r="O450" s="77" t="s">
        <v>2375</v>
      </c>
      <c r="P450" s="77" t="s">
        <v>2276</v>
      </c>
      <c r="Q450" s="102" t="s">
        <v>2276</v>
      </c>
      <c r="R450" s="102" t="s">
        <v>2276</v>
      </c>
      <c r="S450" s="77" t="s">
        <v>2276</v>
      </c>
      <c r="T450" s="77" t="s">
        <v>2276</v>
      </c>
      <c r="U450" s="77" t="s">
        <v>2276</v>
      </c>
      <c r="V450" s="77" t="s">
        <v>2276</v>
      </c>
      <c r="W450" s="77"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7" t="s">
        <v>2276</v>
      </c>
      <c r="K451" s="109" t="s">
        <v>2276</v>
      </c>
      <c r="L451" s="77" t="s">
        <v>2276</v>
      </c>
      <c r="M451" s="77" t="s">
        <v>2276</v>
      </c>
      <c r="N451" s="77" t="s">
        <v>2276</v>
      </c>
      <c r="O451" s="77" t="s">
        <v>2276</v>
      </c>
      <c r="P451" s="77" t="s">
        <v>2276</v>
      </c>
      <c r="Q451" s="102" t="s">
        <v>2276</v>
      </c>
      <c r="R451" s="102" t="s">
        <v>2276</v>
      </c>
      <c r="S451" s="77" t="s">
        <v>2276</v>
      </c>
      <c r="T451" s="77" t="s">
        <v>2276</v>
      </c>
      <c r="U451" s="77" t="s">
        <v>2276</v>
      </c>
      <c r="V451" s="77" t="s">
        <v>2276</v>
      </c>
      <c r="W451" s="77"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7" t="s">
        <v>2276</v>
      </c>
      <c r="K452" s="109" t="s">
        <v>2276</v>
      </c>
      <c r="L452" s="77" t="s">
        <v>2276</v>
      </c>
      <c r="M452" s="77" t="s">
        <v>2276</v>
      </c>
      <c r="N452" s="77" t="s">
        <v>2276</v>
      </c>
      <c r="O452" s="77" t="s">
        <v>2375</v>
      </c>
      <c r="P452" s="77" t="s">
        <v>2276</v>
      </c>
      <c r="Q452" s="102" t="s">
        <v>2276</v>
      </c>
      <c r="R452" s="102" t="s">
        <v>2276</v>
      </c>
      <c r="S452" s="77" t="s">
        <v>2276</v>
      </c>
      <c r="T452" s="77" t="s">
        <v>2276</v>
      </c>
      <c r="U452" s="77" t="s">
        <v>2276</v>
      </c>
      <c r="V452" s="77" t="s">
        <v>2276</v>
      </c>
      <c r="W452" s="77"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7" t="s">
        <v>2276</v>
      </c>
      <c r="K453" s="109" t="s">
        <v>2276</v>
      </c>
      <c r="L453" s="77" t="s">
        <v>2276</v>
      </c>
      <c r="M453" s="77" t="s">
        <v>2276</v>
      </c>
      <c r="N453" s="77" t="s">
        <v>2276</v>
      </c>
      <c r="O453" s="77" t="s">
        <v>2276</v>
      </c>
      <c r="P453" s="77" t="s">
        <v>2276</v>
      </c>
      <c r="Q453" s="102" t="s">
        <v>2276</v>
      </c>
      <c r="R453" s="102" t="s">
        <v>2276</v>
      </c>
      <c r="S453" s="77" t="s">
        <v>2276</v>
      </c>
      <c r="T453" s="77" t="s">
        <v>2276</v>
      </c>
      <c r="U453" s="77" t="s">
        <v>2276</v>
      </c>
      <c r="V453" s="77" t="s">
        <v>2276</v>
      </c>
      <c r="W453" s="77"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7" t="s">
        <v>2276</v>
      </c>
      <c r="K454" s="109" t="s">
        <v>2276</v>
      </c>
      <c r="L454" s="77" t="s">
        <v>2276</v>
      </c>
      <c r="M454" s="77" t="s">
        <v>2276</v>
      </c>
      <c r="N454" s="77" t="s">
        <v>2276</v>
      </c>
      <c r="O454" s="77" t="s">
        <v>2276</v>
      </c>
      <c r="P454" s="77" t="s">
        <v>2276</v>
      </c>
      <c r="Q454" s="102" t="s">
        <v>2276</v>
      </c>
      <c r="R454" s="102" t="s">
        <v>2276</v>
      </c>
      <c r="S454" s="77" t="s">
        <v>2276</v>
      </c>
      <c r="T454" s="77" t="s">
        <v>2276</v>
      </c>
      <c r="U454" s="77" t="s">
        <v>2276</v>
      </c>
      <c r="V454" s="77" t="s">
        <v>2276</v>
      </c>
      <c r="W454" s="77"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7" t="s">
        <v>2276</v>
      </c>
      <c r="K455" s="109" t="s">
        <v>2276</v>
      </c>
      <c r="L455" s="77" t="s">
        <v>2276</v>
      </c>
      <c r="M455" s="77" t="s">
        <v>2276</v>
      </c>
      <c r="N455" s="77" t="s">
        <v>2276</v>
      </c>
      <c r="O455" s="77" t="s">
        <v>2276</v>
      </c>
      <c r="P455" s="77" t="s">
        <v>2276</v>
      </c>
      <c r="Q455" s="102" t="s">
        <v>2276</v>
      </c>
      <c r="R455" s="102" t="s">
        <v>2276</v>
      </c>
      <c r="S455" s="77" t="s">
        <v>2276</v>
      </c>
      <c r="T455" s="77" t="s">
        <v>2276</v>
      </c>
      <c r="U455" s="77" t="s">
        <v>2276</v>
      </c>
      <c r="V455" s="77" t="s">
        <v>2276</v>
      </c>
      <c r="W455" s="77"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3" t="s">
        <v>2276</v>
      </c>
      <c r="L456" s="21" t="s">
        <v>2276</v>
      </c>
      <c r="M456" s="21" t="s">
        <v>2276</v>
      </c>
      <c r="N456" s="21" t="s">
        <v>2276</v>
      </c>
      <c r="O456" s="21" t="s">
        <v>2276</v>
      </c>
      <c r="P456" s="21" t="s">
        <v>2276</v>
      </c>
      <c r="Q456" s="102" t="s">
        <v>2276</v>
      </c>
      <c r="R456" s="102" t="s">
        <v>2276</v>
      </c>
      <c r="S456" s="21" t="s">
        <v>2276</v>
      </c>
      <c r="T456" s="21" t="s">
        <v>2276</v>
      </c>
      <c r="U456" s="21" t="s">
        <v>2276</v>
      </c>
      <c r="V456" s="21" t="s">
        <v>2276</v>
      </c>
      <c r="W456" s="103"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3" t="s">
        <v>2276</v>
      </c>
      <c r="L457" s="21" t="s">
        <v>2276</v>
      </c>
      <c r="M457" s="21" t="s">
        <v>2276</v>
      </c>
      <c r="N457" s="21" t="s">
        <v>2276</v>
      </c>
      <c r="O457" s="21" t="s">
        <v>2276</v>
      </c>
      <c r="P457" s="21" t="s">
        <v>2276</v>
      </c>
      <c r="Q457" s="102" t="s">
        <v>2276</v>
      </c>
      <c r="R457" s="102" t="s">
        <v>2276</v>
      </c>
      <c r="S457" s="21" t="s">
        <v>2276</v>
      </c>
      <c r="T457" s="21" t="s">
        <v>2276</v>
      </c>
      <c r="U457" s="21" t="s">
        <v>2276</v>
      </c>
      <c r="V457" s="21" t="s">
        <v>2276</v>
      </c>
      <c r="W457" s="103"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3" t="s">
        <v>2364</v>
      </c>
      <c r="L458" s="21" t="s">
        <v>2364</v>
      </c>
      <c r="M458" s="21" t="s">
        <v>2364</v>
      </c>
      <c r="N458" s="21" t="s">
        <v>2364</v>
      </c>
      <c r="O458" s="21" t="s">
        <v>2364</v>
      </c>
      <c r="P458" s="21" t="s">
        <v>2364</v>
      </c>
      <c r="Q458" s="102" t="s">
        <v>2276</v>
      </c>
      <c r="R458" s="102"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3" t="s">
        <v>2276</v>
      </c>
      <c r="L459" s="21" t="s">
        <v>2276</v>
      </c>
      <c r="M459" s="21" t="s">
        <v>2276</v>
      </c>
      <c r="N459" s="21" t="s">
        <v>2276</v>
      </c>
      <c r="O459" s="21" t="s">
        <v>2276</v>
      </c>
      <c r="P459" s="21" t="s">
        <v>2276</v>
      </c>
      <c r="Q459" s="102" t="s">
        <v>2276</v>
      </c>
      <c r="R459" s="102"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3" t="s">
        <v>2276</v>
      </c>
      <c r="L460" s="21" t="s">
        <v>2276</v>
      </c>
      <c r="M460" s="21" t="s">
        <v>2276</v>
      </c>
      <c r="N460" s="21" t="s">
        <v>2276</v>
      </c>
      <c r="O460" s="21" t="s">
        <v>2276</v>
      </c>
      <c r="P460" s="21" t="s">
        <v>2276</v>
      </c>
      <c r="Q460" s="102" t="s">
        <v>2276</v>
      </c>
      <c r="R460" s="102"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2" t="s">
        <v>2276</v>
      </c>
      <c r="K461" s="112" t="s">
        <v>2276</v>
      </c>
      <c r="L461" s="82" t="s">
        <v>2276</v>
      </c>
      <c r="M461" s="82" t="s">
        <v>2276</v>
      </c>
      <c r="N461" s="82" t="s">
        <v>2276</v>
      </c>
      <c r="O461" s="82" t="s">
        <v>2276</v>
      </c>
      <c r="P461" s="82" t="s">
        <v>2276</v>
      </c>
      <c r="Q461" s="102" t="s">
        <v>2276</v>
      </c>
      <c r="R461" s="102" t="s">
        <v>2276</v>
      </c>
      <c r="S461" s="82" t="s">
        <v>2276</v>
      </c>
      <c r="T461" s="82" t="s">
        <v>2276</v>
      </c>
      <c r="U461" s="82" t="s">
        <v>2276</v>
      </c>
      <c r="V461" s="82" t="s">
        <v>2276</v>
      </c>
      <c r="W461" s="82"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3" t="s">
        <v>2276</v>
      </c>
      <c r="L462" s="21" t="s">
        <v>2276</v>
      </c>
      <c r="M462" s="21" t="s">
        <v>2276</v>
      </c>
      <c r="N462" s="21" t="s">
        <v>2276</v>
      </c>
      <c r="O462" s="21" t="s">
        <v>2276</v>
      </c>
      <c r="P462" s="21" t="s">
        <v>2276</v>
      </c>
      <c r="Q462" s="102" t="s">
        <v>2276</v>
      </c>
      <c r="R462" s="102"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3" t="s">
        <v>2276</v>
      </c>
      <c r="L463" s="21" t="s">
        <v>2276</v>
      </c>
      <c r="M463" s="21" t="s">
        <v>2276</v>
      </c>
      <c r="N463" s="21" t="s">
        <v>2276</v>
      </c>
      <c r="O463" s="21" t="s">
        <v>2276</v>
      </c>
      <c r="P463" s="21" t="s">
        <v>2276</v>
      </c>
      <c r="Q463" s="102" t="s">
        <v>2276</v>
      </c>
      <c r="R463" s="102"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3" t="s">
        <v>2276</v>
      </c>
      <c r="L464" s="21" t="s">
        <v>2276</v>
      </c>
      <c r="M464" s="21" t="s">
        <v>2373</v>
      </c>
      <c r="N464" s="21" t="s">
        <v>2276</v>
      </c>
      <c r="O464" s="21" t="s">
        <v>2362</v>
      </c>
      <c r="P464" s="21" t="s">
        <v>2276</v>
      </c>
      <c r="Q464" s="102" t="s">
        <v>2276</v>
      </c>
      <c r="R464" s="102"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3" t="s">
        <v>2276</v>
      </c>
      <c r="L465" s="21" t="s">
        <v>2276</v>
      </c>
      <c r="M465" s="21" t="s">
        <v>2276</v>
      </c>
      <c r="N465" s="21" t="s">
        <v>2276</v>
      </c>
      <c r="O465" s="21" t="s">
        <v>2362</v>
      </c>
      <c r="P465" s="21" t="s">
        <v>2276</v>
      </c>
      <c r="Q465" s="102" t="s">
        <v>2276</v>
      </c>
      <c r="R465" s="102"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3" t="s">
        <v>2364</v>
      </c>
      <c r="L466" s="21" t="s">
        <v>2364</v>
      </c>
      <c r="M466" s="21" t="s">
        <v>2364</v>
      </c>
      <c r="N466" s="21" t="s">
        <v>2364</v>
      </c>
      <c r="O466" s="21" t="s">
        <v>2364</v>
      </c>
      <c r="P466" s="21" t="s">
        <v>2364</v>
      </c>
      <c r="Q466" s="102" t="s">
        <v>2276</v>
      </c>
      <c r="R466" s="102"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3" t="s">
        <v>2276</v>
      </c>
      <c r="L467" s="21" t="s">
        <v>2276</v>
      </c>
      <c r="M467" s="21" t="s">
        <v>2276</v>
      </c>
      <c r="N467" s="21" t="s">
        <v>2276</v>
      </c>
      <c r="O467" s="21" t="s">
        <v>2362</v>
      </c>
      <c r="P467" s="21" t="s">
        <v>2276</v>
      </c>
      <c r="Q467" s="102" t="s">
        <v>2276</v>
      </c>
      <c r="R467" s="102"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3" t="s">
        <v>2276</v>
      </c>
      <c r="L468" s="21" t="s">
        <v>2276</v>
      </c>
      <c r="M468" s="21" t="s">
        <v>2276</v>
      </c>
      <c r="N468" s="21" t="s">
        <v>2276</v>
      </c>
      <c r="O468" s="21" t="s">
        <v>2276</v>
      </c>
      <c r="P468" s="21" t="s">
        <v>2276</v>
      </c>
      <c r="Q468" s="102" t="s">
        <v>2276</v>
      </c>
      <c r="R468" s="102"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3" t="s">
        <v>2276</v>
      </c>
      <c r="L469" s="21" t="s">
        <v>2276</v>
      </c>
      <c r="M469" s="21" t="s">
        <v>2276</v>
      </c>
      <c r="N469" s="21" t="s">
        <v>2276</v>
      </c>
      <c r="O469" s="21" t="s">
        <v>2276</v>
      </c>
      <c r="P469" s="21" t="s">
        <v>2276</v>
      </c>
      <c r="Q469" s="102" t="s">
        <v>2276</v>
      </c>
      <c r="R469" s="102"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3" t="s">
        <v>2276</v>
      </c>
      <c r="L470" s="21" t="s">
        <v>2276</v>
      </c>
      <c r="M470" s="21" t="s">
        <v>2276</v>
      </c>
      <c r="N470" s="21" t="s">
        <v>2276</v>
      </c>
      <c r="O470" s="21" t="s">
        <v>2276</v>
      </c>
      <c r="P470" s="21" t="s">
        <v>2276</v>
      </c>
      <c r="Q470" s="102" t="s">
        <v>2276</v>
      </c>
      <c r="R470" s="102"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3" t="s">
        <v>2276</v>
      </c>
      <c r="L471" s="21" t="s">
        <v>2276</v>
      </c>
      <c r="M471" s="21" t="s">
        <v>2276</v>
      </c>
      <c r="N471" s="21" t="s">
        <v>2276</v>
      </c>
      <c r="O471" s="21" t="s">
        <v>2276</v>
      </c>
      <c r="P471" s="21" t="s">
        <v>2276</v>
      </c>
      <c r="Q471" s="102" t="s">
        <v>2276</v>
      </c>
      <c r="R471" s="102"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3" t="s">
        <v>2276</v>
      </c>
      <c r="L472" s="21" t="s">
        <v>2276</v>
      </c>
      <c r="M472" s="21" t="s">
        <v>2276</v>
      </c>
      <c r="N472" s="21" t="s">
        <v>2276</v>
      </c>
      <c r="O472" s="21" t="s">
        <v>2373</v>
      </c>
      <c r="P472" s="21" t="s">
        <v>2276</v>
      </c>
      <c r="Q472" s="102" t="s">
        <v>2276</v>
      </c>
      <c r="R472" s="102"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3" t="s">
        <v>2364</v>
      </c>
      <c r="L473" s="21" t="s">
        <v>2364</v>
      </c>
      <c r="M473" s="21" t="s">
        <v>2364</v>
      </c>
      <c r="N473" s="21" t="s">
        <v>2364</v>
      </c>
      <c r="O473" s="21" t="s">
        <v>2364</v>
      </c>
      <c r="P473" s="21" t="s">
        <v>2364</v>
      </c>
      <c r="Q473" s="102" t="s">
        <v>2276</v>
      </c>
      <c r="R473" s="102"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3" t="s">
        <v>2276</v>
      </c>
      <c r="L474" s="21" t="s">
        <v>2276</v>
      </c>
      <c r="M474" s="21" t="s">
        <v>2276</v>
      </c>
      <c r="N474" s="21" t="s">
        <v>2276</v>
      </c>
      <c r="O474" s="21" t="s">
        <v>2373</v>
      </c>
      <c r="P474" s="21" t="s">
        <v>2276</v>
      </c>
      <c r="Q474" s="102" t="s">
        <v>2276</v>
      </c>
      <c r="R474" s="102"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3" t="s">
        <v>2276</v>
      </c>
      <c r="L475" s="21" t="s">
        <v>2276</v>
      </c>
      <c r="M475" s="21" t="s">
        <v>2276</v>
      </c>
      <c r="N475" s="21" t="s">
        <v>2276</v>
      </c>
      <c r="O475" s="21" t="s">
        <v>2276</v>
      </c>
      <c r="P475" s="21" t="s">
        <v>2276</v>
      </c>
      <c r="Q475" s="102" t="s">
        <v>2276</v>
      </c>
      <c r="R475" s="102"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3" t="s">
        <v>2276</v>
      </c>
      <c r="L476" s="21" t="s">
        <v>2276</v>
      </c>
      <c r="M476" s="21" t="s">
        <v>2276</v>
      </c>
      <c r="N476" s="21" t="s">
        <v>2276</v>
      </c>
      <c r="O476" s="21" t="s">
        <v>2276</v>
      </c>
      <c r="P476" s="21" t="s">
        <v>2276</v>
      </c>
      <c r="Q476" s="102" t="s">
        <v>2276</v>
      </c>
      <c r="R476" s="102"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3" t="s">
        <v>2276</v>
      </c>
      <c r="L477" s="21" t="s">
        <v>2276</v>
      </c>
      <c r="M477" s="21" t="s">
        <v>2276</v>
      </c>
      <c r="N477" s="21" t="s">
        <v>2276</v>
      </c>
      <c r="O477" s="21" t="s">
        <v>2276</v>
      </c>
      <c r="P477" s="21" t="s">
        <v>2276</v>
      </c>
      <c r="Q477" s="102" t="s">
        <v>2276</v>
      </c>
      <c r="R477" s="102"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3" t="s">
        <v>2276</v>
      </c>
      <c r="L478" s="21" t="s">
        <v>2276</v>
      </c>
      <c r="M478" s="21" t="s">
        <v>2276</v>
      </c>
      <c r="N478" s="21" t="s">
        <v>2276</v>
      </c>
      <c r="O478" s="21" t="s">
        <v>2276</v>
      </c>
      <c r="P478" s="21" t="s">
        <v>2276</v>
      </c>
      <c r="Q478" s="102" t="s">
        <v>2276</v>
      </c>
      <c r="R478" s="102"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3" t="s">
        <v>2276</v>
      </c>
      <c r="L479" s="21" t="s">
        <v>2276</v>
      </c>
      <c r="M479" s="21" t="s">
        <v>2276</v>
      </c>
      <c r="N479" s="21" t="s">
        <v>2276</v>
      </c>
      <c r="O479" s="21" t="s">
        <v>2276</v>
      </c>
      <c r="P479" s="21" t="s">
        <v>2276</v>
      </c>
      <c r="Q479" s="102" t="s">
        <v>2276</v>
      </c>
      <c r="R479" s="102"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3" t="s">
        <v>2276</v>
      </c>
      <c r="L480" s="21" t="s">
        <v>2276</v>
      </c>
      <c r="M480" s="21" t="s">
        <v>2276</v>
      </c>
      <c r="N480" s="21" t="s">
        <v>2276</v>
      </c>
      <c r="O480" s="21" t="s">
        <v>2276</v>
      </c>
      <c r="P480" s="21" t="s">
        <v>2276</v>
      </c>
      <c r="Q480" s="102" t="s">
        <v>2276</v>
      </c>
      <c r="R480" s="102"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3" t="s">
        <v>2276</v>
      </c>
      <c r="L481" s="21" t="s">
        <v>2276</v>
      </c>
      <c r="M481" s="21" t="s">
        <v>2276</v>
      </c>
      <c r="N481" s="21" t="s">
        <v>2276</v>
      </c>
      <c r="O481" s="21" t="s">
        <v>2276</v>
      </c>
      <c r="P481" s="21" t="s">
        <v>2276</v>
      </c>
      <c r="Q481" s="102" t="s">
        <v>2276</v>
      </c>
      <c r="R481" s="102"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3"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3" t="s">
        <v>2276</v>
      </c>
      <c r="L483" s="21" t="s">
        <v>2276</v>
      </c>
      <c r="M483" s="21" t="s">
        <v>2276</v>
      </c>
      <c r="N483" s="21" t="s">
        <v>2276</v>
      </c>
      <c r="O483" s="21" t="s">
        <v>2276</v>
      </c>
      <c r="P483" s="21" t="s">
        <v>2276</v>
      </c>
      <c r="Q483" s="102" t="s">
        <v>2276</v>
      </c>
      <c r="R483" s="102"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3"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4"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3" t="s">
        <v>2276</v>
      </c>
      <c r="L485" s="21" t="s">
        <v>2276</v>
      </c>
      <c r="M485" s="21" t="s">
        <v>2276</v>
      </c>
      <c r="N485" s="21" t="s">
        <v>2276</v>
      </c>
      <c r="O485" s="21" t="s">
        <v>2276</v>
      </c>
      <c r="P485" s="21" t="s">
        <v>2276</v>
      </c>
      <c r="Q485" s="102" t="s">
        <v>2276</v>
      </c>
      <c r="R485" s="102"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3"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4"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3" t="s">
        <v>2276</v>
      </c>
      <c r="L487" s="21" t="s">
        <v>2276</v>
      </c>
      <c r="M487" s="21" t="s">
        <v>2276</v>
      </c>
      <c r="N487" s="21" t="s">
        <v>2276</v>
      </c>
      <c r="O487" s="21" t="s">
        <v>2276</v>
      </c>
      <c r="P487" s="21" t="s">
        <v>2276</v>
      </c>
      <c r="Q487" s="102" t="s">
        <v>2276</v>
      </c>
      <c r="R487" s="102" t="s">
        <v>2276</v>
      </c>
      <c r="S487" s="21" t="s">
        <v>2374</v>
      </c>
      <c r="T487" s="21" t="s">
        <v>2276</v>
      </c>
      <c r="U487" s="21" t="s">
        <v>2276</v>
      </c>
      <c r="V487" s="21" t="s">
        <v>2276</v>
      </c>
      <c r="W487" s="74"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3"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4"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3" t="s">
        <v>2276</v>
      </c>
      <c r="L489" s="21" t="s">
        <v>2276</v>
      </c>
      <c r="M489" s="21" t="s">
        <v>2276</v>
      </c>
      <c r="N489" s="21" t="s">
        <v>2276</v>
      </c>
      <c r="O489" s="21" t="s">
        <v>2276</v>
      </c>
      <c r="P489" s="21" t="s">
        <v>2276</v>
      </c>
      <c r="Q489" s="102" t="s">
        <v>2276</v>
      </c>
      <c r="R489" s="102"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3"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3" t="s">
        <v>2276</v>
      </c>
      <c r="L491" s="21" t="s">
        <v>2276</v>
      </c>
      <c r="M491" s="21" t="s">
        <v>2276</v>
      </c>
      <c r="N491" s="21" t="s">
        <v>2276</v>
      </c>
      <c r="O491" s="21" t="s">
        <v>2276</v>
      </c>
      <c r="P491" s="21" t="s">
        <v>2276</v>
      </c>
      <c r="Q491" s="102" t="s">
        <v>2276</v>
      </c>
      <c r="R491" s="102"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3"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3" t="s">
        <v>2276</v>
      </c>
      <c r="L493" s="21" t="s">
        <v>2276</v>
      </c>
      <c r="M493" s="21" t="s">
        <v>2276</v>
      </c>
      <c r="N493" s="21" t="s">
        <v>2276</v>
      </c>
      <c r="O493" s="21" t="s">
        <v>2276</v>
      </c>
      <c r="P493" s="21" t="s">
        <v>2276</v>
      </c>
      <c r="Q493" s="102" t="s">
        <v>2276</v>
      </c>
      <c r="R493" s="102"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3"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3" t="s">
        <v>2276</v>
      </c>
      <c r="L495" s="21" t="s">
        <v>2276</v>
      </c>
      <c r="M495" s="21" t="s">
        <v>2276</v>
      </c>
      <c r="N495" s="21" t="s">
        <v>2276</v>
      </c>
      <c r="O495" s="21" t="s">
        <v>2276</v>
      </c>
      <c r="P495" s="21" t="s">
        <v>2276</v>
      </c>
      <c r="Q495" s="102" t="s">
        <v>2276</v>
      </c>
      <c r="R495" s="102"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3"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3" t="s">
        <v>2276</v>
      </c>
      <c r="L497" s="21" t="s">
        <v>2276</v>
      </c>
      <c r="M497" s="21" t="s">
        <v>2276</v>
      </c>
      <c r="N497" s="21" t="s">
        <v>2276</v>
      </c>
      <c r="O497" s="21" t="s">
        <v>2276</v>
      </c>
      <c r="P497" s="21" t="s">
        <v>2276</v>
      </c>
      <c r="Q497" s="102" t="s">
        <v>2276</v>
      </c>
      <c r="R497" s="102"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3"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3" t="s">
        <v>2276</v>
      </c>
      <c r="L499" s="21" t="s">
        <v>2276</v>
      </c>
      <c r="M499" s="21" t="s">
        <v>2276</v>
      </c>
      <c r="N499" s="21" t="s">
        <v>2276</v>
      </c>
      <c r="O499" s="21" t="s">
        <v>2276</v>
      </c>
      <c r="P499" s="21" t="s">
        <v>2276</v>
      </c>
      <c r="Q499" s="102" t="s">
        <v>2276</v>
      </c>
      <c r="R499" s="102"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3" t="s">
        <v>2276</v>
      </c>
      <c r="L500" s="21" t="s">
        <v>2276</v>
      </c>
      <c r="M500" s="21" t="s">
        <v>2276</v>
      </c>
      <c r="N500" s="21" t="s">
        <v>2276</v>
      </c>
      <c r="O500" s="21" t="s">
        <v>2362</v>
      </c>
      <c r="P500" s="21" t="s">
        <v>2276</v>
      </c>
      <c r="Q500" s="102" t="s">
        <v>2276</v>
      </c>
      <c r="R500" s="102"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3" t="s">
        <v>2276</v>
      </c>
      <c r="L501" s="21" t="s">
        <v>2276</v>
      </c>
      <c r="M501" s="21" t="s">
        <v>2276</v>
      </c>
      <c r="N501" s="21" t="s">
        <v>2276</v>
      </c>
      <c r="O501" s="21" t="s">
        <v>2375</v>
      </c>
      <c r="P501" s="21" t="s">
        <v>2276</v>
      </c>
      <c r="Q501" s="102" t="s">
        <v>2276</v>
      </c>
      <c r="R501" s="102"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3" t="s">
        <v>2276</v>
      </c>
      <c r="L502" s="21" t="s">
        <v>2276</v>
      </c>
      <c r="M502" s="21" t="s">
        <v>2276</v>
      </c>
      <c r="N502" s="21" t="s">
        <v>2276</v>
      </c>
      <c r="O502" s="21" t="s">
        <v>2375</v>
      </c>
      <c r="P502" s="21" t="s">
        <v>2276</v>
      </c>
      <c r="Q502" s="102" t="s">
        <v>2276</v>
      </c>
      <c r="R502" s="102"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3" t="s">
        <v>2362</v>
      </c>
      <c r="L503" s="21" t="s">
        <v>2276</v>
      </c>
      <c r="M503" s="21" t="s">
        <v>2276</v>
      </c>
      <c r="N503" s="21" t="s">
        <v>2276</v>
      </c>
      <c r="O503" s="21" t="s">
        <v>2362</v>
      </c>
      <c r="P503" s="21" t="s">
        <v>2276</v>
      </c>
      <c r="Q503" s="102" t="s">
        <v>2276</v>
      </c>
      <c r="R503" s="102"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3" t="s">
        <v>2362</v>
      </c>
      <c r="L504" s="21" t="s">
        <v>2276</v>
      </c>
      <c r="M504" s="21" t="s">
        <v>2362</v>
      </c>
      <c r="N504" s="21" t="s">
        <v>2276</v>
      </c>
      <c r="O504" s="74" t="s">
        <v>2362</v>
      </c>
      <c r="P504" s="74" t="s">
        <v>2276</v>
      </c>
      <c r="Q504" s="102" t="s">
        <v>2276</v>
      </c>
      <c r="R504" s="102"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3" t="s">
        <v>2364</v>
      </c>
      <c r="L505" s="21" t="s">
        <v>2364</v>
      </c>
      <c r="M505" s="21" t="s">
        <v>2364</v>
      </c>
      <c r="N505" s="21" t="s">
        <v>2364</v>
      </c>
      <c r="O505" s="74" t="s">
        <v>2364</v>
      </c>
      <c r="P505" s="74" t="s">
        <v>2364</v>
      </c>
      <c r="Q505" s="102" t="s">
        <v>2276</v>
      </c>
      <c r="R505" s="102"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3" t="s">
        <v>2362</v>
      </c>
      <c r="L506" s="21" t="s">
        <v>2276</v>
      </c>
      <c r="M506" s="21" t="s">
        <v>2362</v>
      </c>
      <c r="N506" s="21" t="s">
        <v>2276</v>
      </c>
      <c r="O506" s="74" t="s">
        <v>2362</v>
      </c>
      <c r="P506" s="74" t="s">
        <v>2276</v>
      </c>
      <c r="Q506" s="102" t="s">
        <v>2276</v>
      </c>
      <c r="R506" s="102"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3" t="s">
        <v>2364</v>
      </c>
      <c r="L507" s="21" t="s">
        <v>2364</v>
      </c>
      <c r="M507" s="21" t="s">
        <v>2364</v>
      </c>
      <c r="N507" s="21" t="s">
        <v>2364</v>
      </c>
      <c r="O507" s="74" t="s">
        <v>2364</v>
      </c>
      <c r="P507" s="74" t="s">
        <v>2364</v>
      </c>
      <c r="Q507" s="102" t="s">
        <v>2276</v>
      </c>
      <c r="R507" s="102"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3" t="s">
        <v>2276</v>
      </c>
      <c r="L508" s="21" t="s">
        <v>2276</v>
      </c>
      <c r="M508" s="21" t="s">
        <v>2276</v>
      </c>
      <c r="N508" s="21" t="s">
        <v>2276</v>
      </c>
      <c r="O508" s="21" t="s">
        <v>2362</v>
      </c>
      <c r="P508" s="21" t="s">
        <v>2276</v>
      </c>
      <c r="Q508" s="102" t="s">
        <v>2276</v>
      </c>
      <c r="R508" s="102"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3" t="s">
        <v>2276</v>
      </c>
      <c r="L509" s="21" t="s">
        <v>2276</v>
      </c>
      <c r="M509" s="21" t="s">
        <v>2276</v>
      </c>
      <c r="N509" s="21" t="s">
        <v>2276</v>
      </c>
      <c r="O509" s="21" t="s">
        <v>2362</v>
      </c>
      <c r="P509" s="21" t="s">
        <v>2276</v>
      </c>
      <c r="Q509" s="102" t="s">
        <v>2276</v>
      </c>
      <c r="R509" s="102" t="s">
        <v>2276</v>
      </c>
      <c r="S509" s="21" t="s">
        <v>2276</v>
      </c>
      <c r="T509" s="74" t="s">
        <v>2276</v>
      </c>
      <c r="U509" s="74"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3" t="s">
        <v>2276</v>
      </c>
      <c r="L510" s="21" t="s">
        <v>2276</v>
      </c>
      <c r="M510" s="21" t="s">
        <v>2276</v>
      </c>
      <c r="N510" s="21" t="s">
        <v>2276</v>
      </c>
      <c r="O510" s="21" t="s">
        <v>2362</v>
      </c>
      <c r="P510" s="21" t="s">
        <v>2276</v>
      </c>
      <c r="Q510" s="102" t="s">
        <v>2276</v>
      </c>
      <c r="R510" s="102"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3" t="s">
        <v>2276</v>
      </c>
      <c r="L511" s="21" t="s">
        <v>2276</v>
      </c>
      <c r="M511" s="21" t="s">
        <v>2276</v>
      </c>
      <c r="N511" s="21" t="s">
        <v>2276</v>
      </c>
      <c r="O511" s="21" t="s">
        <v>2362</v>
      </c>
      <c r="P511" s="21" t="s">
        <v>2276</v>
      </c>
      <c r="Q511" s="102" t="s">
        <v>2276</v>
      </c>
      <c r="R511" s="102"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3" t="s">
        <v>2364</v>
      </c>
      <c r="L512" s="21" t="s">
        <v>2364</v>
      </c>
      <c r="M512" s="21" t="s">
        <v>2364</v>
      </c>
      <c r="N512" s="21" t="s">
        <v>2364</v>
      </c>
      <c r="O512" s="21" t="s">
        <v>2364</v>
      </c>
      <c r="P512" s="21" t="s">
        <v>2364</v>
      </c>
      <c r="Q512" s="102" t="s">
        <v>2276</v>
      </c>
      <c r="R512" s="102"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3" t="s">
        <v>2276</v>
      </c>
      <c r="L513" s="21" t="s">
        <v>2276</v>
      </c>
      <c r="M513" s="21" t="s">
        <v>2276</v>
      </c>
      <c r="N513" s="21" t="s">
        <v>2276</v>
      </c>
      <c r="O513" s="21" t="s">
        <v>2362</v>
      </c>
      <c r="P513" s="21" t="s">
        <v>2276</v>
      </c>
      <c r="Q513" s="102" t="s">
        <v>2276</v>
      </c>
      <c r="R513" s="102"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3" t="s">
        <v>2364</v>
      </c>
      <c r="L514" s="21" t="s">
        <v>2364</v>
      </c>
      <c r="M514" s="21" t="s">
        <v>2364</v>
      </c>
      <c r="N514" s="21" t="s">
        <v>2364</v>
      </c>
      <c r="O514" s="21" t="s">
        <v>2364</v>
      </c>
      <c r="P514" s="21" t="s">
        <v>2364</v>
      </c>
      <c r="Q514" s="102" t="s">
        <v>2276</v>
      </c>
      <c r="R514" s="102"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3" t="s">
        <v>2276</v>
      </c>
      <c r="L515" s="21" t="s">
        <v>2276</v>
      </c>
      <c r="M515" s="21" t="s">
        <v>2276</v>
      </c>
      <c r="N515" s="21" t="s">
        <v>2276</v>
      </c>
      <c r="O515" s="21" t="s">
        <v>2276</v>
      </c>
      <c r="P515" s="21" t="s">
        <v>2276</v>
      </c>
      <c r="Q515" s="102" t="s">
        <v>2276</v>
      </c>
      <c r="R515" s="102"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3" t="s">
        <v>2364</v>
      </c>
      <c r="L516" s="21" t="s">
        <v>2364</v>
      </c>
      <c r="M516" s="21" t="s">
        <v>2364</v>
      </c>
      <c r="N516" s="21" t="s">
        <v>2364</v>
      </c>
      <c r="O516" s="21" t="s">
        <v>2364</v>
      </c>
      <c r="P516" s="21" t="s">
        <v>2364</v>
      </c>
      <c r="Q516" s="102" t="s">
        <v>2276</v>
      </c>
      <c r="R516" s="102"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3" t="s">
        <v>2364</v>
      </c>
      <c r="L517" s="21" t="s">
        <v>2364</v>
      </c>
      <c r="M517" s="21" t="s">
        <v>2364</v>
      </c>
      <c r="N517" s="21" t="s">
        <v>2364</v>
      </c>
      <c r="O517" s="21" t="s">
        <v>2364</v>
      </c>
      <c r="P517" s="21" t="s">
        <v>2364</v>
      </c>
      <c r="Q517" s="102" t="s">
        <v>2276</v>
      </c>
      <c r="R517" s="102"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3" t="s">
        <v>2276</v>
      </c>
      <c r="L518" s="21" t="s">
        <v>2276</v>
      </c>
      <c r="M518" s="21" t="s">
        <v>2276</v>
      </c>
      <c r="N518" s="21" t="s">
        <v>2276</v>
      </c>
      <c r="O518" s="21" t="s">
        <v>2276</v>
      </c>
      <c r="P518" s="21" t="s">
        <v>2276</v>
      </c>
      <c r="Q518" s="102" t="s">
        <v>2276</v>
      </c>
      <c r="R518" s="102"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3" t="s">
        <v>2276</v>
      </c>
      <c r="L519" s="21" t="s">
        <v>2276</v>
      </c>
      <c r="M519" s="21" t="s">
        <v>2276</v>
      </c>
      <c r="N519" s="21" t="s">
        <v>2276</v>
      </c>
      <c r="O519" s="21" t="s">
        <v>2276</v>
      </c>
      <c r="P519" s="21" t="s">
        <v>2276</v>
      </c>
      <c r="Q519" s="102" t="s">
        <v>2276</v>
      </c>
      <c r="R519" s="102"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3" t="s">
        <v>2276</v>
      </c>
      <c r="L520" s="21" t="s">
        <v>2276</v>
      </c>
      <c r="M520" s="21" t="s">
        <v>2276</v>
      </c>
      <c r="N520" s="21" t="s">
        <v>2276</v>
      </c>
      <c r="O520" s="21" t="s">
        <v>2276</v>
      </c>
      <c r="P520" s="21" t="s">
        <v>2276</v>
      </c>
      <c r="Q520" s="102" t="s">
        <v>2276</v>
      </c>
      <c r="R520" s="102"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3" t="s">
        <v>2276</v>
      </c>
      <c r="L521" s="21" t="s">
        <v>2276</v>
      </c>
      <c r="M521" s="21" t="s">
        <v>2276</v>
      </c>
      <c r="N521" s="21" t="s">
        <v>2276</v>
      </c>
      <c r="O521" s="21" t="s">
        <v>2276</v>
      </c>
      <c r="P521" s="21" t="s">
        <v>2276</v>
      </c>
      <c r="Q521" s="102" t="s">
        <v>2276</v>
      </c>
      <c r="R521" s="102"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3" t="s">
        <v>2276</v>
      </c>
      <c r="L522" s="21" t="s">
        <v>2276</v>
      </c>
      <c r="M522" s="21" t="s">
        <v>2276</v>
      </c>
      <c r="N522" s="21" t="s">
        <v>2276</v>
      </c>
      <c r="O522" s="21" t="s">
        <v>2276</v>
      </c>
      <c r="P522" s="21" t="s">
        <v>2276</v>
      </c>
      <c r="Q522" s="102" t="s">
        <v>2276</v>
      </c>
      <c r="R522" s="102" t="s">
        <v>2276</v>
      </c>
      <c r="S522" s="21" t="s">
        <v>2376</v>
      </c>
      <c r="T522" s="21" t="s">
        <v>2276</v>
      </c>
      <c r="U522" s="21" t="s">
        <v>2374</v>
      </c>
      <c r="V522" s="21" t="s">
        <v>2276</v>
      </c>
      <c r="W522" s="103"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3" t="s">
        <v>2364</v>
      </c>
      <c r="L523" s="21" t="s">
        <v>2364</v>
      </c>
      <c r="M523" s="21" t="s">
        <v>2364</v>
      </c>
      <c r="N523" s="21" t="s">
        <v>2364</v>
      </c>
      <c r="O523" s="21" t="s">
        <v>2364</v>
      </c>
      <c r="P523" s="21" t="s">
        <v>2364</v>
      </c>
      <c r="Q523" s="102" t="s">
        <v>2276</v>
      </c>
      <c r="R523" s="102"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3" t="s">
        <v>2364</v>
      </c>
      <c r="L524" s="21" t="s">
        <v>2364</v>
      </c>
      <c r="M524" s="21" t="s">
        <v>2364</v>
      </c>
      <c r="N524" s="21" t="s">
        <v>2364</v>
      </c>
      <c r="O524" s="21" t="s">
        <v>2364</v>
      </c>
      <c r="P524" s="21" t="s">
        <v>2364</v>
      </c>
      <c r="Q524" s="102" t="s">
        <v>2276</v>
      </c>
      <c r="R524" s="102"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3" t="s">
        <v>2362</v>
      </c>
      <c r="L525" s="21" t="s">
        <v>2276</v>
      </c>
      <c r="M525" s="21" t="s">
        <v>2374</v>
      </c>
      <c r="N525" s="21" t="s">
        <v>2276</v>
      </c>
      <c r="O525" s="21" t="s">
        <v>2373</v>
      </c>
      <c r="P525" s="21" t="s">
        <v>2276</v>
      </c>
      <c r="Q525" s="102" t="s">
        <v>2276</v>
      </c>
      <c r="R525" s="102"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3" t="s">
        <v>2364</v>
      </c>
      <c r="L526" s="21" t="s">
        <v>2364</v>
      </c>
      <c r="M526" s="21" t="s">
        <v>2364</v>
      </c>
      <c r="N526" s="21" t="s">
        <v>2364</v>
      </c>
      <c r="O526" s="21" t="s">
        <v>2364</v>
      </c>
      <c r="P526" s="21" t="s">
        <v>2364</v>
      </c>
      <c r="Q526" s="102" t="s">
        <v>2276</v>
      </c>
      <c r="R526" s="102" t="s">
        <v>2276</v>
      </c>
      <c r="S526" s="21" t="s">
        <v>2364</v>
      </c>
      <c r="T526" s="21" t="s">
        <v>2364</v>
      </c>
      <c r="U526" s="21" t="s">
        <v>2364</v>
      </c>
      <c r="V526" s="21" t="s">
        <v>2364</v>
      </c>
      <c r="W526" s="103"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3" t="s">
        <v>2276</v>
      </c>
      <c r="L527" s="21" t="s">
        <v>2276</v>
      </c>
      <c r="M527" s="21" t="s">
        <v>2276</v>
      </c>
      <c r="N527" s="21" t="s">
        <v>2276</v>
      </c>
      <c r="O527" s="21" t="s">
        <v>2276</v>
      </c>
      <c r="P527" s="21" t="s">
        <v>2276</v>
      </c>
      <c r="Q527" s="102" t="s">
        <v>2276</v>
      </c>
      <c r="R527" s="102" t="s">
        <v>2276</v>
      </c>
      <c r="S527" s="21" t="s">
        <v>2276</v>
      </c>
      <c r="T527" s="21" t="s">
        <v>2276</v>
      </c>
      <c r="U527" s="21" t="s">
        <v>2276</v>
      </c>
      <c r="V527" s="21" t="s">
        <v>2276</v>
      </c>
      <c r="W527" s="103"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3" t="s">
        <v>2276</v>
      </c>
      <c r="L528" s="21" t="s">
        <v>2276</v>
      </c>
      <c r="M528" s="21" t="s">
        <v>2276</v>
      </c>
      <c r="N528" s="21" t="s">
        <v>2276</v>
      </c>
      <c r="O528" s="21" t="s">
        <v>2276</v>
      </c>
      <c r="P528" s="21" t="s">
        <v>2276</v>
      </c>
      <c r="Q528" s="102" t="s">
        <v>2276</v>
      </c>
      <c r="R528" s="102" t="s">
        <v>2276</v>
      </c>
      <c r="S528" s="21" t="s">
        <v>2276</v>
      </c>
      <c r="T528" s="21" t="s">
        <v>2276</v>
      </c>
      <c r="U528" s="21" t="s">
        <v>2276</v>
      </c>
      <c r="V528" s="21" t="s">
        <v>2276</v>
      </c>
      <c r="W528" s="103"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3" t="s">
        <v>2362</v>
      </c>
      <c r="L529" s="21" t="s">
        <v>2276</v>
      </c>
      <c r="M529" s="21" t="s">
        <v>2373</v>
      </c>
      <c r="N529" s="21" t="s">
        <v>2276</v>
      </c>
      <c r="O529" s="21" t="s">
        <v>2276</v>
      </c>
      <c r="P529" s="21" t="s">
        <v>2276</v>
      </c>
      <c r="Q529" s="102" t="s">
        <v>2276</v>
      </c>
      <c r="R529" s="102" t="s">
        <v>2276</v>
      </c>
      <c r="S529" s="21" t="s">
        <v>2276</v>
      </c>
      <c r="T529" s="21" t="s">
        <v>2276</v>
      </c>
      <c r="U529" s="21" t="s">
        <v>2276</v>
      </c>
      <c r="V529" s="21" t="s">
        <v>2276</v>
      </c>
      <c r="W529" s="103"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3" t="s">
        <v>2364</v>
      </c>
      <c r="L530" s="21" t="s">
        <v>2364</v>
      </c>
      <c r="M530" s="21" t="s">
        <v>2364</v>
      </c>
      <c r="N530" s="21" t="s">
        <v>2364</v>
      </c>
      <c r="O530" s="21" t="s">
        <v>2364</v>
      </c>
      <c r="P530" s="21" t="s">
        <v>2364</v>
      </c>
      <c r="Q530" s="102" t="s">
        <v>2276</v>
      </c>
      <c r="R530" s="102" t="s">
        <v>2276</v>
      </c>
      <c r="S530" s="21" t="s">
        <v>2364</v>
      </c>
      <c r="T530" s="21" t="s">
        <v>2364</v>
      </c>
      <c r="U530" s="21" t="s">
        <v>2364</v>
      </c>
      <c r="V530" s="21" t="s">
        <v>2364</v>
      </c>
      <c r="W530" s="103"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3" t="s">
        <v>2362</v>
      </c>
      <c r="L531" s="21" t="s">
        <v>2276</v>
      </c>
      <c r="M531" s="21" t="s">
        <v>2373</v>
      </c>
      <c r="N531" s="21" t="s">
        <v>2276</v>
      </c>
      <c r="O531" s="21" t="s">
        <v>2276</v>
      </c>
      <c r="P531" s="21" t="s">
        <v>2276</v>
      </c>
      <c r="Q531" s="102" t="s">
        <v>2276</v>
      </c>
      <c r="R531" s="102" t="s">
        <v>2276</v>
      </c>
      <c r="S531" s="21" t="s">
        <v>2276</v>
      </c>
      <c r="T531" s="21" t="s">
        <v>2276</v>
      </c>
      <c r="U531" s="21" t="s">
        <v>2276</v>
      </c>
      <c r="V531" s="21" t="s">
        <v>2276</v>
      </c>
      <c r="W531" s="103"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3" t="s">
        <v>2364</v>
      </c>
      <c r="L532" s="21" t="s">
        <v>2364</v>
      </c>
      <c r="M532" s="21" t="s">
        <v>2364</v>
      </c>
      <c r="N532" s="21" t="s">
        <v>2364</v>
      </c>
      <c r="O532" s="21" t="s">
        <v>2364</v>
      </c>
      <c r="P532" s="21" t="s">
        <v>2364</v>
      </c>
      <c r="Q532" s="102" t="s">
        <v>2276</v>
      </c>
      <c r="R532" s="102" t="s">
        <v>2276</v>
      </c>
      <c r="S532" s="21" t="s">
        <v>2364</v>
      </c>
      <c r="T532" s="21" t="s">
        <v>2364</v>
      </c>
      <c r="U532" s="21" t="s">
        <v>2364</v>
      </c>
      <c r="V532" s="21" t="s">
        <v>2364</v>
      </c>
      <c r="W532" s="103"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3" t="s">
        <v>2276</v>
      </c>
      <c r="L533" s="21" t="s">
        <v>2276</v>
      </c>
      <c r="M533" s="21" t="s">
        <v>2276</v>
      </c>
      <c r="N533" s="21" t="s">
        <v>2276</v>
      </c>
      <c r="O533" s="21" t="s">
        <v>2276</v>
      </c>
      <c r="P533" s="21" t="s">
        <v>2276</v>
      </c>
      <c r="Q533" s="102" t="s">
        <v>2276</v>
      </c>
      <c r="R533" s="102"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3" t="s">
        <v>2276</v>
      </c>
      <c r="L534" s="21" t="s">
        <v>2276</v>
      </c>
      <c r="M534" s="21" t="s">
        <v>2276</v>
      </c>
      <c r="N534" s="21" t="s">
        <v>2276</v>
      </c>
      <c r="O534" s="21" t="s">
        <v>2375</v>
      </c>
      <c r="P534" s="21" t="s">
        <v>2276</v>
      </c>
      <c r="Q534" s="102" t="s">
        <v>2276</v>
      </c>
      <c r="R534" s="102"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3" t="s">
        <v>2364</v>
      </c>
      <c r="L535" s="21" t="s">
        <v>2364</v>
      </c>
      <c r="M535" s="21" t="s">
        <v>2364</v>
      </c>
      <c r="N535" s="21" t="s">
        <v>2364</v>
      </c>
      <c r="O535" s="21" t="s">
        <v>2364</v>
      </c>
      <c r="P535" s="21" t="s">
        <v>2364</v>
      </c>
      <c r="Q535" s="102" t="s">
        <v>2276</v>
      </c>
      <c r="R535" s="102"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3" t="s">
        <v>2364</v>
      </c>
      <c r="L536" s="21" t="s">
        <v>2364</v>
      </c>
      <c r="M536" s="21" t="s">
        <v>2364</v>
      </c>
      <c r="N536" s="21" t="s">
        <v>2364</v>
      </c>
      <c r="O536" s="21" t="s">
        <v>2364</v>
      </c>
      <c r="P536" s="21" t="s">
        <v>2364</v>
      </c>
      <c r="Q536" s="102" t="s">
        <v>2276</v>
      </c>
      <c r="R536" s="102"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89"/>
      <c r="J537" s="21" t="s">
        <v>2367</v>
      </c>
      <c r="K537" s="103" t="s">
        <v>2276</v>
      </c>
      <c r="L537" s="21" t="s">
        <v>2276</v>
      </c>
      <c r="M537" s="21" t="s">
        <v>2276</v>
      </c>
      <c r="N537" s="21" t="s">
        <v>2276</v>
      </c>
      <c r="O537" s="21" t="s">
        <v>2276</v>
      </c>
      <c r="P537" s="21" t="s">
        <v>2276</v>
      </c>
      <c r="Q537" s="102" t="s">
        <v>2276</v>
      </c>
      <c r="R537" s="102"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89"/>
      <c r="J538" s="21" t="s">
        <v>2367</v>
      </c>
      <c r="K538" s="103" t="s">
        <v>2276</v>
      </c>
      <c r="L538" s="21" t="s">
        <v>2276</v>
      </c>
      <c r="M538" s="21" t="s">
        <v>2276</v>
      </c>
      <c r="N538" s="21" t="s">
        <v>2276</v>
      </c>
      <c r="O538" s="21" t="s">
        <v>2276</v>
      </c>
      <c r="P538" s="21" t="s">
        <v>2276</v>
      </c>
      <c r="Q538" s="102" t="s">
        <v>2276</v>
      </c>
      <c r="R538" s="102"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89"/>
      <c r="J539" s="21" t="s">
        <v>2367</v>
      </c>
      <c r="K539" s="103" t="s">
        <v>2276</v>
      </c>
      <c r="L539" s="21" t="s">
        <v>2276</v>
      </c>
      <c r="M539" s="21" t="s">
        <v>2276</v>
      </c>
      <c r="N539" s="21" t="s">
        <v>2276</v>
      </c>
      <c r="O539" s="21" t="s">
        <v>2276</v>
      </c>
      <c r="P539" s="21" t="s">
        <v>2276</v>
      </c>
      <c r="Q539" s="102" t="s">
        <v>2276</v>
      </c>
      <c r="R539" s="102"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89"/>
      <c r="J540" s="21" t="s">
        <v>2367</v>
      </c>
      <c r="K540" s="103" t="s">
        <v>2276</v>
      </c>
      <c r="L540" s="21" t="s">
        <v>2276</v>
      </c>
      <c r="M540" s="21" t="s">
        <v>2276</v>
      </c>
      <c r="N540" s="21" t="s">
        <v>2276</v>
      </c>
      <c r="O540" s="21" t="s">
        <v>2276</v>
      </c>
      <c r="P540" s="21" t="s">
        <v>2276</v>
      </c>
      <c r="Q540" s="102" t="s">
        <v>2276</v>
      </c>
      <c r="R540" s="102"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89"/>
      <c r="J541" s="21" t="s">
        <v>2367</v>
      </c>
      <c r="K541" s="103" t="s">
        <v>2276</v>
      </c>
      <c r="L541" s="21" t="s">
        <v>2276</v>
      </c>
      <c r="M541" s="21" t="s">
        <v>2276</v>
      </c>
      <c r="N541" s="21" t="s">
        <v>2276</v>
      </c>
      <c r="O541" s="21" t="s">
        <v>2276</v>
      </c>
      <c r="P541" s="21" t="s">
        <v>2276</v>
      </c>
      <c r="Q541" s="102" t="s">
        <v>2276</v>
      </c>
      <c r="R541" s="102"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89"/>
      <c r="J542" s="21" t="s">
        <v>2368</v>
      </c>
      <c r="K542" s="103" t="s">
        <v>2276</v>
      </c>
      <c r="L542" s="21" t="s">
        <v>2276</v>
      </c>
      <c r="M542" s="21" t="s">
        <v>2276</v>
      </c>
      <c r="N542" s="21" t="s">
        <v>2276</v>
      </c>
      <c r="O542" s="21" t="s">
        <v>2276</v>
      </c>
      <c r="P542" s="21" t="s">
        <v>2276</v>
      </c>
      <c r="Q542" s="102" t="s">
        <v>2276</v>
      </c>
      <c r="R542" s="102"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89"/>
      <c r="J543" s="21" t="s">
        <v>2369</v>
      </c>
      <c r="K543" s="103" t="s">
        <v>2276</v>
      </c>
      <c r="L543" s="21" t="s">
        <v>2276</v>
      </c>
      <c r="M543" s="21" t="s">
        <v>2276</v>
      </c>
      <c r="N543" s="21" t="s">
        <v>2276</v>
      </c>
      <c r="O543" s="21" t="s">
        <v>2276</v>
      </c>
      <c r="P543" s="21" t="s">
        <v>2276</v>
      </c>
      <c r="Q543" s="102" t="s">
        <v>2276</v>
      </c>
      <c r="R543" s="102"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89"/>
      <c r="J544" s="21" t="s">
        <v>2369</v>
      </c>
      <c r="K544" s="103" t="s">
        <v>2276</v>
      </c>
      <c r="L544" s="21" t="s">
        <v>2276</v>
      </c>
      <c r="M544" s="21" t="s">
        <v>2276</v>
      </c>
      <c r="N544" s="21" t="s">
        <v>2276</v>
      </c>
      <c r="O544" s="21" t="s">
        <v>2276</v>
      </c>
      <c r="P544" s="21" t="s">
        <v>2276</v>
      </c>
      <c r="Q544" s="102" t="s">
        <v>2276</v>
      </c>
      <c r="R544" s="102"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89"/>
      <c r="J545" s="21" t="s">
        <v>2368</v>
      </c>
      <c r="K545" s="103" t="s">
        <v>2276</v>
      </c>
      <c r="L545" s="21" t="s">
        <v>2276</v>
      </c>
      <c r="M545" s="21" t="s">
        <v>2276</v>
      </c>
      <c r="N545" s="21" t="s">
        <v>2276</v>
      </c>
      <c r="O545" s="21" t="s">
        <v>2276</v>
      </c>
      <c r="P545" s="21" t="s">
        <v>2276</v>
      </c>
      <c r="Q545" s="102" t="s">
        <v>2276</v>
      </c>
      <c r="R545" s="102"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89"/>
      <c r="J546" s="21" t="s">
        <v>2367</v>
      </c>
      <c r="K546" s="103" t="s">
        <v>2276</v>
      </c>
      <c r="L546" s="21" t="s">
        <v>2276</v>
      </c>
      <c r="M546" s="21" t="s">
        <v>2276</v>
      </c>
      <c r="N546" s="21" t="s">
        <v>2276</v>
      </c>
      <c r="O546" s="21" t="s">
        <v>2276</v>
      </c>
      <c r="P546" s="21" t="s">
        <v>2276</v>
      </c>
      <c r="Q546" s="102" t="s">
        <v>2276</v>
      </c>
      <c r="R546" s="102"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89"/>
      <c r="J547" s="21" t="s">
        <v>2369</v>
      </c>
      <c r="K547" s="103" t="s">
        <v>2276</v>
      </c>
      <c r="L547" s="21" t="s">
        <v>2276</v>
      </c>
      <c r="M547" s="21" t="s">
        <v>2276</v>
      </c>
      <c r="N547" s="21" t="s">
        <v>2276</v>
      </c>
      <c r="O547" s="21" t="s">
        <v>2276</v>
      </c>
      <c r="P547" s="21" t="s">
        <v>2276</v>
      </c>
      <c r="Q547" s="102" t="s">
        <v>2276</v>
      </c>
      <c r="R547" s="102"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89"/>
      <c r="J548" s="21" t="s">
        <v>2369</v>
      </c>
      <c r="K548" s="103" t="s">
        <v>2276</v>
      </c>
      <c r="L548" s="21" t="s">
        <v>2276</v>
      </c>
      <c r="M548" s="21" t="s">
        <v>2276</v>
      </c>
      <c r="N548" s="21" t="s">
        <v>2276</v>
      </c>
      <c r="O548" s="21" t="s">
        <v>2276</v>
      </c>
      <c r="P548" s="21" t="s">
        <v>2276</v>
      </c>
      <c r="Q548" s="102" t="s">
        <v>2276</v>
      </c>
      <c r="R548" s="102"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89"/>
      <c r="J549" s="21" t="s">
        <v>2367</v>
      </c>
      <c r="K549" s="103" t="s">
        <v>2276</v>
      </c>
      <c r="L549" s="21" t="s">
        <v>2276</v>
      </c>
      <c r="M549" s="21" t="s">
        <v>2276</v>
      </c>
      <c r="N549" s="21" t="s">
        <v>2276</v>
      </c>
      <c r="O549" s="21" t="s">
        <v>2276</v>
      </c>
      <c r="P549" s="21" t="s">
        <v>2276</v>
      </c>
      <c r="Q549" s="102" t="s">
        <v>2276</v>
      </c>
      <c r="R549" s="102"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89"/>
      <c r="J550" s="21" t="s">
        <v>2368</v>
      </c>
      <c r="K550" s="103" t="s">
        <v>2276</v>
      </c>
      <c r="L550" s="21" t="s">
        <v>2276</v>
      </c>
      <c r="M550" s="21" t="s">
        <v>2276</v>
      </c>
      <c r="N550" s="21" t="s">
        <v>2276</v>
      </c>
      <c r="O550" s="21" t="s">
        <v>2276</v>
      </c>
      <c r="P550" s="21" t="s">
        <v>2276</v>
      </c>
      <c r="Q550" s="102" t="s">
        <v>2276</v>
      </c>
      <c r="R550" s="102"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89"/>
      <c r="J551" s="21" t="s">
        <v>2368</v>
      </c>
      <c r="K551" s="103" t="s">
        <v>2276</v>
      </c>
      <c r="L551" s="21" t="s">
        <v>2276</v>
      </c>
      <c r="M551" s="21" t="s">
        <v>2276</v>
      </c>
      <c r="N551" s="21" t="s">
        <v>2276</v>
      </c>
      <c r="O551" s="21" t="s">
        <v>2276</v>
      </c>
      <c r="P551" s="21" t="s">
        <v>2276</v>
      </c>
      <c r="Q551" s="102" t="s">
        <v>2276</v>
      </c>
      <c r="R551" s="102"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89"/>
      <c r="J552" s="21" t="s">
        <v>2369</v>
      </c>
      <c r="K552" s="103" t="s">
        <v>2276</v>
      </c>
      <c r="L552" s="21" t="s">
        <v>2276</v>
      </c>
      <c r="M552" s="21" t="s">
        <v>2276</v>
      </c>
      <c r="N552" s="21" t="s">
        <v>2276</v>
      </c>
      <c r="O552" s="21" t="s">
        <v>2276</v>
      </c>
      <c r="P552" s="21" t="s">
        <v>2276</v>
      </c>
      <c r="Q552" s="102" t="s">
        <v>2276</v>
      </c>
      <c r="R552" s="102"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89"/>
      <c r="J553" s="21" t="s">
        <v>2368</v>
      </c>
      <c r="K553" s="103" t="s">
        <v>2276</v>
      </c>
      <c r="L553" s="21" t="s">
        <v>2276</v>
      </c>
      <c r="M553" s="21" t="s">
        <v>2276</v>
      </c>
      <c r="N553" s="21" t="s">
        <v>2276</v>
      </c>
      <c r="O553" s="21" t="s">
        <v>2276</v>
      </c>
      <c r="P553" s="21" t="s">
        <v>2276</v>
      </c>
      <c r="Q553" s="102" t="s">
        <v>2276</v>
      </c>
      <c r="R553" s="102"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89"/>
      <c r="J554" s="21" t="s">
        <v>2368</v>
      </c>
      <c r="K554" s="103" t="s">
        <v>2276</v>
      </c>
      <c r="L554" s="21" t="s">
        <v>2276</v>
      </c>
      <c r="M554" s="21" t="s">
        <v>2276</v>
      </c>
      <c r="N554" s="21" t="s">
        <v>2276</v>
      </c>
      <c r="O554" s="21" t="s">
        <v>2276</v>
      </c>
      <c r="P554" s="21" t="s">
        <v>2276</v>
      </c>
      <c r="Q554" s="102" t="s">
        <v>2276</v>
      </c>
      <c r="R554" s="102"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89"/>
      <c r="J555" s="21" t="s">
        <v>2368</v>
      </c>
      <c r="K555" s="103" t="s">
        <v>2276</v>
      </c>
      <c r="L555" s="21" t="s">
        <v>2276</v>
      </c>
      <c r="M555" s="21" t="s">
        <v>2276</v>
      </c>
      <c r="N555" s="21" t="s">
        <v>2276</v>
      </c>
      <c r="O555" s="21" t="s">
        <v>2276</v>
      </c>
      <c r="P555" s="21" t="s">
        <v>2276</v>
      </c>
      <c r="Q555" s="102" t="s">
        <v>2276</v>
      </c>
      <c r="R555" s="102"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89"/>
      <c r="J556" s="21" t="s">
        <v>2368</v>
      </c>
      <c r="K556" s="103" t="s">
        <v>2276</v>
      </c>
      <c r="L556" s="21" t="s">
        <v>2276</v>
      </c>
      <c r="M556" s="21" t="s">
        <v>2276</v>
      </c>
      <c r="N556" s="21" t="s">
        <v>2276</v>
      </c>
      <c r="O556" s="21" t="s">
        <v>2276</v>
      </c>
      <c r="P556" s="21" t="s">
        <v>2276</v>
      </c>
      <c r="Q556" s="102" t="s">
        <v>2276</v>
      </c>
      <c r="R556" s="102"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89"/>
      <c r="J557" s="21" t="s">
        <v>2368</v>
      </c>
      <c r="K557" s="103" t="s">
        <v>2276</v>
      </c>
      <c r="L557" s="21" t="s">
        <v>2276</v>
      </c>
      <c r="M557" s="21" t="s">
        <v>2276</v>
      </c>
      <c r="N557" s="21" t="s">
        <v>2276</v>
      </c>
      <c r="O557" s="21" t="s">
        <v>2276</v>
      </c>
      <c r="P557" s="21" t="s">
        <v>2276</v>
      </c>
      <c r="Q557" s="102" t="s">
        <v>2276</v>
      </c>
      <c r="R557" s="102"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89"/>
      <c r="J558" s="21" t="s">
        <v>2368</v>
      </c>
      <c r="K558" s="103" t="s">
        <v>2276</v>
      </c>
      <c r="L558" s="21" t="s">
        <v>2276</v>
      </c>
      <c r="M558" s="21" t="s">
        <v>2276</v>
      </c>
      <c r="N558" s="21" t="s">
        <v>2276</v>
      </c>
      <c r="O558" s="21" t="s">
        <v>2276</v>
      </c>
      <c r="P558" s="21" t="s">
        <v>2276</v>
      </c>
      <c r="Q558" s="102" t="s">
        <v>2276</v>
      </c>
      <c r="R558" s="102"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89"/>
      <c r="J559" s="21" t="s">
        <v>2368</v>
      </c>
      <c r="K559" s="103" t="s">
        <v>2276</v>
      </c>
      <c r="L559" s="21" t="s">
        <v>2276</v>
      </c>
      <c r="M559" s="21" t="s">
        <v>2276</v>
      </c>
      <c r="N559" s="21" t="s">
        <v>2276</v>
      </c>
      <c r="O559" s="21" t="s">
        <v>2276</v>
      </c>
      <c r="P559" s="21" t="s">
        <v>2276</v>
      </c>
      <c r="Q559" s="102" t="s">
        <v>2276</v>
      </c>
      <c r="R559" s="102"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89"/>
      <c r="J560" s="21" t="s">
        <v>2368</v>
      </c>
      <c r="K560" s="103" t="s">
        <v>2276</v>
      </c>
      <c r="L560" s="21" t="s">
        <v>2276</v>
      </c>
      <c r="M560" s="21" t="s">
        <v>2276</v>
      </c>
      <c r="N560" s="21" t="s">
        <v>2276</v>
      </c>
      <c r="O560" s="21" t="s">
        <v>2276</v>
      </c>
      <c r="P560" s="21" t="s">
        <v>2276</v>
      </c>
      <c r="Q560" s="102" t="s">
        <v>2276</v>
      </c>
      <c r="R560" s="102"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89"/>
      <c r="J561" s="21" t="s">
        <v>2369</v>
      </c>
      <c r="K561" s="103" t="s">
        <v>2276</v>
      </c>
      <c r="L561" s="21" t="s">
        <v>2276</v>
      </c>
      <c r="M561" s="21" t="s">
        <v>2276</v>
      </c>
      <c r="N561" s="21" t="s">
        <v>2276</v>
      </c>
      <c r="O561" s="21" t="s">
        <v>2276</v>
      </c>
      <c r="P561" s="21" t="s">
        <v>2276</v>
      </c>
      <c r="Q561" s="102" t="s">
        <v>2276</v>
      </c>
      <c r="R561" s="102"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89"/>
      <c r="J562" s="21" t="s">
        <v>2369</v>
      </c>
      <c r="K562" s="103" t="s">
        <v>2276</v>
      </c>
      <c r="L562" s="21" t="s">
        <v>2276</v>
      </c>
      <c r="M562" s="21" t="s">
        <v>2276</v>
      </c>
      <c r="N562" s="21" t="s">
        <v>2276</v>
      </c>
      <c r="O562" s="21" t="s">
        <v>2276</v>
      </c>
      <c r="P562" s="21" t="s">
        <v>2276</v>
      </c>
      <c r="Q562" s="102" t="s">
        <v>2276</v>
      </c>
      <c r="R562" s="102"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89"/>
      <c r="J563" s="21" t="s">
        <v>2367</v>
      </c>
      <c r="K563" s="103" t="s">
        <v>2276</v>
      </c>
      <c r="L563" s="21" t="s">
        <v>2276</v>
      </c>
      <c r="M563" s="21" t="s">
        <v>2276</v>
      </c>
      <c r="N563" s="21" t="s">
        <v>2276</v>
      </c>
      <c r="O563" s="21" t="s">
        <v>2276</v>
      </c>
      <c r="P563" s="21" t="s">
        <v>2276</v>
      </c>
      <c r="Q563" s="102" t="s">
        <v>2276</v>
      </c>
      <c r="R563" s="102"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89"/>
      <c r="J564" s="21" t="s">
        <v>2366</v>
      </c>
      <c r="K564" s="103" t="s">
        <v>2276</v>
      </c>
      <c r="L564" s="21" t="s">
        <v>2276</v>
      </c>
      <c r="M564" s="21" t="s">
        <v>2276</v>
      </c>
      <c r="N564" s="21" t="s">
        <v>2276</v>
      </c>
      <c r="O564" s="21" t="s">
        <v>2276</v>
      </c>
      <c r="P564" s="21" t="s">
        <v>2276</v>
      </c>
      <c r="Q564" s="102" t="s">
        <v>2276</v>
      </c>
      <c r="R564" s="102"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89"/>
      <c r="J565" s="21" t="s">
        <v>2367</v>
      </c>
      <c r="K565" s="103" t="s">
        <v>2276</v>
      </c>
      <c r="L565" s="21" t="s">
        <v>2276</v>
      </c>
      <c r="M565" s="21" t="s">
        <v>2276</v>
      </c>
      <c r="N565" s="21" t="s">
        <v>2276</v>
      </c>
      <c r="O565" s="21" t="s">
        <v>2276</v>
      </c>
      <c r="P565" s="21" t="s">
        <v>2276</v>
      </c>
      <c r="Q565" s="102" t="s">
        <v>2276</v>
      </c>
      <c r="R565" s="102"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89"/>
      <c r="J566" s="21" t="s">
        <v>2369</v>
      </c>
      <c r="K566" s="103" t="s">
        <v>2276</v>
      </c>
      <c r="L566" s="21" t="s">
        <v>2276</v>
      </c>
      <c r="M566" s="21" t="s">
        <v>2276</v>
      </c>
      <c r="N566" s="21" t="s">
        <v>2276</v>
      </c>
      <c r="O566" s="21" t="s">
        <v>2276</v>
      </c>
      <c r="P566" s="21" t="s">
        <v>2276</v>
      </c>
      <c r="Q566" s="102" t="s">
        <v>2276</v>
      </c>
      <c r="R566" s="102"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89"/>
      <c r="J567" s="21" t="s">
        <v>2367</v>
      </c>
      <c r="K567" s="103" t="s">
        <v>2276</v>
      </c>
      <c r="L567" s="21" t="s">
        <v>2276</v>
      </c>
      <c r="M567" s="21" t="s">
        <v>2276</v>
      </c>
      <c r="N567" s="21" t="s">
        <v>2276</v>
      </c>
      <c r="O567" s="21" t="s">
        <v>2276</v>
      </c>
      <c r="P567" s="21" t="s">
        <v>2276</v>
      </c>
      <c r="Q567" s="102" t="s">
        <v>2276</v>
      </c>
      <c r="R567" s="102"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89"/>
      <c r="J568" s="21" t="s">
        <v>2368</v>
      </c>
      <c r="K568" s="103" t="s">
        <v>2276</v>
      </c>
      <c r="L568" s="21" t="s">
        <v>2276</v>
      </c>
      <c r="M568" s="21" t="s">
        <v>2276</v>
      </c>
      <c r="N568" s="21" t="s">
        <v>2276</v>
      </c>
      <c r="O568" s="21" t="s">
        <v>2276</v>
      </c>
      <c r="P568" s="21" t="s">
        <v>2276</v>
      </c>
      <c r="Q568" s="102" t="s">
        <v>2276</v>
      </c>
      <c r="R568" s="102"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89"/>
      <c r="J569" s="21" t="s">
        <v>2369</v>
      </c>
      <c r="K569" s="103" t="s">
        <v>2276</v>
      </c>
      <c r="L569" s="21" t="s">
        <v>2276</v>
      </c>
      <c r="M569" s="21" t="s">
        <v>2276</v>
      </c>
      <c r="N569" s="21" t="s">
        <v>2276</v>
      </c>
      <c r="O569" s="21" t="s">
        <v>2276</v>
      </c>
      <c r="P569" s="21" t="s">
        <v>2276</v>
      </c>
      <c r="Q569" s="102" t="s">
        <v>2276</v>
      </c>
      <c r="R569" s="102"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89"/>
      <c r="J570" s="21" t="s">
        <v>2369</v>
      </c>
      <c r="K570" s="103" t="s">
        <v>2276</v>
      </c>
      <c r="L570" s="21" t="s">
        <v>2276</v>
      </c>
      <c r="M570" s="21" t="s">
        <v>2276</v>
      </c>
      <c r="N570" s="21" t="s">
        <v>2276</v>
      </c>
      <c r="O570" s="21" t="s">
        <v>2276</v>
      </c>
      <c r="P570" s="21" t="s">
        <v>2276</v>
      </c>
      <c r="Q570" s="102" t="s">
        <v>2276</v>
      </c>
      <c r="R570" s="102"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89"/>
      <c r="J571" s="21" t="s">
        <v>2368</v>
      </c>
      <c r="K571" s="103" t="s">
        <v>2276</v>
      </c>
      <c r="L571" s="21" t="s">
        <v>2276</v>
      </c>
      <c r="M571" s="21" t="s">
        <v>2276</v>
      </c>
      <c r="N571" s="21" t="s">
        <v>2276</v>
      </c>
      <c r="O571" s="21" t="s">
        <v>2276</v>
      </c>
      <c r="P571" s="21" t="s">
        <v>2276</v>
      </c>
      <c r="Q571" s="102" t="s">
        <v>2276</v>
      </c>
      <c r="R571" s="102"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89"/>
      <c r="J572" s="21" t="s">
        <v>2368</v>
      </c>
      <c r="K572" s="103" t="s">
        <v>2276</v>
      </c>
      <c r="L572" s="21" t="s">
        <v>2276</v>
      </c>
      <c r="M572" s="21" t="s">
        <v>2276</v>
      </c>
      <c r="N572" s="21" t="s">
        <v>2276</v>
      </c>
      <c r="O572" s="21" t="s">
        <v>2276</v>
      </c>
      <c r="P572" s="21" t="s">
        <v>2276</v>
      </c>
      <c r="Q572" s="102" t="s">
        <v>2276</v>
      </c>
      <c r="R572" s="102"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89"/>
      <c r="J573" s="21" t="s">
        <v>2369</v>
      </c>
      <c r="K573" s="103" t="s">
        <v>2276</v>
      </c>
      <c r="L573" s="21" t="s">
        <v>2276</v>
      </c>
      <c r="M573" s="21" t="s">
        <v>2276</v>
      </c>
      <c r="N573" s="21" t="s">
        <v>2276</v>
      </c>
      <c r="O573" s="21" t="s">
        <v>2276</v>
      </c>
      <c r="P573" s="21" t="s">
        <v>2276</v>
      </c>
      <c r="Q573" s="102" t="s">
        <v>2276</v>
      </c>
      <c r="R573" s="102"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89"/>
      <c r="J574" s="21" t="s">
        <v>2368</v>
      </c>
      <c r="K574" s="103" t="s">
        <v>2276</v>
      </c>
      <c r="L574" s="21" t="s">
        <v>2276</v>
      </c>
      <c r="M574" s="21" t="s">
        <v>2276</v>
      </c>
      <c r="N574" s="21" t="s">
        <v>2276</v>
      </c>
      <c r="O574" s="21" t="s">
        <v>2276</v>
      </c>
      <c r="P574" s="21" t="s">
        <v>2276</v>
      </c>
      <c r="Q574" s="102" t="s">
        <v>2276</v>
      </c>
      <c r="R574" s="102"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89"/>
      <c r="J575" s="21" t="s">
        <v>2368</v>
      </c>
      <c r="K575" s="103" t="s">
        <v>2276</v>
      </c>
      <c r="L575" s="21" t="s">
        <v>2276</v>
      </c>
      <c r="M575" s="21" t="s">
        <v>2276</v>
      </c>
      <c r="N575" s="21" t="s">
        <v>2276</v>
      </c>
      <c r="O575" s="21" t="s">
        <v>2276</v>
      </c>
      <c r="P575" s="21" t="s">
        <v>2276</v>
      </c>
      <c r="Q575" s="102" t="s">
        <v>2276</v>
      </c>
      <c r="R575" s="102"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89"/>
      <c r="J576" s="21" t="s">
        <v>2368</v>
      </c>
      <c r="K576" s="103" t="s">
        <v>2276</v>
      </c>
      <c r="L576" s="21" t="s">
        <v>2276</v>
      </c>
      <c r="M576" s="21" t="s">
        <v>2276</v>
      </c>
      <c r="N576" s="21" t="s">
        <v>2276</v>
      </c>
      <c r="O576" s="21" t="s">
        <v>2276</v>
      </c>
      <c r="P576" s="21" t="s">
        <v>2276</v>
      </c>
      <c r="Q576" s="102" t="s">
        <v>2276</v>
      </c>
      <c r="R576" s="102"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89"/>
      <c r="J577" s="21" t="s">
        <v>2368</v>
      </c>
      <c r="K577" s="103" t="s">
        <v>2276</v>
      </c>
      <c r="L577" s="21" t="s">
        <v>2276</v>
      </c>
      <c r="M577" s="21" t="s">
        <v>2276</v>
      </c>
      <c r="N577" s="21" t="s">
        <v>2276</v>
      </c>
      <c r="O577" s="21" t="s">
        <v>2276</v>
      </c>
      <c r="P577" s="21" t="s">
        <v>2276</v>
      </c>
      <c r="Q577" s="102" t="s">
        <v>2276</v>
      </c>
      <c r="R577" s="102"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89"/>
      <c r="J578" s="21" t="s">
        <v>2369</v>
      </c>
      <c r="K578" s="103" t="s">
        <v>2276</v>
      </c>
      <c r="L578" s="21" t="s">
        <v>2276</v>
      </c>
      <c r="M578" s="21" t="s">
        <v>2276</v>
      </c>
      <c r="N578" s="21" t="s">
        <v>2276</v>
      </c>
      <c r="O578" s="21" t="s">
        <v>2276</v>
      </c>
      <c r="P578" s="21" t="s">
        <v>2276</v>
      </c>
      <c r="Q578" s="102" t="s">
        <v>2276</v>
      </c>
      <c r="R578" s="102"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89"/>
      <c r="J579" s="21" t="s">
        <v>2367</v>
      </c>
      <c r="K579" s="103" t="s">
        <v>2276</v>
      </c>
      <c r="L579" s="21" t="s">
        <v>2276</v>
      </c>
      <c r="M579" s="21" t="s">
        <v>2276</v>
      </c>
      <c r="N579" s="21" t="s">
        <v>2276</v>
      </c>
      <c r="O579" s="21" t="s">
        <v>2276</v>
      </c>
      <c r="P579" s="21" t="s">
        <v>2276</v>
      </c>
      <c r="Q579" s="102" t="s">
        <v>2276</v>
      </c>
      <c r="R579" s="102"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89"/>
      <c r="J580" s="21" t="s">
        <v>2369</v>
      </c>
      <c r="K580" s="103" t="s">
        <v>2276</v>
      </c>
      <c r="L580" s="21" t="s">
        <v>2276</v>
      </c>
      <c r="M580" s="21" t="s">
        <v>2276</v>
      </c>
      <c r="N580" s="21" t="s">
        <v>2276</v>
      </c>
      <c r="O580" s="21" t="s">
        <v>2276</v>
      </c>
      <c r="P580" s="21" t="s">
        <v>2276</v>
      </c>
      <c r="Q580" s="102" t="s">
        <v>2276</v>
      </c>
      <c r="R580" s="102"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89"/>
      <c r="J581" s="21" t="s">
        <v>2369</v>
      </c>
      <c r="K581" s="103" t="s">
        <v>2276</v>
      </c>
      <c r="L581" s="21" t="s">
        <v>2276</v>
      </c>
      <c r="M581" s="21" t="s">
        <v>2276</v>
      </c>
      <c r="N581" s="21" t="s">
        <v>2276</v>
      </c>
      <c r="O581" s="21" t="s">
        <v>2276</v>
      </c>
      <c r="P581" s="21" t="s">
        <v>2276</v>
      </c>
      <c r="Q581" s="102" t="s">
        <v>2276</v>
      </c>
      <c r="R581" s="102"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89"/>
      <c r="J582" s="21" t="s">
        <v>2368</v>
      </c>
      <c r="K582" s="103" t="s">
        <v>2276</v>
      </c>
      <c r="L582" s="21" t="s">
        <v>2276</v>
      </c>
      <c r="M582" s="21" t="s">
        <v>2276</v>
      </c>
      <c r="N582" s="21" t="s">
        <v>2276</v>
      </c>
      <c r="O582" s="21" t="s">
        <v>2276</v>
      </c>
      <c r="P582" s="21" t="s">
        <v>2276</v>
      </c>
      <c r="Q582" s="102" t="s">
        <v>2276</v>
      </c>
      <c r="R582" s="102"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89"/>
      <c r="J583" s="21" t="s">
        <v>2369</v>
      </c>
      <c r="K583" s="103" t="s">
        <v>2276</v>
      </c>
      <c r="L583" s="21" t="s">
        <v>2276</v>
      </c>
      <c r="M583" s="21" t="s">
        <v>2276</v>
      </c>
      <c r="N583" s="21" t="s">
        <v>2276</v>
      </c>
      <c r="O583" s="21" t="s">
        <v>2276</v>
      </c>
      <c r="P583" s="21" t="s">
        <v>2276</v>
      </c>
      <c r="Q583" s="102" t="s">
        <v>2276</v>
      </c>
      <c r="R583" s="102"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89"/>
      <c r="J584" s="21" t="s">
        <v>2368</v>
      </c>
      <c r="K584" s="103" t="s">
        <v>2276</v>
      </c>
      <c r="L584" s="21" t="s">
        <v>2276</v>
      </c>
      <c r="M584" s="21" t="s">
        <v>2276</v>
      </c>
      <c r="N584" s="21" t="s">
        <v>2276</v>
      </c>
      <c r="O584" s="21" t="s">
        <v>2276</v>
      </c>
      <c r="P584" s="21" t="s">
        <v>2276</v>
      </c>
      <c r="Q584" s="102" t="s">
        <v>2276</v>
      </c>
      <c r="R584" s="102"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89"/>
      <c r="J585" s="21" t="s">
        <v>2369</v>
      </c>
      <c r="K585" s="103" t="s">
        <v>2276</v>
      </c>
      <c r="L585" s="21" t="s">
        <v>2276</v>
      </c>
      <c r="M585" s="21" t="s">
        <v>2276</v>
      </c>
      <c r="N585" s="21" t="s">
        <v>2276</v>
      </c>
      <c r="O585" s="21" t="s">
        <v>2276</v>
      </c>
      <c r="P585" s="21" t="s">
        <v>2276</v>
      </c>
      <c r="Q585" s="102" t="s">
        <v>2276</v>
      </c>
      <c r="R585" s="102"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89"/>
      <c r="J586" s="21" t="s">
        <v>2368</v>
      </c>
      <c r="K586" s="103" t="s">
        <v>2276</v>
      </c>
      <c r="L586" s="21" t="s">
        <v>2276</v>
      </c>
      <c r="M586" s="21" t="s">
        <v>2276</v>
      </c>
      <c r="N586" s="21" t="s">
        <v>2276</v>
      </c>
      <c r="O586" s="21" t="s">
        <v>2276</v>
      </c>
      <c r="P586" s="21" t="s">
        <v>2276</v>
      </c>
      <c r="Q586" s="102" t="s">
        <v>2276</v>
      </c>
      <c r="R586" s="102"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89"/>
      <c r="J587" s="21" t="s">
        <v>2369</v>
      </c>
      <c r="K587" s="103" t="s">
        <v>2276</v>
      </c>
      <c r="L587" s="21" t="s">
        <v>2276</v>
      </c>
      <c r="M587" s="21" t="s">
        <v>2276</v>
      </c>
      <c r="N587" s="21" t="s">
        <v>2276</v>
      </c>
      <c r="O587" s="21" t="s">
        <v>2276</v>
      </c>
      <c r="P587" s="21" t="s">
        <v>2276</v>
      </c>
      <c r="Q587" s="102" t="s">
        <v>2276</v>
      </c>
      <c r="R587" s="102"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89"/>
      <c r="J588" s="21" t="s">
        <v>2367</v>
      </c>
      <c r="K588" s="103" t="s">
        <v>2276</v>
      </c>
      <c r="L588" s="21" t="s">
        <v>2276</v>
      </c>
      <c r="M588" s="21" t="s">
        <v>2276</v>
      </c>
      <c r="N588" s="21" t="s">
        <v>2276</v>
      </c>
      <c r="O588" s="21" t="s">
        <v>2276</v>
      </c>
      <c r="P588" s="21" t="s">
        <v>2276</v>
      </c>
      <c r="Q588" s="102" t="s">
        <v>2276</v>
      </c>
      <c r="R588" s="102"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3" t="s">
        <v>2362</v>
      </c>
      <c r="L589" s="21" t="s">
        <v>2276</v>
      </c>
      <c r="M589" s="21" t="s">
        <v>2362</v>
      </c>
      <c r="N589" s="21" t="s">
        <v>2276</v>
      </c>
      <c r="O589" s="21" t="s">
        <v>2362</v>
      </c>
      <c r="P589" s="21" t="s">
        <v>2276</v>
      </c>
      <c r="Q589" s="102" t="s">
        <v>2276</v>
      </c>
      <c r="R589" s="102"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3" t="s">
        <v>2362</v>
      </c>
      <c r="L590" s="21" t="s">
        <v>2276</v>
      </c>
      <c r="M590" s="21" t="s">
        <v>2373</v>
      </c>
      <c r="N590" s="21" t="s">
        <v>2276</v>
      </c>
      <c r="O590" s="21" t="s">
        <v>2375</v>
      </c>
      <c r="P590" s="21" t="s">
        <v>2276</v>
      </c>
      <c r="Q590" s="102" t="s">
        <v>2276</v>
      </c>
      <c r="R590" s="102"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3" t="s">
        <v>2276</v>
      </c>
      <c r="L591" s="21" t="s">
        <v>2276</v>
      </c>
      <c r="M591" s="21" t="s">
        <v>2276</v>
      </c>
      <c r="N591" s="21" t="s">
        <v>2276</v>
      </c>
      <c r="O591" s="21" t="s">
        <v>2276</v>
      </c>
      <c r="P591" s="21" t="s">
        <v>2276</v>
      </c>
      <c r="Q591" s="102" t="s">
        <v>2276</v>
      </c>
      <c r="R591" s="102"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3" t="s">
        <v>2276</v>
      </c>
      <c r="L592" s="21" t="s">
        <v>2276</v>
      </c>
      <c r="M592" s="21" t="s">
        <v>2276</v>
      </c>
      <c r="N592" s="21" t="s">
        <v>2276</v>
      </c>
      <c r="O592" s="21" t="s">
        <v>2276</v>
      </c>
      <c r="P592" s="21" t="s">
        <v>2276</v>
      </c>
      <c r="Q592" s="102" t="s">
        <v>2276</v>
      </c>
      <c r="R592" s="102"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3" t="s">
        <v>2276</v>
      </c>
      <c r="L593" s="21" t="s">
        <v>2276</v>
      </c>
      <c r="M593" s="21" t="s">
        <v>2276</v>
      </c>
      <c r="N593" s="21" t="s">
        <v>2276</v>
      </c>
      <c r="O593" s="21" t="s">
        <v>2276</v>
      </c>
      <c r="P593" s="21" t="s">
        <v>2374</v>
      </c>
      <c r="Q593" s="102" t="s">
        <v>2276</v>
      </c>
      <c r="R593" s="102"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3" t="s">
        <v>2276</v>
      </c>
      <c r="L594" s="21" t="s">
        <v>2276</v>
      </c>
      <c r="M594" s="21" t="s">
        <v>2276</v>
      </c>
      <c r="N594" s="21" t="s">
        <v>2276</v>
      </c>
      <c r="O594" s="21" t="s">
        <v>2276</v>
      </c>
      <c r="P594" s="21" t="s">
        <v>2276</v>
      </c>
      <c r="Q594" s="102" t="s">
        <v>2276</v>
      </c>
      <c r="R594" s="102"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3" t="s">
        <v>2276</v>
      </c>
      <c r="L595" s="21" t="s">
        <v>2276</v>
      </c>
      <c r="M595" s="21" t="s">
        <v>2276</v>
      </c>
      <c r="N595" s="21" t="s">
        <v>2276</v>
      </c>
      <c r="O595" s="21" t="s">
        <v>2276</v>
      </c>
      <c r="P595" s="21" t="s">
        <v>2276</v>
      </c>
      <c r="Q595" s="102" t="s">
        <v>2276</v>
      </c>
      <c r="R595" s="102"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3" t="s">
        <v>2276</v>
      </c>
      <c r="L596" s="21" t="s">
        <v>2276</v>
      </c>
      <c r="M596" s="21" t="s">
        <v>2276</v>
      </c>
      <c r="N596" s="21" t="s">
        <v>2276</v>
      </c>
      <c r="O596" s="21" t="s">
        <v>2276</v>
      </c>
      <c r="P596" s="21" t="s">
        <v>2276</v>
      </c>
      <c r="Q596" s="102" t="s">
        <v>2276</v>
      </c>
      <c r="R596" s="102"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3" t="s">
        <v>2276</v>
      </c>
      <c r="L597" s="21" t="s">
        <v>2276</v>
      </c>
      <c r="M597" s="21" t="s">
        <v>2276</v>
      </c>
      <c r="N597" s="21" t="s">
        <v>2276</v>
      </c>
      <c r="O597" s="21" t="s">
        <v>2276</v>
      </c>
      <c r="P597" s="21" t="s">
        <v>2276</v>
      </c>
      <c r="Q597" s="102" t="s">
        <v>2276</v>
      </c>
      <c r="R597" s="102"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3" t="s">
        <v>2276</v>
      </c>
      <c r="L598" s="21" t="s">
        <v>2276</v>
      </c>
      <c r="M598" s="21" t="s">
        <v>2276</v>
      </c>
      <c r="N598" s="21" t="s">
        <v>2276</v>
      </c>
      <c r="O598" s="21" t="s">
        <v>2276</v>
      </c>
      <c r="P598" s="21" t="s">
        <v>2276</v>
      </c>
      <c r="Q598" s="102" t="s">
        <v>2276</v>
      </c>
      <c r="R598" s="102"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3" t="s">
        <v>2276</v>
      </c>
      <c r="L599" s="21" t="s">
        <v>2276</v>
      </c>
      <c r="M599" s="21" t="s">
        <v>2276</v>
      </c>
      <c r="N599" s="21" t="s">
        <v>2276</v>
      </c>
      <c r="O599" s="21" t="s">
        <v>2276</v>
      </c>
      <c r="P599" s="21" t="s">
        <v>2276</v>
      </c>
      <c r="Q599" s="102" t="s">
        <v>2276</v>
      </c>
      <c r="R599" s="102"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3" t="s">
        <v>2276</v>
      </c>
      <c r="L600" s="21" t="s">
        <v>2276</v>
      </c>
      <c r="M600" s="21" t="s">
        <v>2276</v>
      </c>
      <c r="N600" s="21" t="s">
        <v>2276</v>
      </c>
      <c r="O600" s="21" t="s">
        <v>2276</v>
      </c>
      <c r="P600" s="21" t="s">
        <v>2276</v>
      </c>
      <c r="Q600" s="102" t="s">
        <v>2276</v>
      </c>
      <c r="R600" s="102"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3" t="s">
        <v>2364</v>
      </c>
      <c r="L601" s="21" t="s">
        <v>2364</v>
      </c>
      <c r="M601" s="21" t="s">
        <v>2364</v>
      </c>
      <c r="N601" s="21" t="s">
        <v>2364</v>
      </c>
      <c r="O601" s="21" t="s">
        <v>2364</v>
      </c>
      <c r="P601" s="21" t="s">
        <v>2364</v>
      </c>
      <c r="Q601" s="102" t="s">
        <v>2276</v>
      </c>
      <c r="R601" s="102"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3" t="s">
        <v>2364</v>
      </c>
      <c r="L602" s="21" t="s">
        <v>2364</v>
      </c>
      <c r="M602" s="21" t="s">
        <v>2364</v>
      </c>
      <c r="N602" s="21" t="s">
        <v>2364</v>
      </c>
      <c r="O602" s="21" t="s">
        <v>2364</v>
      </c>
      <c r="P602" s="21" t="s">
        <v>2364</v>
      </c>
      <c r="Q602" s="102" t="s">
        <v>2276</v>
      </c>
      <c r="R602" s="102"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3" t="s">
        <v>2276</v>
      </c>
      <c r="K603" s="103" t="s">
        <v>2276</v>
      </c>
      <c r="L603" s="21" t="s">
        <v>2374</v>
      </c>
      <c r="M603" s="21" t="s">
        <v>2276</v>
      </c>
      <c r="N603" s="21" t="s">
        <v>2380</v>
      </c>
      <c r="O603" s="21" t="s">
        <v>2276</v>
      </c>
      <c r="P603" s="21" t="s">
        <v>2378</v>
      </c>
      <c r="Q603" s="102" t="s">
        <v>2276</v>
      </c>
      <c r="R603" s="102" t="s">
        <v>2276</v>
      </c>
      <c r="S603" s="102" t="s">
        <v>2276</v>
      </c>
      <c r="T603" s="102" t="s">
        <v>2276</v>
      </c>
      <c r="U603" s="102" t="s">
        <v>2276</v>
      </c>
      <c r="V603" s="21" t="s">
        <v>2376</v>
      </c>
      <c r="W603" s="21" t="s">
        <v>2401</v>
      </c>
      <c r="X603" s="3" t="s">
        <v>127</v>
      </c>
      <c r="Y603" s="3" t="s">
        <v>38</v>
      </c>
      <c r="Z603" s="3" t="s">
        <v>2655</v>
      </c>
      <c r="AA603" s="4" t="s">
        <v>5069</v>
      </c>
      <c r="AB603" s="4" t="s">
        <v>5077</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3" t="s">
        <v>2276</v>
      </c>
      <c r="K604" s="103" t="s">
        <v>2276</v>
      </c>
      <c r="L604" s="21" t="s">
        <v>2362</v>
      </c>
      <c r="M604" s="21" t="s">
        <v>2276</v>
      </c>
      <c r="N604" s="21" t="s">
        <v>2378</v>
      </c>
      <c r="O604" s="21" t="s">
        <v>2276</v>
      </c>
      <c r="P604" s="21" t="s">
        <v>2378</v>
      </c>
      <c r="Q604" s="102" t="s">
        <v>2276</v>
      </c>
      <c r="R604" s="102" t="s">
        <v>2276</v>
      </c>
      <c r="S604" s="102" t="s">
        <v>2276</v>
      </c>
      <c r="T604" s="102" t="s">
        <v>2276</v>
      </c>
      <c r="U604" s="102" t="s">
        <v>2276</v>
      </c>
      <c r="V604" s="21" t="s">
        <v>2376</v>
      </c>
      <c r="W604" s="21" t="s">
        <v>2401</v>
      </c>
      <c r="X604" s="3" t="s">
        <v>127</v>
      </c>
      <c r="Y604" s="3" t="s">
        <v>38</v>
      </c>
      <c r="Z604" s="3" t="s">
        <v>2655</v>
      </c>
      <c r="AA604" s="4" t="s">
        <v>5069</v>
      </c>
      <c r="AB604" s="4" t="s">
        <v>5077</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3" t="s">
        <v>2276</v>
      </c>
      <c r="K605" s="103" t="s">
        <v>2276</v>
      </c>
      <c r="L605" s="21" t="s">
        <v>2373</v>
      </c>
      <c r="M605" s="21" t="s">
        <v>2276</v>
      </c>
      <c r="N605" s="21" t="s">
        <v>2380</v>
      </c>
      <c r="O605" s="21" t="s">
        <v>2276</v>
      </c>
      <c r="P605" s="21" t="s">
        <v>2378</v>
      </c>
      <c r="Q605" s="102" t="s">
        <v>2276</v>
      </c>
      <c r="R605" s="102" t="s">
        <v>2276</v>
      </c>
      <c r="S605" s="102" t="s">
        <v>2276</v>
      </c>
      <c r="T605" s="102" t="s">
        <v>2276</v>
      </c>
      <c r="U605" s="102" t="s">
        <v>2276</v>
      </c>
      <c r="V605" s="21" t="s">
        <v>2376</v>
      </c>
      <c r="W605" s="21" t="s">
        <v>2401</v>
      </c>
      <c r="X605" s="3" t="s">
        <v>127</v>
      </c>
      <c r="Y605" s="3" t="s">
        <v>38</v>
      </c>
      <c r="Z605" s="3" t="s">
        <v>2655</v>
      </c>
      <c r="AA605" s="4" t="s">
        <v>5069</v>
      </c>
      <c r="AB605" s="4" t="s">
        <v>5077</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3" t="s">
        <v>2276</v>
      </c>
      <c r="K606" s="103" t="s">
        <v>2276</v>
      </c>
      <c r="L606" s="21" t="s">
        <v>2373</v>
      </c>
      <c r="M606" s="21" t="s">
        <v>2276</v>
      </c>
      <c r="N606" s="21" t="s">
        <v>2381</v>
      </c>
      <c r="O606" s="21" t="s">
        <v>2276</v>
      </c>
      <c r="P606" s="21" t="s">
        <v>2378</v>
      </c>
      <c r="Q606" s="102" t="s">
        <v>2276</v>
      </c>
      <c r="R606" s="102" t="s">
        <v>2276</v>
      </c>
      <c r="S606" s="102" t="s">
        <v>2276</v>
      </c>
      <c r="T606" s="102" t="s">
        <v>2276</v>
      </c>
      <c r="U606" s="102" t="s">
        <v>2276</v>
      </c>
      <c r="V606" s="21" t="s">
        <v>2376</v>
      </c>
      <c r="W606" s="21" t="s">
        <v>2401</v>
      </c>
      <c r="X606" s="3" t="s">
        <v>127</v>
      </c>
      <c r="Y606" s="3" t="s">
        <v>38</v>
      </c>
      <c r="Z606" s="3" t="s">
        <v>2655</v>
      </c>
      <c r="AA606" s="4" t="s">
        <v>5069</v>
      </c>
      <c r="AB606" s="4" t="s">
        <v>5077</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3" t="s">
        <v>2276</v>
      </c>
      <c r="K607" s="103" t="s">
        <v>2276</v>
      </c>
      <c r="L607" s="21" t="s">
        <v>2362</v>
      </c>
      <c r="M607" s="21" t="s">
        <v>2276</v>
      </c>
      <c r="N607" s="21" t="s">
        <v>2381</v>
      </c>
      <c r="O607" s="21" t="s">
        <v>2276</v>
      </c>
      <c r="P607" s="21" t="s">
        <v>2377</v>
      </c>
      <c r="Q607" s="102" t="s">
        <v>2276</v>
      </c>
      <c r="R607" s="102" t="s">
        <v>2276</v>
      </c>
      <c r="S607" s="102" t="s">
        <v>2276</v>
      </c>
      <c r="T607" s="102" t="s">
        <v>2276</v>
      </c>
      <c r="U607" s="102" t="s">
        <v>2276</v>
      </c>
      <c r="V607" s="21" t="s">
        <v>2376</v>
      </c>
      <c r="W607" s="21" t="s">
        <v>2401</v>
      </c>
      <c r="X607" s="3" t="s">
        <v>127</v>
      </c>
      <c r="Y607" s="3" t="s">
        <v>38</v>
      </c>
      <c r="Z607" s="3" t="s">
        <v>2655</v>
      </c>
      <c r="AA607" s="4" t="s">
        <v>5069</v>
      </c>
      <c r="AB607" s="4" t="s">
        <v>5077</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3" t="s">
        <v>2276</v>
      </c>
      <c r="K608" s="103" t="s">
        <v>2276</v>
      </c>
      <c r="L608" s="21" t="s">
        <v>2375</v>
      </c>
      <c r="M608" s="21" t="s">
        <v>2276</v>
      </c>
      <c r="N608" s="21" t="s">
        <v>2382</v>
      </c>
      <c r="O608" s="21" t="s">
        <v>2276</v>
      </c>
      <c r="P608" s="21" t="s">
        <v>2378</v>
      </c>
      <c r="Q608" s="102" t="s">
        <v>2276</v>
      </c>
      <c r="R608" s="102" t="s">
        <v>2276</v>
      </c>
      <c r="S608" s="102" t="s">
        <v>2276</v>
      </c>
      <c r="T608" s="102" t="s">
        <v>2276</v>
      </c>
      <c r="U608" s="102" t="s">
        <v>2276</v>
      </c>
      <c r="V608" s="21" t="s">
        <v>2389</v>
      </c>
      <c r="W608" s="21" t="s">
        <v>2401</v>
      </c>
      <c r="X608" s="3" t="s">
        <v>127</v>
      </c>
      <c r="Y608" s="3" t="s">
        <v>38</v>
      </c>
      <c r="Z608" s="3" t="s">
        <v>2655</v>
      </c>
      <c r="AA608" s="4" t="s">
        <v>5069</v>
      </c>
      <c r="AB608" s="4" t="s">
        <v>5077</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3" t="s">
        <v>2276</v>
      </c>
      <c r="K609" s="103" t="s">
        <v>2276</v>
      </c>
      <c r="L609" s="21" t="s">
        <v>2375</v>
      </c>
      <c r="M609" s="21" t="s">
        <v>2276</v>
      </c>
      <c r="N609" s="21" t="s">
        <v>2380</v>
      </c>
      <c r="O609" s="21" t="s">
        <v>2276</v>
      </c>
      <c r="P609" s="21" t="s">
        <v>2378</v>
      </c>
      <c r="Q609" s="102" t="s">
        <v>2276</v>
      </c>
      <c r="R609" s="102" t="s">
        <v>2276</v>
      </c>
      <c r="S609" s="102" t="s">
        <v>2276</v>
      </c>
      <c r="T609" s="102" t="s">
        <v>2276</v>
      </c>
      <c r="U609" s="102" t="s">
        <v>2276</v>
      </c>
      <c r="V609" s="21" t="s">
        <v>2376</v>
      </c>
      <c r="W609" s="21" t="s">
        <v>2401</v>
      </c>
      <c r="X609" s="3" t="s">
        <v>127</v>
      </c>
      <c r="Y609" s="3" t="s">
        <v>38</v>
      </c>
      <c r="Z609" s="3" t="s">
        <v>2655</v>
      </c>
      <c r="AA609" s="4" t="s">
        <v>5069</v>
      </c>
      <c r="AB609" s="4" t="s">
        <v>5077</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3" t="s">
        <v>2276</v>
      </c>
      <c r="K610" s="103" t="s">
        <v>2276</v>
      </c>
      <c r="L610" s="103" t="s">
        <v>2276</v>
      </c>
      <c r="M610" s="103" t="s">
        <v>2276</v>
      </c>
      <c r="N610" s="103" t="s">
        <v>2276</v>
      </c>
      <c r="O610" s="103" t="s">
        <v>2276</v>
      </c>
      <c r="P610" s="103" t="s">
        <v>2276</v>
      </c>
      <c r="Q610" s="103" t="s">
        <v>2276</v>
      </c>
      <c r="R610" s="103" t="s">
        <v>2276</v>
      </c>
      <c r="S610" s="103" t="s">
        <v>2276</v>
      </c>
      <c r="T610" s="103" t="s">
        <v>2276</v>
      </c>
      <c r="U610" s="103" t="s">
        <v>2276</v>
      </c>
      <c r="V610" s="103" t="s">
        <v>2276</v>
      </c>
      <c r="W610" s="103" t="s">
        <v>2276</v>
      </c>
      <c r="X610" s="3" t="s">
        <v>189</v>
      </c>
      <c r="Y610" s="3" t="s">
        <v>38</v>
      </c>
      <c r="Z610" s="3" t="s">
        <v>64</v>
      </c>
      <c r="AA610" s="4" t="s">
        <v>5078</v>
      </c>
      <c r="AB610" s="103"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3" t="s">
        <v>2276</v>
      </c>
      <c r="K611" s="103" t="s">
        <v>2276</v>
      </c>
      <c r="L611" s="21" t="s">
        <v>2373</v>
      </c>
      <c r="M611" s="21" t="s">
        <v>2276</v>
      </c>
      <c r="N611" s="21" t="s">
        <v>2378</v>
      </c>
      <c r="O611" s="21" t="s">
        <v>2276</v>
      </c>
      <c r="P611" s="21" t="s">
        <v>2377</v>
      </c>
      <c r="Q611" s="102" t="s">
        <v>2276</v>
      </c>
      <c r="R611" s="102" t="s">
        <v>2276</v>
      </c>
      <c r="S611" s="102" t="s">
        <v>2276</v>
      </c>
      <c r="T611" s="102" t="s">
        <v>2276</v>
      </c>
      <c r="U611" s="102" t="s">
        <v>2276</v>
      </c>
      <c r="V611" s="21" t="s">
        <v>2389</v>
      </c>
      <c r="W611" s="21" t="s">
        <v>2401</v>
      </c>
      <c r="X611" s="3" t="s">
        <v>127</v>
      </c>
      <c r="Y611" s="3" t="s">
        <v>38</v>
      </c>
      <c r="Z611" s="3" t="s">
        <v>2655</v>
      </c>
      <c r="AA611" s="4" t="s">
        <v>5069</v>
      </c>
      <c r="AB611" s="4" t="s">
        <v>5077</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3" t="s">
        <v>2276</v>
      </c>
      <c r="K612" s="103" t="s">
        <v>2276</v>
      </c>
      <c r="L612" s="21" t="s">
        <v>2362</v>
      </c>
      <c r="M612" s="21" t="s">
        <v>2276</v>
      </c>
      <c r="N612" s="21" t="s">
        <v>2378</v>
      </c>
      <c r="O612" s="21" t="s">
        <v>2276</v>
      </c>
      <c r="P612" s="21" t="s">
        <v>2374</v>
      </c>
      <c r="Q612" s="102" t="s">
        <v>2276</v>
      </c>
      <c r="R612" s="102" t="s">
        <v>2276</v>
      </c>
      <c r="S612" s="102" t="s">
        <v>2276</v>
      </c>
      <c r="T612" s="102" t="s">
        <v>2276</v>
      </c>
      <c r="U612" s="102" t="s">
        <v>2276</v>
      </c>
      <c r="V612" s="21" t="s">
        <v>2376</v>
      </c>
      <c r="W612" s="21" t="s">
        <v>2401</v>
      </c>
      <c r="X612" s="3" t="s">
        <v>127</v>
      </c>
      <c r="Y612" s="3" t="s">
        <v>38</v>
      </c>
      <c r="Z612" s="3" t="s">
        <v>2655</v>
      </c>
      <c r="AA612" s="4" t="s">
        <v>5069</v>
      </c>
      <c r="AB612" s="4" t="s">
        <v>5077</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3" t="s">
        <v>2276</v>
      </c>
      <c r="K613" s="103" t="s">
        <v>2276</v>
      </c>
      <c r="L613" s="21" t="s">
        <v>2362</v>
      </c>
      <c r="M613" s="21" t="s">
        <v>2276</v>
      </c>
      <c r="N613" s="21" t="s">
        <v>2378</v>
      </c>
      <c r="O613" s="21" t="s">
        <v>2276</v>
      </c>
      <c r="P613" s="21" t="s">
        <v>2374</v>
      </c>
      <c r="Q613" s="102" t="s">
        <v>2276</v>
      </c>
      <c r="R613" s="102" t="s">
        <v>2276</v>
      </c>
      <c r="S613" s="102" t="s">
        <v>2276</v>
      </c>
      <c r="T613" s="102" t="s">
        <v>2276</v>
      </c>
      <c r="U613" s="102" t="s">
        <v>2276</v>
      </c>
      <c r="V613" s="21" t="s">
        <v>2376</v>
      </c>
      <c r="W613" s="21" t="s">
        <v>2402</v>
      </c>
      <c r="X613" s="3" t="s">
        <v>127</v>
      </c>
      <c r="Y613" s="3" t="s">
        <v>38</v>
      </c>
      <c r="Z613" s="3" t="s">
        <v>2655</v>
      </c>
      <c r="AA613" s="4" t="s">
        <v>5069</v>
      </c>
      <c r="AB613" s="4" t="s">
        <v>5077</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3" t="s">
        <v>2276</v>
      </c>
      <c r="K614" s="103" t="s">
        <v>2276</v>
      </c>
      <c r="L614" s="21" t="s">
        <v>2362</v>
      </c>
      <c r="M614" s="21" t="s">
        <v>2276</v>
      </c>
      <c r="N614" s="21" t="s">
        <v>2377</v>
      </c>
      <c r="O614" s="21" t="s">
        <v>2276</v>
      </c>
      <c r="P614" s="21" t="s">
        <v>2374</v>
      </c>
      <c r="Q614" s="102" t="s">
        <v>2276</v>
      </c>
      <c r="R614" s="102" t="s">
        <v>2276</v>
      </c>
      <c r="S614" s="102" t="s">
        <v>2276</v>
      </c>
      <c r="T614" s="102" t="s">
        <v>2276</v>
      </c>
      <c r="U614" s="102" t="s">
        <v>2276</v>
      </c>
      <c r="V614" s="21" t="s">
        <v>2376</v>
      </c>
      <c r="W614" s="21" t="s">
        <v>2402</v>
      </c>
      <c r="X614" s="3" t="s">
        <v>127</v>
      </c>
      <c r="Y614" s="3" t="s">
        <v>38</v>
      </c>
      <c r="Z614" s="3" t="s">
        <v>2655</v>
      </c>
      <c r="AA614" s="4" t="s">
        <v>5069</v>
      </c>
      <c r="AB614" s="4" t="s">
        <v>5077</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3" t="s">
        <v>2276</v>
      </c>
      <c r="K615" s="103" t="s">
        <v>2276</v>
      </c>
      <c r="L615" s="21" t="s">
        <v>2362</v>
      </c>
      <c r="M615" s="21" t="s">
        <v>2276</v>
      </c>
      <c r="N615" s="21" t="s">
        <v>2376</v>
      </c>
      <c r="O615" s="21" t="s">
        <v>2276</v>
      </c>
      <c r="P615" s="21" t="s">
        <v>2374</v>
      </c>
      <c r="Q615" s="102" t="s">
        <v>2276</v>
      </c>
      <c r="R615" s="102" t="s">
        <v>2276</v>
      </c>
      <c r="S615" s="102" t="s">
        <v>2276</v>
      </c>
      <c r="T615" s="102" t="s">
        <v>2276</v>
      </c>
      <c r="U615" s="102" t="s">
        <v>2276</v>
      </c>
      <c r="V615" s="21" t="s">
        <v>2376</v>
      </c>
      <c r="W615" s="21" t="s">
        <v>2401</v>
      </c>
      <c r="X615" s="3" t="s">
        <v>127</v>
      </c>
      <c r="Y615" s="3" t="s">
        <v>38</v>
      </c>
      <c r="Z615" s="3" t="s">
        <v>2655</v>
      </c>
      <c r="AA615" s="4" t="s">
        <v>5069</v>
      </c>
      <c r="AB615" s="4" t="s">
        <v>5077</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3" t="s">
        <v>2276</v>
      </c>
      <c r="K616" s="103" t="s">
        <v>2276</v>
      </c>
      <c r="L616" s="21" t="s">
        <v>2362</v>
      </c>
      <c r="M616" s="21" t="s">
        <v>2276</v>
      </c>
      <c r="N616" s="21" t="s">
        <v>2376</v>
      </c>
      <c r="O616" s="21" t="s">
        <v>2276</v>
      </c>
      <c r="P616" s="21" t="s">
        <v>2374</v>
      </c>
      <c r="Q616" s="102" t="s">
        <v>2276</v>
      </c>
      <c r="R616" s="102" t="s">
        <v>2276</v>
      </c>
      <c r="S616" s="102" t="s">
        <v>2276</v>
      </c>
      <c r="T616" s="102" t="s">
        <v>2276</v>
      </c>
      <c r="U616" s="102" t="s">
        <v>2276</v>
      </c>
      <c r="V616" s="21" t="s">
        <v>2389</v>
      </c>
      <c r="W616" s="21" t="s">
        <v>2401</v>
      </c>
      <c r="X616" s="3" t="s">
        <v>127</v>
      </c>
      <c r="Y616" s="3" t="s">
        <v>38</v>
      </c>
      <c r="Z616" s="3" t="s">
        <v>2655</v>
      </c>
      <c r="AA616" s="4" t="s">
        <v>5069</v>
      </c>
      <c r="AB616" s="4" t="s">
        <v>5077</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3" t="s">
        <v>2276</v>
      </c>
      <c r="K617" s="103" t="s">
        <v>2276</v>
      </c>
      <c r="L617" s="21" t="s">
        <v>2362</v>
      </c>
      <c r="M617" s="21" t="s">
        <v>2276</v>
      </c>
      <c r="N617" s="21" t="s">
        <v>2379</v>
      </c>
      <c r="O617" s="21" t="s">
        <v>2276</v>
      </c>
      <c r="P617" s="21" t="s">
        <v>2374</v>
      </c>
      <c r="Q617" s="102" t="s">
        <v>2276</v>
      </c>
      <c r="R617" s="102" t="s">
        <v>2276</v>
      </c>
      <c r="S617" s="102" t="s">
        <v>2276</v>
      </c>
      <c r="T617" s="102" t="s">
        <v>2276</v>
      </c>
      <c r="U617" s="102" t="s">
        <v>2276</v>
      </c>
      <c r="V617" s="21" t="s">
        <v>2389</v>
      </c>
      <c r="W617" s="21" t="s">
        <v>2401</v>
      </c>
      <c r="X617" s="3" t="s">
        <v>127</v>
      </c>
      <c r="Y617" s="3" t="s">
        <v>38</v>
      </c>
      <c r="Z617" s="3" t="s">
        <v>2655</v>
      </c>
      <c r="AA617" s="4" t="s">
        <v>5069</v>
      </c>
      <c r="AB617" s="4" t="s">
        <v>5077</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3" t="s">
        <v>2276</v>
      </c>
      <c r="K618" s="103" t="s">
        <v>2276</v>
      </c>
      <c r="L618" s="103" t="s">
        <v>2276</v>
      </c>
      <c r="M618" s="103" t="s">
        <v>2276</v>
      </c>
      <c r="N618" s="103" t="s">
        <v>2276</v>
      </c>
      <c r="O618" s="103" t="s">
        <v>2276</v>
      </c>
      <c r="P618" s="103" t="s">
        <v>2276</v>
      </c>
      <c r="Q618" s="103" t="s">
        <v>2276</v>
      </c>
      <c r="R618" s="103" t="s">
        <v>2276</v>
      </c>
      <c r="S618" s="103" t="s">
        <v>2276</v>
      </c>
      <c r="T618" s="103" t="s">
        <v>2276</v>
      </c>
      <c r="U618" s="103" t="s">
        <v>2276</v>
      </c>
      <c r="V618" s="103" t="s">
        <v>2276</v>
      </c>
      <c r="W618" s="103" t="s">
        <v>2276</v>
      </c>
      <c r="X618" s="3" t="s">
        <v>189</v>
      </c>
      <c r="Y618" s="3" t="s">
        <v>38</v>
      </c>
      <c r="Z618" s="3" t="s">
        <v>64</v>
      </c>
      <c r="AA618" s="4" t="s">
        <v>5078</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3" t="s">
        <v>2276</v>
      </c>
      <c r="K619" s="103" t="s">
        <v>2276</v>
      </c>
      <c r="L619" s="21" t="s">
        <v>2276</v>
      </c>
      <c r="M619" s="21" t="s">
        <v>2276</v>
      </c>
      <c r="N619" s="21" t="s">
        <v>2276</v>
      </c>
      <c r="O619" s="21" t="s">
        <v>2276</v>
      </c>
      <c r="P619" s="21" t="s">
        <v>2276</v>
      </c>
      <c r="Q619" s="102" t="s">
        <v>2276</v>
      </c>
      <c r="R619" s="102"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3" t="s">
        <v>2276</v>
      </c>
      <c r="K620" s="103" t="s">
        <v>2276</v>
      </c>
      <c r="L620" s="21" t="s">
        <v>2276</v>
      </c>
      <c r="M620" s="21" t="s">
        <v>2276</v>
      </c>
      <c r="N620" s="21" t="s">
        <v>2276</v>
      </c>
      <c r="O620" s="21" t="s">
        <v>2276</v>
      </c>
      <c r="P620" s="21" t="s">
        <v>2276</v>
      </c>
      <c r="Q620" s="102" t="s">
        <v>2276</v>
      </c>
      <c r="R620" s="102"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3" t="s">
        <v>2276</v>
      </c>
      <c r="K621" s="103" t="s">
        <v>2362</v>
      </c>
      <c r="L621" s="21" t="s">
        <v>2276</v>
      </c>
      <c r="M621" s="21" t="s">
        <v>2374</v>
      </c>
      <c r="N621" s="21" t="s">
        <v>2276</v>
      </c>
      <c r="O621" s="21" t="s">
        <v>2276</v>
      </c>
      <c r="P621" s="21" t="s">
        <v>2276</v>
      </c>
      <c r="Q621" s="102" t="s">
        <v>2276</v>
      </c>
      <c r="R621" s="102"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3" t="s">
        <v>2276</v>
      </c>
      <c r="L622" s="21" t="s">
        <v>2276</v>
      </c>
      <c r="M622" s="21" t="s">
        <v>2276</v>
      </c>
      <c r="N622" s="21" t="s">
        <v>2276</v>
      </c>
      <c r="O622" s="21" t="s">
        <v>2276</v>
      </c>
      <c r="P622" s="21" t="s">
        <v>2276</v>
      </c>
      <c r="Q622" s="102" t="s">
        <v>2276</v>
      </c>
      <c r="R622" s="102"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3" t="s">
        <v>2276</v>
      </c>
      <c r="L623" s="21" t="s">
        <v>2276</v>
      </c>
      <c r="M623" s="21" t="s">
        <v>2276</v>
      </c>
      <c r="N623" s="21" t="s">
        <v>2276</v>
      </c>
      <c r="O623" s="21" t="s">
        <v>2276</v>
      </c>
      <c r="P623" s="21" t="s">
        <v>2276</v>
      </c>
      <c r="Q623" s="102" t="s">
        <v>2276</v>
      </c>
      <c r="R623" s="102"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3" t="s">
        <v>2276</v>
      </c>
      <c r="L624" s="21" t="s">
        <v>2276</v>
      </c>
      <c r="M624" s="21" t="s">
        <v>2276</v>
      </c>
      <c r="N624" s="21" t="s">
        <v>2276</v>
      </c>
      <c r="O624" s="21" t="s">
        <v>2276</v>
      </c>
      <c r="P624" s="21" t="s">
        <v>2276</v>
      </c>
      <c r="Q624" s="102" t="s">
        <v>2276</v>
      </c>
      <c r="R624" s="102"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3" t="s">
        <v>2276</v>
      </c>
      <c r="L625" s="21" t="s">
        <v>2276</v>
      </c>
      <c r="M625" s="21" t="s">
        <v>2276</v>
      </c>
      <c r="N625" s="21" t="s">
        <v>2276</v>
      </c>
      <c r="O625" s="21" t="s">
        <v>2276</v>
      </c>
      <c r="P625" s="21" t="s">
        <v>2276</v>
      </c>
      <c r="Q625" s="102" t="s">
        <v>2276</v>
      </c>
      <c r="R625" s="102"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3" t="s">
        <v>2276</v>
      </c>
      <c r="L626" s="21" t="s">
        <v>2276</v>
      </c>
      <c r="M626" s="21" t="s">
        <v>2276</v>
      </c>
      <c r="N626" s="21" t="s">
        <v>2276</v>
      </c>
      <c r="O626" s="21" t="s">
        <v>2276</v>
      </c>
      <c r="P626" s="21" t="s">
        <v>2276</v>
      </c>
      <c r="Q626" s="102" t="s">
        <v>2276</v>
      </c>
      <c r="R626" s="102"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3" t="s">
        <v>2276</v>
      </c>
      <c r="L627" s="21" t="s">
        <v>2276</v>
      </c>
      <c r="M627" s="21" t="s">
        <v>2276</v>
      </c>
      <c r="N627" s="21" t="s">
        <v>2276</v>
      </c>
      <c r="O627" s="21" t="s">
        <v>2276</v>
      </c>
      <c r="P627" s="21" t="s">
        <v>2276</v>
      </c>
      <c r="Q627" s="102" t="s">
        <v>2276</v>
      </c>
      <c r="R627" s="102" t="s">
        <v>2276</v>
      </c>
      <c r="S627" s="21" t="s">
        <v>2276</v>
      </c>
      <c r="T627" s="21" t="s">
        <v>2276</v>
      </c>
      <c r="U627" s="21" t="s">
        <v>2276</v>
      </c>
      <c r="V627" s="21" t="s">
        <v>2276</v>
      </c>
      <c r="W627" s="74"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3" t="s">
        <v>2276</v>
      </c>
      <c r="L628" s="21" t="s">
        <v>2276</v>
      </c>
      <c r="M628" s="21" t="s">
        <v>2362</v>
      </c>
      <c r="N628" s="21" t="s">
        <v>2276</v>
      </c>
      <c r="O628" s="21" t="s">
        <v>2276</v>
      </c>
      <c r="P628" s="21" t="s">
        <v>2276</v>
      </c>
      <c r="Q628" s="102" t="s">
        <v>2276</v>
      </c>
      <c r="R628" s="102"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3" t="s">
        <v>2276</v>
      </c>
      <c r="L629" s="21" t="s">
        <v>2276</v>
      </c>
      <c r="M629" s="21" t="s">
        <v>2362</v>
      </c>
      <c r="N629" s="21" t="s">
        <v>2276</v>
      </c>
      <c r="O629" s="21" t="s">
        <v>2276</v>
      </c>
      <c r="P629" s="21" t="s">
        <v>2276</v>
      </c>
      <c r="Q629" s="102" t="s">
        <v>2276</v>
      </c>
      <c r="R629" s="102"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3" t="s">
        <v>2276</v>
      </c>
      <c r="L630" s="21" t="s">
        <v>2276</v>
      </c>
      <c r="M630" s="21" t="s">
        <v>2362</v>
      </c>
      <c r="N630" s="21" t="s">
        <v>2276</v>
      </c>
      <c r="O630" s="21" t="s">
        <v>2276</v>
      </c>
      <c r="P630" s="21" t="s">
        <v>2276</v>
      </c>
      <c r="Q630" s="102" t="s">
        <v>2276</v>
      </c>
      <c r="R630" s="102"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3" t="s">
        <v>2276</v>
      </c>
      <c r="L631" s="21" t="s">
        <v>2276</v>
      </c>
      <c r="M631" s="21" t="s">
        <v>2276</v>
      </c>
      <c r="N631" s="21" t="s">
        <v>2276</v>
      </c>
      <c r="O631" s="21" t="s">
        <v>2276</v>
      </c>
      <c r="P631" s="21" t="s">
        <v>2276</v>
      </c>
      <c r="Q631" s="102" t="s">
        <v>2276</v>
      </c>
      <c r="R631" s="102"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3" t="s">
        <v>2276</v>
      </c>
      <c r="L632" s="21" t="s">
        <v>2276</v>
      </c>
      <c r="M632" s="21" t="s">
        <v>2276</v>
      </c>
      <c r="N632" s="21" t="s">
        <v>2276</v>
      </c>
      <c r="O632" s="21" t="s">
        <v>2276</v>
      </c>
      <c r="P632" s="21" t="s">
        <v>2276</v>
      </c>
      <c r="Q632" s="102" t="s">
        <v>2276</v>
      </c>
      <c r="R632" s="102"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3" t="s">
        <v>2276</v>
      </c>
      <c r="L633" s="21" t="s">
        <v>2276</v>
      </c>
      <c r="M633" s="21" t="s">
        <v>2276</v>
      </c>
      <c r="N633" s="21" t="s">
        <v>2276</v>
      </c>
      <c r="O633" s="21" t="s">
        <v>2276</v>
      </c>
      <c r="P633" s="21" t="s">
        <v>2276</v>
      </c>
      <c r="Q633" s="102" t="s">
        <v>2276</v>
      </c>
      <c r="R633" s="102"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3" t="s">
        <v>2276</v>
      </c>
      <c r="L634" s="21" t="s">
        <v>2276</v>
      </c>
      <c r="M634" s="21" t="s">
        <v>2276</v>
      </c>
      <c r="N634" s="21" t="s">
        <v>2276</v>
      </c>
      <c r="O634" s="21" t="s">
        <v>2276</v>
      </c>
      <c r="P634" s="21" t="s">
        <v>2276</v>
      </c>
      <c r="Q634" s="102" t="s">
        <v>2276</v>
      </c>
      <c r="R634" s="102"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3" t="s">
        <v>2276</v>
      </c>
      <c r="L635" s="21" t="s">
        <v>2276</v>
      </c>
      <c r="M635" s="21" t="s">
        <v>2276</v>
      </c>
      <c r="N635" s="21" t="s">
        <v>2276</v>
      </c>
      <c r="O635" s="21" t="s">
        <v>2276</v>
      </c>
      <c r="P635" s="21" t="s">
        <v>2276</v>
      </c>
      <c r="Q635" s="102" t="s">
        <v>2276</v>
      </c>
      <c r="R635" s="102"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3" t="s">
        <v>2276</v>
      </c>
      <c r="L636" s="21" t="s">
        <v>2276</v>
      </c>
      <c r="M636" s="21" t="s">
        <v>2276</v>
      </c>
      <c r="N636" s="21" t="s">
        <v>2276</v>
      </c>
      <c r="O636" s="21" t="s">
        <v>2276</v>
      </c>
      <c r="P636" s="21" t="s">
        <v>2276</v>
      </c>
      <c r="Q636" s="102" t="s">
        <v>2276</v>
      </c>
      <c r="R636" s="102"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3" t="s">
        <v>2276</v>
      </c>
      <c r="L637" s="21" t="s">
        <v>2276</v>
      </c>
      <c r="M637" s="21" t="s">
        <v>2276</v>
      </c>
      <c r="N637" s="21" t="s">
        <v>2276</v>
      </c>
      <c r="O637" s="21" t="s">
        <v>2276</v>
      </c>
      <c r="P637" s="21" t="s">
        <v>2276</v>
      </c>
      <c r="Q637" s="102" t="s">
        <v>2276</v>
      </c>
      <c r="R637" s="102"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3" t="s">
        <v>2276</v>
      </c>
      <c r="L638" s="21" t="s">
        <v>2276</v>
      </c>
      <c r="M638" s="21" t="s">
        <v>2276</v>
      </c>
      <c r="N638" s="21" t="s">
        <v>2276</v>
      </c>
      <c r="O638" s="21" t="s">
        <v>2276</v>
      </c>
      <c r="P638" s="21" t="s">
        <v>2276</v>
      </c>
      <c r="Q638" s="102" t="s">
        <v>2276</v>
      </c>
      <c r="R638" s="102"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3" t="s">
        <v>2276</v>
      </c>
      <c r="L639" s="21" t="s">
        <v>2276</v>
      </c>
      <c r="M639" s="21" t="s">
        <v>2276</v>
      </c>
      <c r="N639" s="21" t="s">
        <v>2276</v>
      </c>
      <c r="O639" s="21" t="s">
        <v>2276</v>
      </c>
      <c r="P639" s="21" t="s">
        <v>2276</v>
      </c>
      <c r="Q639" s="102" t="s">
        <v>2276</v>
      </c>
      <c r="R639" s="102"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3" t="s">
        <v>2276</v>
      </c>
      <c r="L640" s="21" t="s">
        <v>2276</v>
      </c>
      <c r="M640" s="21" t="s">
        <v>2276</v>
      </c>
      <c r="N640" s="21" t="s">
        <v>2276</v>
      </c>
      <c r="O640" s="21" t="s">
        <v>2276</v>
      </c>
      <c r="P640" s="21" t="s">
        <v>2276</v>
      </c>
      <c r="Q640" s="102" t="s">
        <v>2276</v>
      </c>
      <c r="R640" s="102"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3" t="s">
        <v>2276</v>
      </c>
      <c r="L641" s="21" t="s">
        <v>2276</v>
      </c>
      <c r="M641" s="21" t="s">
        <v>2276</v>
      </c>
      <c r="N641" s="21" t="s">
        <v>2276</v>
      </c>
      <c r="O641" s="21" t="s">
        <v>2276</v>
      </c>
      <c r="P641" s="21" t="s">
        <v>2276</v>
      </c>
      <c r="Q641" s="102" t="s">
        <v>2276</v>
      </c>
      <c r="R641" s="102"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3" t="s">
        <v>2276</v>
      </c>
      <c r="L642" s="21" t="s">
        <v>2276</v>
      </c>
      <c r="M642" s="21" t="s">
        <v>2276</v>
      </c>
      <c r="N642" s="21" t="s">
        <v>2276</v>
      </c>
      <c r="O642" s="21" t="s">
        <v>2276</v>
      </c>
      <c r="P642" s="21" t="s">
        <v>2276</v>
      </c>
      <c r="Q642" s="102" t="s">
        <v>2276</v>
      </c>
      <c r="R642" s="102"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3" t="s">
        <v>2276</v>
      </c>
      <c r="L643" s="21" t="s">
        <v>2276</v>
      </c>
      <c r="M643" s="21" t="s">
        <v>2276</v>
      </c>
      <c r="N643" s="21" t="s">
        <v>2276</v>
      </c>
      <c r="O643" s="21" t="s">
        <v>2276</v>
      </c>
      <c r="P643" s="21" t="s">
        <v>2276</v>
      </c>
      <c r="Q643" s="102" t="s">
        <v>2276</v>
      </c>
      <c r="R643" s="102"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3" t="s">
        <v>2276</v>
      </c>
      <c r="L644" s="21" t="s">
        <v>2276</v>
      </c>
      <c r="M644" s="21" t="s">
        <v>2276</v>
      </c>
      <c r="N644" s="21" t="s">
        <v>2276</v>
      </c>
      <c r="O644" s="21" t="s">
        <v>2276</v>
      </c>
      <c r="P644" s="21" t="s">
        <v>2276</v>
      </c>
      <c r="Q644" s="102" t="s">
        <v>2276</v>
      </c>
      <c r="R644" s="102"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3" t="s">
        <v>2276</v>
      </c>
      <c r="L645" s="21" t="s">
        <v>2276</v>
      </c>
      <c r="M645" s="21" t="s">
        <v>2276</v>
      </c>
      <c r="N645" s="21" t="s">
        <v>2276</v>
      </c>
      <c r="O645" s="21" t="s">
        <v>2276</v>
      </c>
      <c r="P645" s="21" t="s">
        <v>2276</v>
      </c>
      <c r="Q645" s="102" t="s">
        <v>2276</v>
      </c>
      <c r="R645" s="102"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3" t="s">
        <v>2276</v>
      </c>
      <c r="L646" s="21" t="s">
        <v>2276</v>
      </c>
      <c r="M646" s="21" t="s">
        <v>2276</v>
      </c>
      <c r="N646" s="21" t="s">
        <v>2276</v>
      </c>
      <c r="O646" s="21" t="s">
        <v>2276</v>
      </c>
      <c r="P646" s="21" t="s">
        <v>2276</v>
      </c>
      <c r="Q646" s="102" t="s">
        <v>2276</v>
      </c>
      <c r="R646" s="102"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3" t="s">
        <v>2276</v>
      </c>
      <c r="L647" s="21" t="s">
        <v>2276</v>
      </c>
      <c r="M647" s="21" t="s">
        <v>2276</v>
      </c>
      <c r="N647" s="21" t="s">
        <v>2276</v>
      </c>
      <c r="O647" s="21" t="s">
        <v>2276</v>
      </c>
      <c r="P647" s="21" t="s">
        <v>2276</v>
      </c>
      <c r="Q647" s="102" t="s">
        <v>2276</v>
      </c>
      <c r="R647" s="102"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3" t="s">
        <v>2276</v>
      </c>
      <c r="L648" s="21" t="s">
        <v>2276</v>
      </c>
      <c r="M648" s="21" t="s">
        <v>2276</v>
      </c>
      <c r="N648" s="21" t="s">
        <v>2276</v>
      </c>
      <c r="O648" s="21" t="s">
        <v>2276</v>
      </c>
      <c r="P648" s="21" t="s">
        <v>2276</v>
      </c>
      <c r="Q648" s="102" t="s">
        <v>2276</v>
      </c>
      <c r="R648" s="102"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3" t="s">
        <v>2276</v>
      </c>
      <c r="L649" s="21" t="s">
        <v>2276</v>
      </c>
      <c r="M649" s="21" t="s">
        <v>2276</v>
      </c>
      <c r="N649" s="21" t="s">
        <v>2276</v>
      </c>
      <c r="O649" s="21" t="s">
        <v>2276</v>
      </c>
      <c r="P649" s="21" t="s">
        <v>2276</v>
      </c>
      <c r="Q649" s="102" t="s">
        <v>2276</v>
      </c>
      <c r="R649" s="102"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3" t="s">
        <v>2276</v>
      </c>
      <c r="L650" s="21" t="s">
        <v>2276</v>
      </c>
      <c r="M650" s="21" t="s">
        <v>2276</v>
      </c>
      <c r="N650" s="21" t="s">
        <v>2276</v>
      </c>
      <c r="O650" s="21" t="s">
        <v>2276</v>
      </c>
      <c r="P650" s="21" t="s">
        <v>2276</v>
      </c>
      <c r="Q650" s="102" t="s">
        <v>2276</v>
      </c>
      <c r="R650" s="102"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3" t="s">
        <v>2276</v>
      </c>
      <c r="L651" s="21" t="s">
        <v>2276</v>
      </c>
      <c r="M651" s="21" t="s">
        <v>2276</v>
      </c>
      <c r="N651" s="21" t="s">
        <v>2276</v>
      </c>
      <c r="O651" s="21" t="s">
        <v>2276</v>
      </c>
      <c r="P651" s="21" t="s">
        <v>2276</v>
      </c>
      <c r="Q651" s="102" t="s">
        <v>2276</v>
      </c>
      <c r="R651" s="102"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3" t="s">
        <v>2362</v>
      </c>
      <c r="L652" s="21" t="s">
        <v>2276</v>
      </c>
      <c r="M652" s="21" t="s">
        <v>2362</v>
      </c>
      <c r="N652" s="21" t="s">
        <v>2276</v>
      </c>
      <c r="O652" s="21" t="s">
        <v>2276</v>
      </c>
      <c r="P652" s="21" t="s">
        <v>2276</v>
      </c>
      <c r="Q652" s="102" t="s">
        <v>2276</v>
      </c>
      <c r="R652" s="102"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3" t="s">
        <v>2362</v>
      </c>
      <c r="L653" s="21" t="s">
        <v>2276</v>
      </c>
      <c r="M653" s="21" t="s">
        <v>2362</v>
      </c>
      <c r="N653" s="21" t="s">
        <v>2276</v>
      </c>
      <c r="O653" s="21" t="s">
        <v>2276</v>
      </c>
      <c r="P653" s="21" t="s">
        <v>2276</v>
      </c>
      <c r="Q653" s="102" t="s">
        <v>2276</v>
      </c>
      <c r="R653" s="102"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3" t="s">
        <v>2364</v>
      </c>
      <c r="K654" s="111" t="s">
        <v>2364</v>
      </c>
      <c r="L654" s="73" t="s">
        <v>2364</v>
      </c>
      <c r="M654" s="73" t="s">
        <v>2364</v>
      </c>
      <c r="N654" s="73" t="s">
        <v>2364</v>
      </c>
      <c r="O654" s="73" t="s">
        <v>2364</v>
      </c>
      <c r="P654" s="73" t="s">
        <v>2364</v>
      </c>
      <c r="Q654" s="102" t="s">
        <v>2276</v>
      </c>
      <c r="R654" s="102" t="s">
        <v>2276</v>
      </c>
      <c r="S654" s="73" t="s">
        <v>2364</v>
      </c>
      <c r="T654" s="73" t="s">
        <v>2364</v>
      </c>
      <c r="U654" s="73" t="s">
        <v>2364</v>
      </c>
      <c r="V654" s="73"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3" t="s">
        <v>2276</v>
      </c>
      <c r="L655" s="21" t="s">
        <v>2276</v>
      </c>
      <c r="M655" s="21" t="s">
        <v>2276</v>
      </c>
      <c r="N655" s="21" t="s">
        <v>2276</v>
      </c>
      <c r="O655" s="21" t="s">
        <v>2276</v>
      </c>
      <c r="P655" s="21" t="s">
        <v>2276</v>
      </c>
      <c r="Q655" s="102" t="s">
        <v>2276</v>
      </c>
      <c r="R655" s="102"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3" t="s">
        <v>2276</v>
      </c>
      <c r="L656" s="21" t="s">
        <v>2276</v>
      </c>
      <c r="M656" s="21" t="s">
        <v>2276</v>
      </c>
      <c r="N656" s="21" t="s">
        <v>2276</v>
      </c>
      <c r="O656" s="21" t="s">
        <v>2276</v>
      </c>
      <c r="P656" s="21" t="s">
        <v>2276</v>
      </c>
      <c r="Q656" s="102" t="s">
        <v>2276</v>
      </c>
      <c r="R656" s="102"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3" t="s">
        <v>2276</v>
      </c>
      <c r="L657" s="21" t="s">
        <v>2276</v>
      </c>
      <c r="M657" s="21" t="s">
        <v>2276</v>
      </c>
      <c r="N657" s="21" t="s">
        <v>2276</v>
      </c>
      <c r="O657" s="21" t="s">
        <v>2276</v>
      </c>
      <c r="P657" s="21" t="s">
        <v>2276</v>
      </c>
      <c r="Q657" s="102" t="s">
        <v>2276</v>
      </c>
      <c r="R657" s="102"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3" t="s">
        <v>2276</v>
      </c>
      <c r="L658" s="21" t="s">
        <v>2276</v>
      </c>
      <c r="M658" s="21" t="s">
        <v>2276</v>
      </c>
      <c r="N658" s="21" t="s">
        <v>2276</v>
      </c>
      <c r="O658" s="21" t="s">
        <v>2276</v>
      </c>
      <c r="P658" s="21" t="s">
        <v>2276</v>
      </c>
      <c r="Q658" s="102" t="s">
        <v>2276</v>
      </c>
      <c r="R658" s="102"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3" t="s">
        <v>2276</v>
      </c>
      <c r="L659" s="21" t="s">
        <v>2276</v>
      </c>
      <c r="M659" s="21" t="s">
        <v>2276</v>
      </c>
      <c r="N659" s="21" t="s">
        <v>2276</v>
      </c>
      <c r="O659" s="21" t="s">
        <v>2276</v>
      </c>
      <c r="P659" s="21" t="s">
        <v>2276</v>
      </c>
      <c r="Q659" s="102" t="s">
        <v>2276</v>
      </c>
      <c r="R659" s="102"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3" t="s">
        <v>2276</v>
      </c>
      <c r="L660" s="21" t="s">
        <v>2276</v>
      </c>
      <c r="M660" s="21" t="s">
        <v>2276</v>
      </c>
      <c r="N660" s="21" t="s">
        <v>2276</v>
      </c>
      <c r="O660" s="21" t="s">
        <v>2276</v>
      </c>
      <c r="P660" s="21" t="s">
        <v>2276</v>
      </c>
      <c r="Q660" s="102" t="s">
        <v>2276</v>
      </c>
      <c r="R660" s="102"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3" t="s">
        <v>2276</v>
      </c>
      <c r="L661" s="21" t="s">
        <v>2276</v>
      </c>
      <c r="M661" s="21" t="s">
        <v>2276</v>
      </c>
      <c r="N661" s="21" t="s">
        <v>2276</v>
      </c>
      <c r="O661" s="21" t="s">
        <v>2276</v>
      </c>
      <c r="P661" s="21" t="s">
        <v>2276</v>
      </c>
      <c r="Q661" s="102" t="s">
        <v>2276</v>
      </c>
      <c r="R661" s="102"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3" t="s">
        <v>2276</v>
      </c>
      <c r="L662" s="21" t="s">
        <v>2276</v>
      </c>
      <c r="M662" s="21" t="s">
        <v>2276</v>
      </c>
      <c r="N662" s="21" t="s">
        <v>2276</v>
      </c>
      <c r="O662" s="21" t="s">
        <v>2276</v>
      </c>
      <c r="P662" s="21" t="s">
        <v>2276</v>
      </c>
      <c r="Q662" s="102" t="s">
        <v>2276</v>
      </c>
      <c r="R662" s="102"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3" t="s">
        <v>2276</v>
      </c>
      <c r="L663" s="21" t="s">
        <v>2276</v>
      </c>
      <c r="M663" s="21" t="s">
        <v>2276</v>
      </c>
      <c r="N663" s="21" t="s">
        <v>2276</v>
      </c>
      <c r="O663" s="21" t="s">
        <v>2276</v>
      </c>
      <c r="P663" s="21" t="s">
        <v>2276</v>
      </c>
      <c r="Q663" s="102" t="s">
        <v>2276</v>
      </c>
      <c r="R663" s="102"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3" t="s">
        <v>2276</v>
      </c>
      <c r="L664" s="21" t="s">
        <v>2276</v>
      </c>
      <c r="M664" s="21" t="s">
        <v>2276</v>
      </c>
      <c r="N664" s="21" t="s">
        <v>2276</v>
      </c>
      <c r="O664" s="21" t="s">
        <v>2276</v>
      </c>
      <c r="P664" s="21" t="s">
        <v>2276</v>
      </c>
      <c r="Q664" s="102" t="s">
        <v>2276</v>
      </c>
      <c r="R664" s="102"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3" t="s">
        <v>2276</v>
      </c>
      <c r="L665" s="21" t="s">
        <v>2276</v>
      </c>
      <c r="M665" s="21" t="s">
        <v>2276</v>
      </c>
      <c r="N665" s="21" t="s">
        <v>2276</v>
      </c>
      <c r="O665" s="21" t="s">
        <v>2276</v>
      </c>
      <c r="P665" s="21" t="s">
        <v>2276</v>
      </c>
      <c r="Q665" s="102" t="s">
        <v>2276</v>
      </c>
      <c r="R665" s="102"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3" t="s">
        <v>2276</v>
      </c>
      <c r="L666" s="21" t="s">
        <v>2276</v>
      </c>
      <c r="M666" s="21" t="s">
        <v>2276</v>
      </c>
      <c r="N666" s="21" t="s">
        <v>2276</v>
      </c>
      <c r="O666" s="21" t="s">
        <v>2276</v>
      </c>
      <c r="P666" s="21" t="s">
        <v>2276</v>
      </c>
      <c r="Q666" s="102" t="s">
        <v>2276</v>
      </c>
      <c r="R666" s="102"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3" t="s">
        <v>2276</v>
      </c>
      <c r="L667" s="21" t="s">
        <v>2276</v>
      </c>
      <c r="M667" s="21" t="s">
        <v>2276</v>
      </c>
      <c r="N667" s="21" t="s">
        <v>2276</v>
      </c>
      <c r="O667" s="21" t="s">
        <v>2276</v>
      </c>
      <c r="P667" s="21" t="s">
        <v>2276</v>
      </c>
      <c r="Q667" s="102" t="s">
        <v>2276</v>
      </c>
      <c r="R667" s="102"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3" t="s">
        <v>2276</v>
      </c>
      <c r="L668" s="21" t="s">
        <v>2276</v>
      </c>
      <c r="M668" s="21" t="s">
        <v>2276</v>
      </c>
      <c r="N668" s="21" t="s">
        <v>2276</v>
      </c>
      <c r="O668" s="21" t="s">
        <v>2276</v>
      </c>
      <c r="P668" s="21" t="s">
        <v>2276</v>
      </c>
      <c r="Q668" s="102" t="s">
        <v>2276</v>
      </c>
      <c r="R668" s="102"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3" t="s">
        <v>2276</v>
      </c>
      <c r="L669" s="21" t="s">
        <v>2276</v>
      </c>
      <c r="M669" s="21" t="s">
        <v>2276</v>
      </c>
      <c r="N669" s="21" t="s">
        <v>2276</v>
      </c>
      <c r="O669" s="21" t="s">
        <v>2276</v>
      </c>
      <c r="P669" s="21" t="s">
        <v>2276</v>
      </c>
      <c r="Q669" s="102" t="s">
        <v>2276</v>
      </c>
      <c r="R669" s="102"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3" t="s">
        <v>2276</v>
      </c>
      <c r="L670" s="21" t="s">
        <v>2276</v>
      </c>
      <c r="M670" s="21" t="s">
        <v>2276</v>
      </c>
      <c r="N670" s="21" t="s">
        <v>2276</v>
      </c>
      <c r="O670" s="21" t="s">
        <v>2276</v>
      </c>
      <c r="P670" s="21" t="s">
        <v>2276</v>
      </c>
      <c r="Q670" s="102" t="s">
        <v>2276</v>
      </c>
      <c r="R670" s="102"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3" t="s">
        <v>2276</v>
      </c>
      <c r="L671" s="21" t="s">
        <v>2276</v>
      </c>
      <c r="M671" s="21" t="s">
        <v>2276</v>
      </c>
      <c r="N671" s="21" t="s">
        <v>2276</v>
      </c>
      <c r="O671" s="21" t="s">
        <v>2276</v>
      </c>
      <c r="P671" s="21" t="s">
        <v>2276</v>
      </c>
      <c r="Q671" s="102" t="s">
        <v>2276</v>
      </c>
      <c r="R671" s="102"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3" t="s">
        <v>2276</v>
      </c>
      <c r="L672" s="21" t="s">
        <v>2276</v>
      </c>
      <c r="M672" s="21" t="s">
        <v>2276</v>
      </c>
      <c r="N672" s="21" t="s">
        <v>2276</v>
      </c>
      <c r="O672" s="21" t="s">
        <v>2276</v>
      </c>
      <c r="P672" s="21" t="s">
        <v>2276</v>
      </c>
      <c r="Q672" s="102" t="s">
        <v>2276</v>
      </c>
      <c r="R672" s="102" t="s">
        <v>2276</v>
      </c>
      <c r="S672" s="21" t="s">
        <v>2276</v>
      </c>
      <c r="T672" s="21" t="s">
        <v>2276</v>
      </c>
      <c r="U672" s="21" t="s">
        <v>2276</v>
      </c>
      <c r="V672" s="21" t="s">
        <v>2276</v>
      </c>
      <c r="W672" s="103"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3" t="s">
        <v>2276</v>
      </c>
      <c r="L673" s="21" t="s">
        <v>2276</v>
      </c>
      <c r="M673" s="21" t="s">
        <v>2276</v>
      </c>
      <c r="N673" s="21" t="s">
        <v>2276</v>
      </c>
      <c r="O673" s="21" t="s">
        <v>2276</v>
      </c>
      <c r="P673" s="21" t="s">
        <v>2276</v>
      </c>
      <c r="Q673" s="102" t="s">
        <v>2276</v>
      </c>
      <c r="R673" s="102"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3" t="s">
        <v>2276</v>
      </c>
      <c r="L674" s="21" t="s">
        <v>2276</v>
      </c>
      <c r="M674" s="21" t="s">
        <v>2276</v>
      </c>
      <c r="N674" s="21" t="s">
        <v>2276</v>
      </c>
      <c r="O674" s="21" t="s">
        <v>2276</v>
      </c>
      <c r="P674" s="21" t="s">
        <v>2276</v>
      </c>
      <c r="Q674" s="102" t="s">
        <v>2276</v>
      </c>
      <c r="R674" s="102"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3" t="s">
        <v>2276</v>
      </c>
      <c r="L675" s="21" t="s">
        <v>2276</v>
      </c>
      <c r="M675" s="21" t="s">
        <v>2276</v>
      </c>
      <c r="N675" s="21" t="s">
        <v>2276</v>
      </c>
      <c r="O675" s="21" t="s">
        <v>2276</v>
      </c>
      <c r="P675" s="21" t="s">
        <v>2276</v>
      </c>
      <c r="Q675" s="102" t="s">
        <v>2276</v>
      </c>
      <c r="R675" s="102"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3" t="s">
        <v>2276</v>
      </c>
      <c r="L676" s="21" t="s">
        <v>2276</v>
      </c>
      <c r="M676" s="21" t="s">
        <v>2276</v>
      </c>
      <c r="N676" s="21" t="s">
        <v>2276</v>
      </c>
      <c r="O676" s="21" t="s">
        <v>2276</v>
      </c>
      <c r="P676" s="21" t="s">
        <v>2276</v>
      </c>
      <c r="Q676" s="102" t="s">
        <v>2276</v>
      </c>
      <c r="R676" s="102"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3" t="s">
        <v>2276</v>
      </c>
      <c r="L677" s="21" t="s">
        <v>2276</v>
      </c>
      <c r="M677" s="21" t="s">
        <v>2276</v>
      </c>
      <c r="N677" s="21" t="s">
        <v>2276</v>
      </c>
      <c r="O677" s="21" t="s">
        <v>2276</v>
      </c>
      <c r="P677" s="21" t="s">
        <v>2276</v>
      </c>
      <c r="Q677" s="102" t="s">
        <v>2276</v>
      </c>
      <c r="R677" s="102"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3" t="s">
        <v>2276</v>
      </c>
      <c r="L678" s="21" t="s">
        <v>2276</v>
      </c>
      <c r="M678" s="21" t="s">
        <v>2276</v>
      </c>
      <c r="N678" s="21" t="s">
        <v>2276</v>
      </c>
      <c r="O678" s="21" t="s">
        <v>2276</v>
      </c>
      <c r="P678" s="21" t="s">
        <v>2276</v>
      </c>
      <c r="Q678" s="102" t="s">
        <v>2276</v>
      </c>
      <c r="R678" s="102"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3" t="s">
        <v>2276</v>
      </c>
      <c r="L679" s="21" t="s">
        <v>2276</v>
      </c>
      <c r="M679" s="21" t="s">
        <v>2276</v>
      </c>
      <c r="N679" s="21" t="s">
        <v>2276</v>
      </c>
      <c r="O679" s="21" t="s">
        <v>2276</v>
      </c>
      <c r="P679" s="21" t="s">
        <v>2276</v>
      </c>
      <c r="Q679" s="102" t="s">
        <v>2276</v>
      </c>
      <c r="R679" s="102" t="s">
        <v>2276</v>
      </c>
      <c r="S679" s="21" t="s">
        <v>2276</v>
      </c>
      <c r="T679" s="21" t="s">
        <v>2276</v>
      </c>
      <c r="U679" s="21" t="s">
        <v>2276</v>
      </c>
      <c r="V679" s="21" t="s">
        <v>2276</v>
      </c>
      <c r="W679" s="103"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3" t="s">
        <v>2364</v>
      </c>
      <c r="L680" s="21" t="s">
        <v>2364</v>
      </c>
      <c r="M680" s="21" t="s">
        <v>2364</v>
      </c>
      <c r="N680" s="21" t="s">
        <v>2364</v>
      </c>
      <c r="O680" s="21" t="s">
        <v>2364</v>
      </c>
      <c r="P680" s="21" t="s">
        <v>2364</v>
      </c>
      <c r="Q680" s="102" t="s">
        <v>2276</v>
      </c>
      <c r="R680" s="102"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3" t="s">
        <v>2276</v>
      </c>
      <c r="L681" s="21" t="s">
        <v>2276</v>
      </c>
      <c r="M681" s="21" t="s">
        <v>2276</v>
      </c>
      <c r="N681" s="21" t="s">
        <v>2276</v>
      </c>
      <c r="O681" s="21" t="s">
        <v>2276</v>
      </c>
      <c r="P681" s="21" t="s">
        <v>2276</v>
      </c>
      <c r="Q681" s="102" t="s">
        <v>2276</v>
      </c>
      <c r="R681" s="102"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3" t="s">
        <v>2276</v>
      </c>
      <c r="L682" s="21" t="s">
        <v>2276</v>
      </c>
      <c r="M682" s="21" t="s">
        <v>2276</v>
      </c>
      <c r="N682" s="21" t="s">
        <v>2276</v>
      </c>
      <c r="O682" s="21" t="s">
        <v>2276</v>
      </c>
      <c r="P682" s="21" t="s">
        <v>2276</v>
      </c>
      <c r="Q682" s="102" t="s">
        <v>2276</v>
      </c>
      <c r="R682" s="102"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3" t="s">
        <v>2276</v>
      </c>
      <c r="L683" s="21" t="s">
        <v>2276</v>
      </c>
      <c r="M683" s="21" t="s">
        <v>2276</v>
      </c>
      <c r="N683" s="21" t="s">
        <v>2276</v>
      </c>
      <c r="O683" s="21" t="s">
        <v>2276</v>
      </c>
      <c r="P683" s="21" t="s">
        <v>2362</v>
      </c>
      <c r="Q683" s="102" t="s">
        <v>2276</v>
      </c>
      <c r="R683" s="102"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3" t="s">
        <v>2276</v>
      </c>
      <c r="L684" s="21" t="s">
        <v>2276</v>
      </c>
      <c r="M684" s="21" t="s">
        <v>2276</v>
      </c>
      <c r="N684" s="21" t="s">
        <v>2276</v>
      </c>
      <c r="O684" s="21" t="s">
        <v>2276</v>
      </c>
      <c r="P684" s="21" t="s">
        <v>2362</v>
      </c>
      <c r="Q684" s="102" t="s">
        <v>2276</v>
      </c>
      <c r="R684" s="102"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3" t="s">
        <v>2276</v>
      </c>
      <c r="L685" s="21" t="s">
        <v>2276</v>
      </c>
      <c r="M685" s="21" t="s">
        <v>2276</v>
      </c>
      <c r="N685" s="21" t="s">
        <v>2276</v>
      </c>
      <c r="O685" s="21" t="s">
        <v>2276</v>
      </c>
      <c r="P685" s="21" t="s">
        <v>2276</v>
      </c>
      <c r="Q685" s="102" t="s">
        <v>2276</v>
      </c>
      <c r="R685" s="102"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3" t="s">
        <v>2276</v>
      </c>
      <c r="L686" s="21" t="s">
        <v>2276</v>
      </c>
      <c r="M686" s="21" t="s">
        <v>2276</v>
      </c>
      <c r="N686" s="21" t="s">
        <v>2276</v>
      </c>
      <c r="O686" s="21" t="s">
        <v>2276</v>
      </c>
      <c r="P686" s="21" t="s">
        <v>2276</v>
      </c>
      <c r="Q686" s="102" t="s">
        <v>2276</v>
      </c>
      <c r="R686" s="102"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3" t="s">
        <v>2364</v>
      </c>
      <c r="L687" s="21" t="s">
        <v>2364</v>
      </c>
      <c r="M687" s="21" t="s">
        <v>2364</v>
      </c>
      <c r="N687" s="21" t="s">
        <v>2364</v>
      </c>
      <c r="O687" s="21" t="s">
        <v>2364</v>
      </c>
      <c r="P687" s="21" t="s">
        <v>2364</v>
      </c>
      <c r="Q687" s="102" t="s">
        <v>2276</v>
      </c>
      <c r="R687" s="102"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3" t="s">
        <v>2364</v>
      </c>
      <c r="L688" s="21" t="s">
        <v>2364</v>
      </c>
      <c r="M688" s="21" t="s">
        <v>2364</v>
      </c>
      <c r="N688" s="21" t="s">
        <v>2364</v>
      </c>
      <c r="O688" s="21" t="s">
        <v>2364</v>
      </c>
      <c r="P688" s="21" t="s">
        <v>2364</v>
      </c>
      <c r="Q688" s="102" t="s">
        <v>2276</v>
      </c>
      <c r="R688" s="102"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3" t="s">
        <v>2364</v>
      </c>
      <c r="L689" s="21" t="s">
        <v>2364</v>
      </c>
      <c r="M689" s="21" t="s">
        <v>2364</v>
      </c>
      <c r="N689" s="21" t="s">
        <v>2364</v>
      </c>
      <c r="O689" s="21" t="s">
        <v>2364</v>
      </c>
      <c r="P689" s="21" t="s">
        <v>2364</v>
      </c>
      <c r="Q689" s="102" t="s">
        <v>2276</v>
      </c>
      <c r="R689" s="102"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3" t="s">
        <v>2364</v>
      </c>
      <c r="L690" s="21" t="s">
        <v>2364</v>
      </c>
      <c r="M690" s="21" t="s">
        <v>2364</v>
      </c>
      <c r="N690" s="21" t="s">
        <v>2364</v>
      </c>
      <c r="O690" s="21" t="s">
        <v>2364</v>
      </c>
      <c r="P690" s="21" t="s">
        <v>2364</v>
      </c>
      <c r="Q690" s="102" t="s">
        <v>2276</v>
      </c>
      <c r="R690" s="102"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3" t="s">
        <v>2364</v>
      </c>
      <c r="L691" s="21" t="s">
        <v>2364</v>
      </c>
      <c r="M691" s="21" t="s">
        <v>2364</v>
      </c>
      <c r="N691" s="21" t="s">
        <v>2364</v>
      </c>
      <c r="O691" s="21" t="s">
        <v>2364</v>
      </c>
      <c r="P691" s="21" t="s">
        <v>2364</v>
      </c>
      <c r="Q691" s="102" t="s">
        <v>2276</v>
      </c>
      <c r="R691" s="102"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3" t="s">
        <v>2364</v>
      </c>
      <c r="L692" s="21" t="s">
        <v>2364</v>
      </c>
      <c r="M692" s="21" t="s">
        <v>2364</v>
      </c>
      <c r="N692" s="21" t="s">
        <v>2364</v>
      </c>
      <c r="O692" s="21" t="s">
        <v>2364</v>
      </c>
      <c r="P692" s="21" t="s">
        <v>2364</v>
      </c>
      <c r="Q692" s="102" t="s">
        <v>2276</v>
      </c>
      <c r="R692" s="102"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3" t="s">
        <v>2364</v>
      </c>
      <c r="L693" s="21" t="s">
        <v>2364</v>
      </c>
      <c r="M693" s="21" t="s">
        <v>2364</v>
      </c>
      <c r="N693" s="21" t="s">
        <v>2364</v>
      </c>
      <c r="O693" s="21" t="s">
        <v>2364</v>
      </c>
      <c r="P693" s="21" t="s">
        <v>2364</v>
      </c>
      <c r="Q693" s="102" t="s">
        <v>2276</v>
      </c>
      <c r="R693" s="102"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3" t="s">
        <v>2364</v>
      </c>
      <c r="L694" s="21" t="s">
        <v>2364</v>
      </c>
      <c r="M694" s="21" t="s">
        <v>2364</v>
      </c>
      <c r="N694" s="21" t="s">
        <v>2364</v>
      </c>
      <c r="O694" s="21" t="s">
        <v>2364</v>
      </c>
      <c r="P694" s="21" t="s">
        <v>2364</v>
      </c>
      <c r="Q694" s="102" t="s">
        <v>2276</v>
      </c>
      <c r="R694" s="102"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3" t="s">
        <v>2364</v>
      </c>
      <c r="L695" s="21" t="s">
        <v>2364</v>
      </c>
      <c r="M695" s="21" t="s">
        <v>2364</v>
      </c>
      <c r="N695" s="21" t="s">
        <v>2364</v>
      </c>
      <c r="O695" s="21" t="s">
        <v>2364</v>
      </c>
      <c r="P695" s="21" t="s">
        <v>2364</v>
      </c>
      <c r="Q695" s="102" t="s">
        <v>2276</v>
      </c>
      <c r="R695" s="102"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3" t="s">
        <v>2364</v>
      </c>
      <c r="L696" s="21" t="s">
        <v>2364</v>
      </c>
      <c r="M696" s="21" t="s">
        <v>2364</v>
      </c>
      <c r="N696" s="21" t="s">
        <v>2364</v>
      </c>
      <c r="O696" s="21" t="s">
        <v>2364</v>
      </c>
      <c r="P696" s="21" t="s">
        <v>2364</v>
      </c>
      <c r="Q696" s="102" t="s">
        <v>2276</v>
      </c>
      <c r="R696" s="102"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3" t="s">
        <v>2364</v>
      </c>
      <c r="L697" s="21" t="s">
        <v>2364</v>
      </c>
      <c r="M697" s="21" t="s">
        <v>2364</v>
      </c>
      <c r="N697" s="21" t="s">
        <v>2364</v>
      </c>
      <c r="O697" s="21" t="s">
        <v>2364</v>
      </c>
      <c r="P697" s="21" t="s">
        <v>2364</v>
      </c>
      <c r="Q697" s="102" t="s">
        <v>2276</v>
      </c>
      <c r="R697" s="102"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3" t="s">
        <v>2364</v>
      </c>
      <c r="L698" s="21" t="s">
        <v>2364</v>
      </c>
      <c r="M698" s="21" t="s">
        <v>2364</v>
      </c>
      <c r="N698" s="21" t="s">
        <v>2364</v>
      </c>
      <c r="O698" s="21" t="s">
        <v>2364</v>
      </c>
      <c r="P698" s="21" t="s">
        <v>2364</v>
      </c>
      <c r="Q698" s="102" t="s">
        <v>2276</v>
      </c>
      <c r="R698" s="102"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3" t="s">
        <v>2364</v>
      </c>
      <c r="L699" s="21" t="s">
        <v>2364</v>
      </c>
      <c r="M699" s="21" t="s">
        <v>2364</v>
      </c>
      <c r="N699" s="21" t="s">
        <v>2364</v>
      </c>
      <c r="O699" s="21" t="s">
        <v>2364</v>
      </c>
      <c r="P699" s="21" t="s">
        <v>2364</v>
      </c>
      <c r="Q699" s="102" t="s">
        <v>2276</v>
      </c>
      <c r="R699" s="102"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3" t="s">
        <v>2364</v>
      </c>
      <c r="L700" s="21" t="s">
        <v>2364</v>
      </c>
      <c r="M700" s="21" t="s">
        <v>2364</v>
      </c>
      <c r="N700" s="21" t="s">
        <v>2364</v>
      </c>
      <c r="O700" s="21" t="s">
        <v>2364</v>
      </c>
      <c r="P700" s="21" t="s">
        <v>2364</v>
      </c>
      <c r="Q700" s="102" t="s">
        <v>2276</v>
      </c>
      <c r="R700" s="102"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3" t="s">
        <v>2364</v>
      </c>
      <c r="L701" s="21" t="s">
        <v>2364</v>
      </c>
      <c r="M701" s="21" t="s">
        <v>2364</v>
      </c>
      <c r="N701" s="21" t="s">
        <v>2364</v>
      </c>
      <c r="O701" s="21" t="s">
        <v>2364</v>
      </c>
      <c r="P701" s="21" t="s">
        <v>2364</v>
      </c>
      <c r="Q701" s="102" t="s">
        <v>2276</v>
      </c>
      <c r="R701" s="102"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3" t="s">
        <v>2364</v>
      </c>
      <c r="L702" s="21" t="s">
        <v>2364</v>
      </c>
      <c r="M702" s="21" t="s">
        <v>2364</v>
      </c>
      <c r="N702" s="21" t="s">
        <v>2364</v>
      </c>
      <c r="O702" s="21" t="s">
        <v>2364</v>
      </c>
      <c r="P702" s="21" t="s">
        <v>2364</v>
      </c>
      <c r="Q702" s="102" t="s">
        <v>2276</v>
      </c>
      <c r="R702" s="102"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3" t="s">
        <v>2364</v>
      </c>
      <c r="L703" s="21" t="s">
        <v>2364</v>
      </c>
      <c r="M703" s="21" t="s">
        <v>2364</v>
      </c>
      <c r="N703" s="21" t="s">
        <v>2364</v>
      </c>
      <c r="O703" s="21" t="s">
        <v>2364</v>
      </c>
      <c r="P703" s="21" t="s">
        <v>2364</v>
      </c>
      <c r="Q703" s="102" t="s">
        <v>2276</v>
      </c>
      <c r="R703" s="102"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3" t="s">
        <v>2364</v>
      </c>
      <c r="L704" s="21" t="s">
        <v>2364</v>
      </c>
      <c r="M704" s="21" t="s">
        <v>2364</v>
      </c>
      <c r="N704" s="21" t="s">
        <v>2364</v>
      </c>
      <c r="O704" s="21" t="s">
        <v>2364</v>
      </c>
      <c r="P704" s="21" t="s">
        <v>2364</v>
      </c>
      <c r="Q704" s="102" t="s">
        <v>2276</v>
      </c>
      <c r="R704" s="102"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3" t="s">
        <v>2364</v>
      </c>
      <c r="L705" s="21" t="s">
        <v>2364</v>
      </c>
      <c r="M705" s="21" t="s">
        <v>2364</v>
      </c>
      <c r="N705" s="21" t="s">
        <v>2364</v>
      </c>
      <c r="O705" s="21" t="s">
        <v>2364</v>
      </c>
      <c r="P705" s="21" t="s">
        <v>2364</v>
      </c>
      <c r="Q705" s="102" t="s">
        <v>2276</v>
      </c>
      <c r="R705" s="102"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3" t="s">
        <v>2364</v>
      </c>
      <c r="L706" s="21" t="s">
        <v>2364</v>
      </c>
      <c r="M706" s="21" t="s">
        <v>2364</v>
      </c>
      <c r="N706" s="21" t="s">
        <v>2364</v>
      </c>
      <c r="O706" s="21" t="s">
        <v>2364</v>
      </c>
      <c r="P706" s="21" t="s">
        <v>2364</v>
      </c>
      <c r="Q706" s="102" t="s">
        <v>2276</v>
      </c>
      <c r="R706" s="102"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3" t="s">
        <v>2364</v>
      </c>
      <c r="L707" s="21" t="s">
        <v>2364</v>
      </c>
      <c r="M707" s="21" t="s">
        <v>2364</v>
      </c>
      <c r="N707" s="21" t="s">
        <v>2364</v>
      </c>
      <c r="O707" s="21" t="s">
        <v>2364</v>
      </c>
      <c r="P707" s="21" t="s">
        <v>2364</v>
      </c>
      <c r="Q707" s="102" t="s">
        <v>2276</v>
      </c>
      <c r="R707" s="102"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3" t="s">
        <v>2364</v>
      </c>
      <c r="L708" s="21" t="s">
        <v>2364</v>
      </c>
      <c r="M708" s="21" t="s">
        <v>2364</v>
      </c>
      <c r="N708" s="21" t="s">
        <v>2364</v>
      </c>
      <c r="O708" s="21" t="s">
        <v>2364</v>
      </c>
      <c r="P708" s="21" t="s">
        <v>2364</v>
      </c>
      <c r="Q708" s="102" t="s">
        <v>2276</v>
      </c>
      <c r="R708" s="102"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3" t="s">
        <v>2364</v>
      </c>
      <c r="L709" s="21" t="s">
        <v>2364</v>
      </c>
      <c r="M709" s="21" t="s">
        <v>2364</v>
      </c>
      <c r="N709" s="21" t="s">
        <v>2364</v>
      </c>
      <c r="O709" s="21" t="s">
        <v>2364</v>
      </c>
      <c r="P709" s="21" t="s">
        <v>2364</v>
      </c>
      <c r="Q709" s="102" t="s">
        <v>2276</v>
      </c>
      <c r="R709" s="102"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3" t="s">
        <v>2364</v>
      </c>
      <c r="L710" s="21" t="s">
        <v>2364</v>
      </c>
      <c r="M710" s="21" t="s">
        <v>2364</v>
      </c>
      <c r="N710" s="21" t="s">
        <v>2364</v>
      </c>
      <c r="O710" s="21" t="s">
        <v>2364</v>
      </c>
      <c r="P710" s="21" t="s">
        <v>2364</v>
      </c>
      <c r="Q710" s="102" t="s">
        <v>2276</v>
      </c>
      <c r="R710" s="102"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3" t="s">
        <v>2364</v>
      </c>
      <c r="L711" s="21" t="s">
        <v>2364</v>
      </c>
      <c r="M711" s="21" t="s">
        <v>2364</v>
      </c>
      <c r="N711" s="21" t="s">
        <v>2364</v>
      </c>
      <c r="O711" s="21" t="s">
        <v>2364</v>
      </c>
      <c r="P711" s="21" t="s">
        <v>2364</v>
      </c>
      <c r="Q711" s="102" t="s">
        <v>2276</v>
      </c>
      <c r="R711" s="102"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3" t="s">
        <v>2364</v>
      </c>
      <c r="L712" s="21" t="s">
        <v>2364</v>
      </c>
      <c r="M712" s="21" t="s">
        <v>2364</v>
      </c>
      <c r="N712" s="21" t="s">
        <v>2364</v>
      </c>
      <c r="O712" s="21" t="s">
        <v>2364</v>
      </c>
      <c r="P712" s="21" t="s">
        <v>2364</v>
      </c>
      <c r="Q712" s="102" t="s">
        <v>2276</v>
      </c>
      <c r="R712" s="102"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3" t="s">
        <v>2364</v>
      </c>
      <c r="L713" s="21" t="s">
        <v>2364</v>
      </c>
      <c r="M713" s="21" t="s">
        <v>2364</v>
      </c>
      <c r="N713" s="21" t="s">
        <v>2364</v>
      </c>
      <c r="O713" s="21" t="s">
        <v>2364</v>
      </c>
      <c r="P713" s="21" t="s">
        <v>2364</v>
      </c>
      <c r="Q713" s="102" t="s">
        <v>2276</v>
      </c>
      <c r="R713" s="102"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3" t="s">
        <v>2364</v>
      </c>
      <c r="L714" s="21" t="s">
        <v>2364</v>
      </c>
      <c r="M714" s="21" t="s">
        <v>2364</v>
      </c>
      <c r="N714" s="21" t="s">
        <v>2364</v>
      </c>
      <c r="O714" s="21" t="s">
        <v>2364</v>
      </c>
      <c r="P714" s="21" t="s">
        <v>2364</v>
      </c>
      <c r="Q714" s="102" t="s">
        <v>2276</v>
      </c>
      <c r="R714" s="102"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3" t="s">
        <v>2364</v>
      </c>
      <c r="L715" s="21" t="s">
        <v>2364</v>
      </c>
      <c r="M715" s="21" t="s">
        <v>2364</v>
      </c>
      <c r="N715" s="21" t="s">
        <v>2364</v>
      </c>
      <c r="O715" s="21" t="s">
        <v>2364</v>
      </c>
      <c r="P715" s="21" t="s">
        <v>2364</v>
      </c>
      <c r="Q715" s="102" t="s">
        <v>2276</v>
      </c>
      <c r="R715" s="102"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3" t="s">
        <v>2364</v>
      </c>
      <c r="L716" s="21" t="s">
        <v>2364</v>
      </c>
      <c r="M716" s="21" t="s">
        <v>2364</v>
      </c>
      <c r="N716" s="21" t="s">
        <v>2364</v>
      </c>
      <c r="O716" s="21" t="s">
        <v>2364</v>
      </c>
      <c r="P716" s="21" t="s">
        <v>2364</v>
      </c>
      <c r="Q716" s="102" t="s">
        <v>2276</v>
      </c>
      <c r="R716" s="102"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3" t="s">
        <v>2364</v>
      </c>
      <c r="L717" s="21" t="s">
        <v>2364</v>
      </c>
      <c r="M717" s="21" t="s">
        <v>2364</v>
      </c>
      <c r="N717" s="21" t="s">
        <v>2364</v>
      </c>
      <c r="O717" s="21" t="s">
        <v>2364</v>
      </c>
      <c r="P717" s="21" t="s">
        <v>2364</v>
      </c>
      <c r="Q717" s="102" t="s">
        <v>2276</v>
      </c>
      <c r="R717" s="102"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3" t="s">
        <v>2364</v>
      </c>
      <c r="L718" s="21" t="s">
        <v>2364</v>
      </c>
      <c r="M718" s="21" t="s">
        <v>2364</v>
      </c>
      <c r="N718" s="21" t="s">
        <v>2364</v>
      </c>
      <c r="O718" s="21" t="s">
        <v>2364</v>
      </c>
      <c r="P718" s="21" t="s">
        <v>2364</v>
      </c>
      <c r="Q718" s="102" t="s">
        <v>2276</v>
      </c>
      <c r="R718" s="102"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3" t="s">
        <v>2364</v>
      </c>
      <c r="L719" s="21" t="s">
        <v>2364</v>
      </c>
      <c r="M719" s="21" t="s">
        <v>2364</v>
      </c>
      <c r="N719" s="21" t="s">
        <v>2364</v>
      </c>
      <c r="O719" s="21" t="s">
        <v>2364</v>
      </c>
      <c r="P719" s="21" t="s">
        <v>2364</v>
      </c>
      <c r="Q719" s="102" t="s">
        <v>2276</v>
      </c>
      <c r="R719" s="102"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3" t="s">
        <v>2364</v>
      </c>
      <c r="L720" s="21" t="s">
        <v>2364</v>
      </c>
      <c r="M720" s="21" t="s">
        <v>2364</v>
      </c>
      <c r="N720" s="21" t="s">
        <v>2364</v>
      </c>
      <c r="O720" s="21" t="s">
        <v>2364</v>
      </c>
      <c r="P720" s="21" t="s">
        <v>2364</v>
      </c>
      <c r="Q720" s="102" t="s">
        <v>2276</v>
      </c>
      <c r="R720" s="102"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3" t="s">
        <v>2364</v>
      </c>
      <c r="L721" s="21" t="s">
        <v>2364</v>
      </c>
      <c r="M721" s="21" t="s">
        <v>2364</v>
      </c>
      <c r="N721" s="21" t="s">
        <v>2364</v>
      </c>
      <c r="O721" s="21" t="s">
        <v>2364</v>
      </c>
      <c r="P721" s="21" t="s">
        <v>2364</v>
      </c>
      <c r="Q721" s="102" t="s">
        <v>2276</v>
      </c>
      <c r="R721" s="102"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3" t="s">
        <v>2364</v>
      </c>
      <c r="L722" s="21" t="s">
        <v>2364</v>
      </c>
      <c r="M722" s="21" t="s">
        <v>2364</v>
      </c>
      <c r="N722" s="21" t="s">
        <v>2364</v>
      </c>
      <c r="O722" s="21" t="s">
        <v>2364</v>
      </c>
      <c r="P722" s="21" t="s">
        <v>2364</v>
      </c>
      <c r="Q722" s="102" t="s">
        <v>2276</v>
      </c>
      <c r="R722" s="102"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3" t="s">
        <v>2364</v>
      </c>
      <c r="L723" s="21" t="s">
        <v>2364</v>
      </c>
      <c r="M723" s="21" t="s">
        <v>2364</v>
      </c>
      <c r="N723" s="21" t="s">
        <v>2364</v>
      </c>
      <c r="O723" s="21" t="s">
        <v>2364</v>
      </c>
      <c r="P723" s="21" t="s">
        <v>2364</v>
      </c>
      <c r="Q723" s="102" t="s">
        <v>2276</v>
      </c>
      <c r="R723" s="102"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3" t="s">
        <v>2364</v>
      </c>
      <c r="L724" s="21" t="s">
        <v>2364</v>
      </c>
      <c r="M724" s="21" t="s">
        <v>2364</v>
      </c>
      <c r="N724" s="21" t="s">
        <v>2364</v>
      </c>
      <c r="O724" s="21" t="s">
        <v>2364</v>
      </c>
      <c r="P724" s="21" t="s">
        <v>2364</v>
      </c>
      <c r="Q724" s="102" t="s">
        <v>2276</v>
      </c>
      <c r="R724" s="102"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3" t="s">
        <v>2364</v>
      </c>
      <c r="L725" s="21" t="s">
        <v>2364</v>
      </c>
      <c r="M725" s="21" t="s">
        <v>2364</v>
      </c>
      <c r="N725" s="21" t="s">
        <v>2364</v>
      </c>
      <c r="O725" s="21" t="s">
        <v>2364</v>
      </c>
      <c r="P725" s="21" t="s">
        <v>2364</v>
      </c>
      <c r="Q725" s="102" t="s">
        <v>2276</v>
      </c>
      <c r="R725" s="102"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3" t="s">
        <v>2364</v>
      </c>
      <c r="L726" s="21" t="s">
        <v>2364</v>
      </c>
      <c r="M726" s="21" t="s">
        <v>2364</v>
      </c>
      <c r="N726" s="21" t="s">
        <v>2364</v>
      </c>
      <c r="O726" s="21" t="s">
        <v>2364</v>
      </c>
      <c r="P726" s="21" t="s">
        <v>2364</v>
      </c>
      <c r="Q726" s="102" t="s">
        <v>2276</v>
      </c>
      <c r="R726" s="102"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3" t="s">
        <v>2364</v>
      </c>
      <c r="L727" s="21" t="s">
        <v>2364</v>
      </c>
      <c r="M727" s="21" t="s">
        <v>2364</v>
      </c>
      <c r="N727" s="21" t="s">
        <v>2364</v>
      </c>
      <c r="O727" s="21" t="s">
        <v>2364</v>
      </c>
      <c r="P727" s="21" t="s">
        <v>2364</v>
      </c>
      <c r="Q727" s="102" t="s">
        <v>2276</v>
      </c>
      <c r="R727" s="102"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3" t="s">
        <v>2364</v>
      </c>
      <c r="L728" s="21" t="s">
        <v>2364</v>
      </c>
      <c r="M728" s="21" t="s">
        <v>2364</v>
      </c>
      <c r="N728" s="21" t="s">
        <v>2364</v>
      </c>
      <c r="O728" s="21" t="s">
        <v>2364</v>
      </c>
      <c r="P728" s="21" t="s">
        <v>2364</v>
      </c>
      <c r="Q728" s="102" t="s">
        <v>2276</v>
      </c>
      <c r="R728" s="102"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3" t="s">
        <v>2364</v>
      </c>
      <c r="L729" s="21" t="s">
        <v>2364</v>
      </c>
      <c r="M729" s="21" t="s">
        <v>2364</v>
      </c>
      <c r="N729" s="21" t="s">
        <v>2364</v>
      </c>
      <c r="O729" s="21" t="s">
        <v>2364</v>
      </c>
      <c r="P729" s="21" t="s">
        <v>2364</v>
      </c>
      <c r="Q729" s="102" t="s">
        <v>2276</v>
      </c>
      <c r="R729" s="102"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3" t="s">
        <v>2364</v>
      </c>
      <c r="L730" s="21" t="s">
        <v>2364</v>
      </c>
      <c r="M730" s="21" t="s">
        <v>2364</v>
      </c>
      <c r="N730" s="21" t="s">
        <v>2364</v>
      </c>
      <c r="O730" s="21" t="s">
        <v>2364</v>
      </c>
      <c r="P730" s="21" t="s">
        <v>2364</v>
      </c>
      <c r="Q730" s="102" t="s">
        <v>2276</v>
      </c>
      <c r="R730" s="102"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3" t="s">
        <v>2364</v>
      </c>
      <c r="L731" s="21" t="s">
        <v>2364</v>
      </c>
      <c r="M731" s="21" t="s">
        <v>2364</v>
      </c>
      <c r="N731" s="21" t="s">
        <v>2364</v>
      </c>
      <c r="O731" s="21" t="s">
        <v>2364</v>
      </c>
      <c r="P731" s="21" t="s">
        <v>2364</v>
      </c>
      <c r="Q731" s="102" t="s">
        <v>2276</v>
      </c>
      <c r="R731" s="102"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3" t="s">
        <v>2364</v>
      </c>
      <c r="L732" s="21" t="s">
        <v>2364</v>
      </c>
      <c r="M732" s="21" t="s">
        <v>2364</v>
      </c>
      <c r="N732" s="21" t="s">
        <v>2364</v>
      </c>
      <c r="O732" s="21" t="s">
        <v>2364</v>
      </c>
      <c r="P732" s="21" t="s">
        <v>2364</v>
      </c>
      <c r="Q732" s="102" t="s">
        <v>2276</v>
      </c>
      <c r="R732" s="102"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3" t="s">
        <v>2364</v>
      </c>
      <c r="L733" s="21" t="s">
        <v>2364</v>
      </c>
      <c r="M733" s="21" t="s">
        <v>2364</v>
      </c>
      <c r="N733" s="21" t="s">
        <v>2364</v>
      </c>
      <c r="O733" s="21" t="s">
        <v>2364</v>
      </c>
      <c r="P733" s="21" t="s">
        <v>2364</v>
      </c>
      <c r="Q733" s="102" t="s">
        <v>2276</v>
      </c>
      <c r="R733" s="102"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3" t="s">
        <v>2364</v>
      </c>
      <c r="L734" s="21" t="s">
        <v>2364</v>
      </c>
      <c r="M734" s="21" t="s">
        <v>2364</v>
      </c>
      <c r="N734" s="21" t="s">
        <v>2364</v>
      </c>
      <c r="O734" s="21" t="s">
        <v>2364</v>
      </c>
      <c r="P734" s="21" t="s">
        <v>2364</v>
      </c>
      <c r="Q734" s="102" t="s">
        <v>2276</v>
      </c>
      <c r="R734" s="102"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3" t="s">
        <v>2364</v>
      </c>
      <c r="L735" s="21" t="s">
        <v>2364</v>
      </c>
      <c r="M735" s="21" t="s">
        <v>2364</v>
      </c>
      <c r="N735" s="21" t="s">
        <v>2364</v>
      </c>
      <c r="O735" s="21" t="s">
        <v>2364</v>
      </c>
      <c r="P735" s="21" t="s">
        <v>2364</v>
      </c>
      <c r="Q735" s="102" t="s">
        <v>2276</v>
      </c>
      <c r="R735" s="102"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3" t="s">
        <v>2364</v>
      </c>
      <c r="L736" s="21" t="s">
        <v>2364</v>
      </c>
      <c r="M736" s="21" t="s">
        <v>2364</v>
      </c>
      <c r="N736" s="21" t="s">
        <v>2364</v>
      </c>
      <c r="O736" s="21" t="s">
        <v>2364</v>
      </c>
      <c r="P736" s="21" t="s">
        <v>2364</v>
      </c>
      <c r="Q736" s="102" t="s">
        <v>2276</v>
      </c>
      <c r="R736" s="102"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3" t="s">
        <v>2364</v>
      </c>
      <c r="L737" s="21" t="s">
        <v>2364</v>
      </c>
      <c r="M737" s="21" t="s">
        <v>2364</v>
      </c>
      <c r="N737" s="21" t="s">
        <v>2364</v>
      </c>
      <c r="O737" s="21" t="s">
        <v>2364</v>
      </c>
      <c r="P737" s="21" t="s">
        <v>2364</v>
      </c>
      <c r="Q737" s="102" t="s">
        <v>2276</v>
      </c>
      <c r="R737" s="102"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3" t="s">
        <v>2364</v>
      </c>
      <c r="L738" s="21" t="s">
        <v>2364</v>
      </c>
      <c r="M738" s="21" t="s">
        <v>2364</v>
      </c>
      <c r="N738" s="21" t="s">
        <v>2364</v>
      </c>
      <c r="O738" s="21" t="s">
        <v>2364</v>
      </c>
      <c r="P738" s="21" t="s">
        <v>2364</v>
      </c>
      <c r="Q738" s="102" t="s">
        <v>2276</v>
      </c>
      <c r="R738" s="102"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3" t="s">
        <v>2364</v>
      </c>
      <c r="L739" s="21" t="s">
        <v>2364</v>
      </c>
      <c r="M739" s="21" t="s">
        <v>2364</v>
      </c>
      <c r="N739" s="21" t="s">
        <v>2364</v>
      </c>
      <c r="O739" s="21" t="s">
        <v>2364</v>
      </c>
      <c r="P739" s="21" t="s">
        <v>2364</v>
      </c>
      <c r="Q739" s="102" t="s">
        <v>2276</v>
      </c>
      <c r="R739" s="102"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3" t="s">
        <v>2364</v>
      </c>
      <c r="L740" s="21" t="s">
        <v>2364</v>
      </c>
      <c r="M740" s="21" t="s">
        <v>2364</v>
      </c>
      <c r="N740" s="21" t="s">
        <v>2364</v>
      </c>
      <c r="O740" s="21" t="s">
        <v>2364</v>
      </c>
      <c r="P740" s="21" t="s">
        <v>2364</v>
      </c>
      <c r="Q740" s="102" t="s">
        <v>2276</v>
      </c>
      <c r="R740" s="102"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3" t="s">
        <v>2364</v>
      </c>
      <c r="L741" s="21" t="s">
        <v>2364</v>
      </c>
      <c r="M741" s="21" t="s">
        <v>2364</v>
      </c>
      <c r="N741" s="21" t="s">
        <v>2364</v>
      </c>
      <c r="O741" s="21" t="s">
        <v>2364</v>
      </c>
      <c r="P741" s="21" t="s">
        <v>2364</v>
      </c>
      <c r="Q741" s="102" t="s">
        <v>2276</v>
      </c>
      <c r="R741" s="102"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3" t="s">
        <v>2364</v>
      </c>
      <c r="L742" s="21" t="s">
        <v>2364</v>
      </c>
      <c r="M742" s="21" t="s">
        <v>2364</v>
      </c>
      <c r="N742" s="21" t="s">
        <v>2364</v>
      </c>
      <c r="O742" s="21" t="s">
        <v>2364</v>
      </c>
      <c r="P742" s="21" t="s">
        <v>2364</v>
      </c>
      <c r="Q742" s="102" t="s">
        <v>2276</v>
      </c>
      <c r="R742" s="102"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3" t="s">
        <v>2364</v>
      </c>
      <c r="L743" s="21" t="s">
        <v>2364</v>
      </c>
      <c r="M743" s="21" t="s">
        <v>2364</v>
      </c>
      <c r="N743" s="21" t="s">
        <v>2364</v>
      </c>
      <c r="O743" s="21" t="s">
        <v>2364</v>
      </c>
      <c r="P743" s="21" t="s">
        <v>2364</v>
      </c>
      <c r="Q743" s="102" t="s">
        <v>2276</v>
      </c>
      <c r="R743" s="102"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3" t="s">
        <v>2364</v>
      </c>
      <c r="L744" s="21" t="s">
        <v>2364</v>
      </c>
      <c r="M744" s="21" t="s">
        <v>2364</v>
      </c>
      <c r="N744" s="21" t="s">
        <v>2364</v>
      </c>
      <c r="O744" s="21" t="s">
        <v>2364</v>
      </c>
      <c r="P744" s="21" t="s">
        <v>2364</v>
      </c>
      <c r="Q744" s="102" t="s">
        <v>2276</v>
      </c>
      <c r="R744" s="102"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3" t="s">
        <v>2364</v>
      </c>
      <c r="L745" s="21" t="s">
        <v>2364</v>
      </c>
      <c r="M745" s="21" t="s">
        <v>2364</v>
      </c>
      <c r="N745" s="21" t="s">
        <v>2364</v>
      </c>
      <c r="O745" s="21" t="s">
        <v>2364</v>
      </c>
      <c r="P745" s="21" t="s">
        <v>2364</v>
      </c>
      <c r="Q745" s="102" t="s">
        <v>2276</v>
      </c>
      <c r="R745" s="102"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3" t="s">
        <v>2364</v>
      </c>
      <c r="L746" s="21" t="s">
        <v>2364</v>
      </c>
      <c r="M746" s="21" t="s">
        <v>2364</v>
      </c>
      <c r="N746" s="21" t="s">
        <v>2364</v>
      </c>
      <c r="O746" s="21" t="s">
        <v>2364</v>
      </c>
      <c r="P746" s="21" t="s">
        <v>2364</v>
      </c>
      <c r="Q746" s="102" t="s">
        <v>2276</v>
      </c>
      <c r="R746" s="102"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3" t="s">
        <v>2364</v>
      </c>
      <c r="L747" s="21" t="s">
        <v>2364</v>
      </c>
      <c r="M747" s="21" t="s">
        <v>2364</v>
      </c>
      <c r="N747" s="21" t="s">
        <v>2364</v>
      </c>
      <c r="O747" s="21" t="s">
        <v>2364</v>
      </c>
      <c r="P747" s="21" t="s">
        <v>2364</v>
      </c>
      <c r="Q747" s="102" t="s">
        <v>2276</v>
      </c>
      <c r="R747" s="102"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3" t="s">
        <v>2364</v>
      </c>
      <c r="L748" s="21" t="s">
        <v>2364</v>
      </c>
      <c r="M748" s="21" t="s">
        <v>2364</v>
      </c>
      <c r="N748" s="21" t="s">
        <v>2364</v>
      </c>
      <c r="O748" s="21" t="s">
        <v>2364</v>
      </c>
      <c r="P748" s="21" t="s">
        <v>2364</v>
      </c>
      <c r="Q748" s="102" t="s">
        <v>2276</v>
      </c>
      <c r="R748" s="102"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3" t="s">
        <v>2364</v>
      </c>
      <c r="L749" s="21" t="s">
        <v>2364</v>
      </c>
      <c r="M749" s="21" t="s">
        <v>2364</v>
      </c>
      <c r="N749" s="21" t="s">
        <v>2364</v>
      </c>
      <c r="O749" s="21" t="s">
        <v>2364</v>
      </c>
      <c r="P749" s="21" t="s">
        <v>2364</v>
      </c>
      <c r="Q749" s="102" t="s">
        <v>2276</v>
      </c>
      <c r="R749" s="102"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3" t="s">
        <v>2364</v>
      </c>
      <c r="L750" s="21" t="s">
        <v>2364</v>
      </c>
      <c r="M750" s="21" t="s">
        <v>2364</v>
      </c>
      <c r="N750" s="21" t="s">
        <v>2364</v>
      </c>
      <c r="O750" s="21" t="s">
        <v>2364</v>
      </c>
      <c r="P750" s="21" t="s">
        <v>2364</v>
      </c>
      <c r="Q750" s="102" t="s">
        <v>2276</v>
      </c>
      <c r="R750" s="102"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3" t="s">
        <v>2364</v>
      </c>
      <c r="L751" s="21" t="s">
        <v>2364</v>
      </c>
      <c r="M751" s="21" t="s">
        <v>2364</v>
      </c>
      <c r="N751" s="21" t="s">
        <v>2364</v>
      </c>
      <c r="O751" s="21" t="s">
        <v>2364</v>
      </c>
      <c r="P751" s="21" t="s">
        <v>2364</v>
      </c>
      <c r="Q751" s="102" t="s">
        <v>2276</v>
      </c>
      <c r="R751" s="102"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3" t="s">
        <v>2364</v>
      </c>
      <c r="L752" s="21" t="s">
        <v>2364</v>
      </c>
      <c r="M752" s="21" t="s">
        <v>2364</v>
      </c>
      <c r="N752" s="21" t="s">
        <v>2364</v>
      </c>
      <c r="O752" s="21" t="s">
        <v>2364</v>
      </c>
      <c r="P752" s="21" t="s">
        <v>2364</v>
      </c>
      <c r="Q752" s="102" t="s">
        <v>2276</v>
      </c>
      <c r="R752" s="102"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3" t="s">
        <v>2364</v>
      </c>
      <c r="L753" s="21" t="s">
        <v>2364</v>
      </c>
      <c r="M753" s="21" t="s">
        <v>2364</v>
      </c>
      <c r="N753" s="21" t="s">
        <v>2364</v>
      </c>
      <c r="O753" s="21" t="s">
        <v>2364</v>
      </c>
      <c r="P753" s="21" t="s">
        <v>2364</v>
      </c>
      <c r="Q753" s="102" t="s">
        <v>2276</v>
      </c>
      <c r="R753" s="102"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3" t="s">
        <v>2364</v>
      </c>
      <c r="L754" s="21" t="s">
        <v>2364</v>
      </c>
      <c r="M754" s="21" t="s">
        <v>2364</v>
      </c>
      <c r="N754" s="21" t="s">
        <v>2364</v>
      </c>
      <c r="O754" s="21" t="s">
        <v>2364</v>
      </c>
      <c r="P754" s="21" t="s">
        <v>2364</v>
      </c>
      <c r="Q754" s="102" t="s">
        <v>2276</v>
      </c>
      <c r="R754" s="102"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3" t="s">
        <v>2364</v>
      </c>
      <c r="L755" s="21" t="s">
        <v>2364</v>
      </c>
      <c r="M755" s="21" t="s">
        <v>2364</v>
      </c>
      <c r="N755" s="21" t="s">
        <v>2364</v>
      </c>
      <c r="O755" s="21" t="s">
        <v>2364</v>
      </c>
      <c r="P755" s="21" t="s">
        <v>2364</v>
      </c>
      <c r="Q755" s="102" t="s">
        <v>2276</v>
      </c>
      <c r="R755" s="102"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3" t="s">
        <v>2364</v>
      </c>
      <c r="L756" s="21" t="s">
        <v>2364</v>
      </c>
      <c r="M756" s="21" t="s">
        <v>2364</v>
      </c>
      <c r="N756" s="21" t="s">
        <v>2364</v>
      </c>
      <c r="O756" s="21" t="s">
        <v>2364</v>
      </c>
      <c r="P756" s="21" t="s">
        <v>2364</v>
      </c>
      <c r="Q756" s="102" t="s">
        <v>2276</v>
      </c>
      <c r="R756" s="102"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3" t="s">
        <v>2364</v>
      </c>
      <c r="L757" s="21" t="s">
        <v>2364</v>
      </c>
      <c r="M757" s="21" t="s">
        <v>2364</v>
      </c>
      <c r="N757" s="21" t="s">
        <v>2364</v>
      </c>
      <c r="O757" s="21" t="s">
        <v>2364</v>
      </c>
      <c r="P757" s="21" t="s">
        <v>2364</v>
      </c>
      <c r="Q757" s="102" t="s">
        <v>2276</v>
      </c>
      <c r="R757" s="102"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3" t="s">
        <v>2364</v>
      </c>
      <c r="L758" s="21" t="s">
        <v>2364</v>
      </c>
      <c r="M758" s="21" t="s">
        <v>2364</v>
      </c>
      <c r="N758" s="21" t="s">
        <v>2364</v>
      </c>
      <c r="O758" s="21" t="s">
        <v>2364</v>
      </c>
      <c r="P758" s="21" t="s">
        <v>2364</v>
      </c>
      <c r="Q758" s="102" t="s">
        <v>2276</v>
      </c>
      <c r="R758" s="102"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3" t="s">
        <v>2364</v>
      </c>
      <c r="L759" s="21" t="s">
        <v>2364</v>
      </c>
      <c r="M759" s="21" t="s">
        <v>2364</v>
      </c>
      <c r="N759" s="21" t="s">
        <v>2364</v>
      </c>
      <c r="O759" s="21" t="s">
        <v>2364</v>
      </c>
      <c r="P759" s="21" t="s">
        <v>2364</v>
      </c>
      <c r="Q759" s="102" t="s">
        <v>2276</v>
      </c>
      <c r="R759" s="102"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3" t="s">
        <v>2364</v>
      </c>
      <c r="L760" s="21" t="s">
        <v>2364</v>
      </c>
      <c r="M760" s="21" t="s">
        <v>2364</v>
      </c>
      <c r="N760" s="21" t="s">
        <v>2364</v>
      </c>
      <c r="O760" s="21" t="s">
        <v>2364</v>
      </c>
      <c r="P760" s="21" t="s">
        <v>2364</v>
      </c>
      <c r="Q760" s="102" t="s">
        <v>2276</v>
      </c>
      <c r="R760" s="102"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3" t="s">
        <v>2276</v>
      </c>
      <c r="L761" s="21" t="s">
        <v>2276</v>
      </c>
      <c r="M761" s="21" t="s">
        <v>2276</v>
      </c>
      <c r="N761" s="21" t="s">
        <v>2276</v>
      </c>
      <c r="O761" s="21" t="s">
        <v>2276</v>
      </c>
      <c r="P761" s="21" t="s">
        <v>2276</v>
      </c>
      <c r="Q761" s="102" t="s">
        <v>2276</v>
      </c>
      <c r="R761" s="102"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3" t="s">
        <v>2276</v>
      </c>
      <c r="L762" s="21" t="s">
        <v>2276</v>
      </c>
      <c r="M762" s="21" t="s">
        <v>2276</v>
      </c>
      <c r="N762" s="21" t="s">
        <v>2276</v>
      </c>
      <c r="O762" s="21" t="s">
        <v>2276</v>
      </c>
      <c r="P762" s="21" t="s">
        <v>2276</v>
      </c>
      <c r="Q762" s="102" t="s">
        <v>2276</v>
      </c>
      <c r="R762" s="102"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3" t="s">
        <v>2276</v>
      </c>
      <c r="L763" s="21" t="s">
        <v>2276</v>
      </c>
      <c r="M763" s="21" t="s">
        <v>2276</v>
      </c>
      <c r="N763" s="21" t="s">
        <v>2276</v>
      </c>
      <c r="O763" s="21" t="s">
        <v>2276</v>
      </c>
      <c r="P763" s="21" t="s">
        <v>2276</v>
      </c>
      <c r="Q763" s="102" t="s">
        <v>2276</v>
      </c>
      <c r="R763" s="102"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3" t="s">
        <v>2276</v>
      </c>
      <c r="L764" s="21" t="s">
        <v>2276</v>
      </c>
      <c r="M764" s="21" t="s">
        <v>2276</v>
      </c>
      <c r="N764" s="21" t="s">
        <v>2276</v>
      </c>
      <c r="O764" s="21" t="s">
        <v>2276</v>
      </c>
      <c r="P764" s="21" t="s">
        <v>2276</v>
      </c>
      <c r="Q764" s="102" t="s">
        <v>2276</v>
      </c>
      <c r="R764" s="102"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3" t="s">
        <v>2276</v>
      </c>
      <c r="L765" s="21" t="s">
        <v>2276</v>
      </c>
      <c r="M765" s="21" t="s">
        <v>2276</v>
      </c>
      <c r="N765" s="21" t="s">
        <v>2276</v>
      </c>
      <c r="O765" s="21" t="s">
        <v>2276</v>
      </c>
      <c r="P765" s="21" t="s">
        <v>2276</v>
      </c>
      <c r="Q765" s="102" t="s">
        <v>2276</v>
      </c>
      <c r="R765" s="102"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3" t="s">
        <v>2276</v>
      </c>
      <c r="L766" s="21" t="s">
        <v>2276</v>
      </c>
      <c r="M766" s="21" t="s">
        <v>2276</v>
      </c>
      <c r="N766" s="21" t="s">
        <v>2276</v>
      </c>
      <c r="O766" s="21" t="s">
        <v>2276</v>
      </c>
      <c r="P766" s="21" t="s">
        <v>2276</v>
      </c>
      <c r="Q766" s="102" t="s">
        <v>2276</v>
      </c>
      <c r="R766" s="102"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3" t="s">
        <v>2276</v>
      </c>
      <c r="L767" s="21" t="s">
        <v>2276</v>
      </c>
      <c r="M767" s="21" t="s">
        <v>2276</v>
      </c>
      <c r="N767" s="21" t="s">
        <v>2276</v>
      </c>
      <c r="O767" s="21" t="s">
        <v>2276</v>
      </c>
      <c r="P767" s="21" t="s">
        <v>2276</v>
      </c>
      <c r="Q767" s="102" t="s">
        <v>2276</v>
      </c>
      <c r="R767" s="102"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3" t="s">
        <v>2276</v>
      </c>
      <c r="L768" s="21" t="s">
        <v>2276</v>
      </c>
      <c r="M768" s="21" t="s">
        <v>2276</v>
      </c>
      <c r="N768" s="21" t="s">
        <v>2276</v>
      </c>
      <c r="O768" s="21" t="s">
        <v>2276</v>
      </c>
      <c r="P768" s="21" t="s">
        <v>2276</v>
      </c>
      <c r="Q768" s="102" t="s">
        <v>2276</v>
      </c>
      <c r="R768" s="102"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3" t="s">
        <v>2276</v>
      </c>
      <c r="L769" s="21" t="s">
        <v>2276</v>
      </c>
      <c r="M769" s="21" t="s">
        <v>2276</v>
      </c>
      <c r="N769" s="21" t="s">
        <v>2362</v>
      </c>
      <c r="O769" s="21" t="s">
        <v>2276</v>
      </c>
      <c r="P769" s="21" t="s">
        <v>2276</v>
      </c>
      <c r="Q769" s="102" t="s">
        <v>2276</v>
      </c>
      <c r="R769" s="102"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3" t="s">
        <v>2276</v>
      </c>
      <c r="L770" s="21" t="s">
        <v>2276</v>
      </c>
      <c r="M770" s="21" t="s">
        <v>2276</v>
      </c>
      <c r="N770" s="21" t="s">
        <v>2362</v>
      </c>
      <c r="O770" s="21" t="s">
        <v>2276</v>
      </c>
      <c r="P770" s="21" t="s">
        <v>2276</v>
      </c>
      <c r="Q770" s="102" t="s">
        <v>2276</v>
      </c>
      <c r="R770" s="102"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3" t="s">
        <v>2276</v>
      </c>
      <c r="L771" s="21" t="s">
        <v>2276</v>
      </c>
      <c r="M771" s="21" t="s">
        <v>2276</v>
      </c>
      <c r="N771" s="21" t="s">
        <v>2362</v>
      </c>
      <c r="O771" s="21" t="s">
        <v>2276</v>
      </c>
      <c r="P771" s="21" t="s">
        <v>2276</v>
      </c>
      <c r="Q771" s="102" t="s">
        <v>2276</v>
      </c>
      <c r="R771" s="102"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3" t="s">
        <v>2276</v>
      </c>
      <c r="L772" s="21" t="s">
        <v>2276</v>
      </c>
      <c r="M772" s="21" t="s">
        <v>2276</v>
      </c>
      <c r="N772" s="21" t="s">
        <v>2276</v>
      </c>
      <c r="O772" s="21" t="s">
        <v>2276</v>
      </c>
      <c r="P772" s="21" t="s">
        <v>2276</v>
      </c>
      <c r="Q772" s="102" t="s">
        <v>2276</v>
      </c>
      <c r="R772" s="102"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3" t="s">
        <v>2276</v>
      </c>
      <c r="L773" s="21" t="s">
        <v>2276</v>
      </c>
      <c r="M773" s="21" t="s">
        <v>2276</v>
      </c>
      <c r="N773" s="21" t="s">
        <v>2276</v>
      </c>
      <c r="O773" s="21" t="s">
        <v>2276</v>
      </c>
      <c r="P773" s="21" t="s">
        <v>2276</v>
      </c>
      <c r="Q773" s="102" t="s">
        <v>2276</v>
      </c>
      <c r="R773" s="102"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3" t="s">
        <v>2364</v>
      </c>
      <c r="L774" s="21" t="s">
        <v>2364</v>
      </c>
      <c r="M774" s="21" t="s">
        <v>2364</v>
      </c>
      <c r="N774" s="21" t="s">
        <v>2364</v>
      </c>
      <c r="O774" s="21" t="s">
        <v>2364</v>
      </c>
      <c r="P774" s="21" t="s">
        <v>2364</v>
      </c>
      <c r="Q774" s="102" t="s">
        <v>2276</v>
      </c>
      <c r="R774" s="102"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3" t="s">
        <v>2364</v>
      </c>
      <c r="L775" s="21" t="s">
        <v>2364</v>
      </c>
      <c r="M775" s="21" t="s">
        <v>2364</v>
      </c>
      <c r="N775" s="21" t="s">
        <v>2364</v>
      </c>
      <c r="O775" s="21" t="s">
        <v>2364</v>
      </c>
      <c r="P775" s="21" t="s">
        <v>2364</v>
      </c>
      <c r="Q775" s="102" t="s">
        <v>2276</v>
      </c>
      <c r="R775" s="102"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3" t="s">
        <v>2276</v>
      </c>
      <c r="L776" s="21" t="s">
        <v>2276</v>
      </c>
      <c r="M776" s="21" t="s">
        <v>2276</v>
      </c>
      <c r="N776" s="21" t="s">
        <v>2276</v>
      </c>
      <c r="O776" s="21" t="s">
        <v>2276</v>
      </c>
      <c r="P776" s="21" t="s">
        <v>2276</v>
      </c>
      <c r="Q776" s="102" t="s">
        <v>2276</v>
      </c>
      <c r="R776" s="102"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3" t="s">
        <v>2276</v>
      </c>
      <c r="L777" s="21" t="s">
        <v>2276</v>
      </c>
      <c r="M777" s="21" t="s">
        <v>2276</v>
      </c>
      <c r="N777" s="21" t="s">
        <v>2276</v>
      </c>
      <c r="O777" s="21" t="s">
        <v>2276</v>
      </c>
      <c r="P777" s="21" t="s">
        <v>2276</v>
      </c>
      <c r="Q777" s="102" t="s">
        <v>2276</v>
      </c>
      <c r="R777" s="102"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3" t="s">
        <v>2364</v>
      </c>
      <c r="L778" s="21" t="s">
        <v>2364</v>
      </c>
      <c r="M778" s="21" t="s">
        <v>2364</v>
      </c>
      <c r="N778" s="21" t="s">
        <v>2364</v>
      </c>
      <c r="O778" s="21" t="s">
        <v>2364</v>
      </c>
      <c r="P778" s="21" t="s">
        <v>2364</v>
      </c>
      <c r="Q778" s="102" t="s">
        <v>2276</v>
      </c>
      <c r="R778" s="102"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3" t="s">
        <v>2364</v>
      </c>
      <c r="L779" s="21" t="s">
        <v>2364</v>
      </c>
      <c r="M779" s="21" t="s">
        <v>2364</v>
      </c>
      <c r="N779" s="21" t="s">
        <v>2364</v>
      </c>
      <c r="O779" s="21" t="s">
        <v>2364</v>
      </c>
      <c r="P779" s="21" t="s">
        <v>2364</v>
      </c>
      <c r="Q779" s="102" t="s">
        <v>2276</v>
      </c>
      <c r="R779" s="102"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3" t="s">
        <v>2276</v>
      </c>
      <c r="L780" s="21" t="s">
        <v>2276</v>
      </c>
      <c r="M780" s="21" t="s">
        <v>2276</v>
      </c>
      <c r="N780" s="21" t="s">
        <v>2276</v>
      </c>
      <c r="O780" s="21" t="s">
        <v>2276</v>
      </c>
      <c r="P780" s="21" t="s">
        <v>2276</v>
      </c>
      <c r="Q780" s="102" t="s">
        <v>2276</v>
      </c>
      <c r="R780" s="102"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3" t="s">
        <v>2364</v>
      </c>
      <c r="L781" s="21" t="s">
        <v>2364</v>
      </c>
      <c r="M781" s="21" t="s">
        <v>2364</v>
      </c>
      <c r="N781" s="21" t="s">
        <v>2364</v>
      </c>
      <c r="O781" s="21" t="s">
        <v>2364</v>
      </c>
      <c r="P781" s="21" t="s">
        <v>2364</v>
      </c>
      <c r="Q781" s="102" t="s">
        <v>2276</v>
      </c>
      <c r="R781" s="102"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3" t="s">
        <v>2276</v>
      </c>
      <c r="L782" s="21" t="s">
        <v>2276</v>
      </c>
      <c r="M782" s="21" t="s">
        <v>2276</v>
      </c>
      <c r="N782" s="21" t="s">
        <v>2276</v>
      </c>
      <c r="O782" s="21" t="s">
        <v>2276</v>
      </c>
      <c r="P782" s="21" t="s">
        <v>2276</v>
      </c>
      <c r="Q782" s="102" t="s">
        <v>2276</v>
      </c>
      <c r="R782" s="102"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3" t="s">
        <v>2276</v>
      </c>
      <c r="L783" s="21" t="s">
        <v>2276</v>
      </c>
      <c r="M783" s="21" t="s">
        <v>2276</v>
      </c>
      <c r="N783" s="21" t="s">
        <v>2276</v>
      </c>
      <c r="O783" s="21" t="s">
        <v>2276</v>
      </c>
      <c r="P783" s="21" t="s">
        <v>2276</v>
      </c>
      <c r="Q783" s="102" t="s">
        <v>2276</v>
      </c>
      <c r="R783" s="102"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3" t="s">
        <v>2276</v>
      </c>
      <c r="L784" s="21" t="s">
        <v>2276</v>
      </c>
      <c r="M784" s="21" t="s">
        <v>2276</v>
      </c>
      <c r="N784" s="21" t="s">
        <v>2276</v>
      </c>
      <c r="O784" s="21" t="s">
        <v>2276</v>
      </c>
      <c r="P784" s="21" t="s">
        <v>2276</v>
      </c>
      <c r="Q784" s="102" t="s">
        <v>2276</v>
      </c>
      <c r="R784" s="102"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3"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3"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3"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3"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3"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3"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3"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3"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3" t="s">
        <v>2362</v>
      </c>
      <c r="L789" s="21" t="s">
        <v>2276</v>
      </c>
      <c r="M789" s="103" t="s">
        <v>2362</v>
      </c>
      <c r="N789" s="21" t="s">
        <v>2276</v>
      </c>
      <c r="O789" s="103" t="s">
        <v>2362</v>
      </c>
      <c r="P789" s="21" t="s">
        <v>2276</v>
      </c>
      <c r="Q789" s="103" t="s">
        <v>2362</v>
      </c>
      <c r="R789" s="21" t="s">
        <v>2276</v>
      </c>
      <c r="S789" s="21" t="s">
        <v>2276</v>
      </c>
      <c r="T789" s="21" t="s">
        <v>2276</v>
      </c>
      <c r="U789" s="21" t="s">
        <v>2276</v>
      </c>
      <c r="V789" s="21" t="s">
        <v>2276</v>
      </c>
      <c r="W789" s="103" t="s">
        <v>2402</v>
      </c>
      <c r="X789" s="21" t="s">
        <v>188</v>
      </c>
      <c r="Y789" s="21" t="s">
        <v>189</v>
      </c>
      <c r="Z789" s="74"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3" t="s">
        <v>2362</v>
      </c>
      <c r="L790" s="21" t="s">
        <v>2276</v>
      </c>
      <c r="M790" s="103" t="s">
        <v>2362</v>
      </c>
      <c r="N790" s="21" t="s">
        <v>2276</v>
      </c>
      <c r="O790" s="103" t="s">
        <v>2362</v>
      </c>
      <c r="P790" s="21" t="s">
        <v>2276</v>
      </c>
      <c r="Q790" s="103" t="s">
        <v>2362</v>
      </c>
      <c r="R790" s="21" t="s">
        <v>2276</v>
      </c>
      <c r="S790" s="21" t="s">
        <v>2276</v>
      </c>
      <c r="T790" s="21" t="s">
        <v>2276</v>
      </c>
      <c r="U790" s="21" t="s">
        <v>2276</v>
      </c>
      <c r="V790" s="21" t="s">
        <v>2276</v>
      </c>
      <c r="W790" s="103" t="s">
        <v>2402</v>
      </c>
      <c r="X790" s="21" t="s">
        <v>188</v>
      </c>
      <c r="Y790" s="21" t="s">
        <v>189</v>
      </c>
      <c r="Z790" s="74"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3" t="s">
        <v>2362</v>
      </c>
      <c r="L791" s="21" t="s">
        <v>2276</v>
      </c>
      <c r="M791" s="103" t="s">
        <v>2362</v>
      </c>
      <c r="N791" s="21" t="s">
        <v>2276</v>
      </c>
      <c r="O791" s="103" t="s">
        <v>2362</v>
      </c>
      <c r="P791" s="21" t="s">
        <v>2276</v>
      </c>
      <c r="Q791" s="103" t="s">
        <v>2362</v>
      </c>
      <c r="R791" s="21" t="s">
        <v>2276</v>
      </c>
      <c r="S791" s="21" t="s">
        <v>2276</v>
      </c>
      <c r="T791" s="21" t="s">
        <v>2276</v>
      </c>
      <c r="U791" s="21" t="s">
        <v>2276</v>
      </c>
      <c r="V791" s="21" t="s">
        <v>2276</v>
      </c>
      <c r="W791" s="103" t="s">
        <v>2402</v>
      </c>
      <c r="X791" s="21" t="s">
        <v>188</v>
      </c>
      <c r="Y791" s="21" t="s">
        <v>189</v>
      </c>
      <c r="Z791" s="74"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3" t="s">
        <v>2362</v>
      </c>
      <c r="L792" s="21" t="s">
        <v>2276</v>
      </c>
      <c r="M792" s="103" t="s">
        <v>2362</v>
      </c>
      <c r="N792" s="21" t="s">
        <v>2276</v>
      </c>
      <c r="O792" s="103" t="s">
        <v>2362</v>
      </c>
      <c r="P792" s="21" t="s">
        <v>2276</v>
      </c>
      <c r="Q792" s="103" t="s">
        <v>2362</v>
      </c>
      <c r="R792" s="21" t="s">
        <v>2276</v>
      </c>
      <c r="S792" s="21" t="s">
        <v>2276</v>
      </c>
      <c r="T792" s="21" t="s">
        <v>2276</v>
      </c>
      <c r="U792" s="21" t="s">
        <v>2276</v>
      </c>
      <c r="V792" s="21" t="s">
        <v>2276</v>
      </c>
      <c r="W792" s="103" t="s">
        <v>2402</v>
      </c>
      <c r="X792" s="21" t="s">
        <v>188</v>
      </c>
      <c r="Y792" s="21" t="s">
        <v>189</v>
      </c>
      <c r="Z792" s="74"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3" t="s">
        <v>2362</v>
      </c>
      <c r="L793" s="21" t="s">
        <v>2276</v>
      </c>
      <c r="M793" s="103" t="s">
        <v>2362</v>
      </c>
      <c r="N793" s="21" t="s">
        <v>2276</v>
      </c>
      <c r="O793" s="103" t="s">
        <v>2362</v>
      </c>
      <c r="P793" s="21" t="s">
        <v>2276</v>
      </c>
      <c r="Q793" s="103" t="s">
        <v>2362</v>
      </c>
      <c r="R793" s="21" t="s">
        <v>2276</v>
      </c>
      <c r="S793" s="21" t="s">
        <v>2276</v>
      </c>
      <c r="T793" s="21" t="s">
        <v>2276</v>
      </c>
      <c r="U793" s="21" t="s">
        <v>2276</v>
      </c>
      <c r="V793" s="21" t="s">
        <v>2276</v>
      </c>
      <c r="W793" s="103" t="s">
        <v>2402</v>
      </c>
      <c r="X793" s="21" t="s">
        <v>188</v>
      </c>
      <c r="Y793" s="21" t="s">
        <v>189</v>
      </c>
      <c r="Z793" s="74"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3" t="s">
        <v>2362</v>
      </c>
      <c r="L794" s="21" t="s">
        <v>2276</v>
      </c>
      <c r="M794" s="103" t="s">
        <v>2362</v>
      </c>
      <c r="N794" s="21" t="s">
        <v>2276</v>
      </c>
      <c r="O794" s="103" t="s">
        <v>2362</v>
      </c>
      <c r="P794" s="21" t="s">
        <v>2276</v>
      </c>
      <c r="Q794" s="103" t="s">
        <v>2362</v>
      </c>
      <c r="R794" s="21" t="s">
        <v>2276</v>
      </c>
      <c r="S794" s="21" t="s">
        <v>2276</v>
      </c>
      <c r="T794" s="21" t="s">
        <v>2276</v>
      </c>
      <c r="U794" s="21" t="s">
        <v>2276</v>
      </c>
      <c r="V794" s="21" t="s">
        <v>2276</v>
      </c>
      <c r="W794" s="103" t="s">
        <v>2402</v>
      </c>
      <c r="X794" s="21" t="s">
        <v>188</v>
      </c>
      <c r="Y794" s="21" t="s">
        <v>189</v>
      </c>
      <c r="Z794" s="74"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3" t="s">
        <v>2362</v>
      </c>
      <c r="L795" s="21" t="s">
        <v>2276</v>
      </c>
      <c r="M795" s="103" t="s">
        <v>2362</v>
      </c>
      <c r="N795" s="21" t="s">
        <v>2276</v>
      </c>
      <c r="O795" s="103" t="s">
        <v>2362</v>
      </c>
      <c r="P795" s="21" t="s">
        <v>2276</v>
      </c>
      <c r="Q795" s="103" t="s">
        <v>2362</v>
      </c>
      <c r="R795" s="21" t="s">
        <v>2276</v>
      </c>
      <c r="S795" s="21" t="s">
        <v>2276</v>
      </c>
      <c r="T795" s="21" t="s">
        <v>2276</v>
      </c>
      <c r="U795" s="21" t="s">
        <v>2276</v>
      </c>
      <c r="V795" s="21" t="s">
        <v>2276</v>
      </c>
      <c r="W795" s="103" t="s">
        <v>2402</v>
      </c>
      <c r="X795" s="21" t="s">
        <v>188</v>
      </c>
      <c r="Y795" s="21" t="s">
        <v>189</v>
      </c>
      <c r="Z795" s="74"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3" t="s">
        <v>2362</v>
      </c>
      <c r="L796" s="21" t="s">
        <v>2276</v>
      </c>
      <c r="M796" s="103" t="s">
        <v>2362</v>
      </c>
      <c r="N796" s="21" t="s">
        <v>2276</v>
      </c>
      <c r="O796" s="103" t="s">
        <v>2362</v>
      </c>
      <c r="P796" s="21" t="s">
        <v>2276</v>
      </c>
      <c r="Q796" s="103" t="s">
        <v>2362</v>
      </c>
      <c r="R796" s="21" t="s">
        <v>2276</v>
      </c>
      <c r="S796" s="21" t="s">
        <v>2276</v>
      </c>
      <c r="T796" s="21" t="s">
        <v>2276</v>
      </c>
      <c r="U796" s="21" t="s">
        <v>2276</v>
      </c>
      <c r="V796" s="21" t="s">
        <v>2276</v>
      </c>
      <c r="W796" s="103" t="s">
        <v>2402</v>
      </c>
      <c r="X796" s="21" t="s">
        <v>188</v>
      </c>
      <c r="Y796" s="21" t="s">
        <v>189</v>
      </c>
      <c r="Z796" s="74"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3" t="s">
        <v>2362</v>
      </c>
      <c r="L797" s="21" t="s">
        <v>2276</v>
      </c>
      <c r="M797" s="103" t="s">
        <v>2362</v>
      </c>
      <c r="N797" s="21" t="s">
        <v>2276</v>
      </c>
      <c r="O797" s="103" t="s">
        <v>2362</v>
      </c>
      <c r="P797" s="21" t="s">
        <v>2276</v>
      </c>
      <c r="Q797" s="103" t="s">
        <v>2362</v>
      </c>
      <c r="R797" s="21" t="s">
        <v>2276</v>
      </c>
      <c r="S797" s="21" t="s">
        <v>2276</v>
      </c>
      <c r="T797" s="21" t="s">
        <v>2276</v>
      </c>
      <c r="U797" s="21" t="s">
        <v>2276</v>
      </c>
      <c r="V797" s="21" t="s">
        <v>2276</v>
      </c>
      <c r="W797" s="103" t="s">
        <v>2402</v>
      </c>
      <c r="X797" s="21" t="s">
        <v>188</v>
      </c>
      <c r="Y797" s="21" t="s">
        <v>189</v>
      </c>
      <c r="Z797" s="74"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3" t="s">
        <v>2362</v>
      </c>
      <c r="L798" s="21" t="s">
        <v>2276</v>
      </c>
      <c r="M798" s="103" t="s">
        <v>2362</v>
      </c>
      <c r="N798" s="21" t="s">
        <v>2276</v>
      </c>
      <c r="O798" s="103" t="s">
        <v>2362</v>
      </c>
      <c r="P798" s="21" t="s">
        <v>2276</v>
      </c>
      <c r="Q798" s="103" t="s">
        <v>2362</v>
      </c>
      <c r="R798" s="21" t="s">
        <v>2276</v>
      </c>
      <c r="S798" s="21" t="s">
        <v>2276</v>
      </c>
      <c r="T798" s="21" t="s">
        <v>2276</v>
      </c>
      <c r="U798" s="21" t="s">
        <v>2276</v>
      </c>
      <c r="V798" s="21" t="s">
        <v>2276</v>
      </c>
      <c r="W798" s="103" t="s">
        <v>2402</v>
      </c>
      <c r="X798" s="21" t="s">
        <v>188</v>
      </c>
      <c r="Y798" s="21" t="s">
        <v>189</v>
      </c>
      <c r="Z798" s="74"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3" t="s">
        <v>2362</v>
      </c>
      <c r="L799" s="21" t="s">
        <v>2276</v>
      </c>
      <c r="M799" s="103" t="s">
        <v>2362</v>
      </c>
      <c r="N799" s="21" t="s">
        <v>2276</v>
      </c>
      <c r="O799" s="103" t="s">
        <v>2362</v>
      </c>
      <c r="P799" s="21" t="s">
        <v>2276</v>
      </c>
      <c r="Q799" s="103" t="s">
        <v>2362</v>
      </c>
      <c r="R799" s="21" t="s">
        <v>2276</v>
      </c>
      <c r="S799" s="21" t="s">
        <v>2276</v>
      </c>
      <c r="T799" s="21" t="s">
        <v>2276</v>
      </c>
      <c r="U799" s="21" t="s">
        <v>2276</v>
      </c>
      <c r="V799" s="21" t="s">
        <v>2276</v>
      </c>
      <c r="W799" s="103" t="s">
        <v>2402</v>
      </c>
      <c r="X799" s="21" t="s">
        <v>188</v>
      </c>
      <c r="Y799" s="21" t="s">
        <v>189</v>
      </c>
      <c r="Z799" s="74"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3" t="s">
        <v>2362</v>
      </c>
      <c r="L800" s="21" t="s">
        <v>2276</v>
      </c>
      <c r="M800" s="103" t="s">
        <v>2362</v>
      </c>
      <c r="N800" s="21" t="s">
        <v>2276</v>
      </c>
      <c r="O800" s="103" t="s">
        <v>2362</v>
      </c>
      <c r="P800" s="21" t="s">
        <v>2276</v>
      </c>
      <c r="Q800" s="103" t="s">
        <v>2362</v>
      </c>
      <c r="R800" s="21" t="s">
        <v>2276</v>
      </c>
      <c r="S800" s="21" t="s">
        <v>2276</v>
      </c>
      <c r="T800" s="21" t="s">
        <v>2276</v>
      </c>
      <c r="U800" s="21" t="s">
        <v>2276</v>
      </c>
      <c r="V800" s="21" t="s">
        <v>2276</v>
      </c>
      <c r="W800" s="103" t="s">
        <v>2402</v>
      </c>
      <c r="X800" s="21" t="s">
        <v>188</v>
      </c>
      <c r="Y800" s="21" t="s">
        <v>189</v>
      </c>
      <c r="Z800" s="74"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3" t="s">
        <v>2362</v>
      </c>
      <c r="L801" s="21" t="s">
        <v>2276</v>
      </c>
      <c r="M801" s="103" t="s">
        <v>2362</v>
      </c>
      <c r="N801" s="21" t="s">
        <v>2276</v>
      </c>
      <c r="O801" s="103" t="s">
        <v>2362</v>
      </c>
      <c r="P801" s="21" t="s">
        <v>2276</v>
      </c>
      <c r="Q801" s="103" t="s">
        <v>2362</v>
      </c>
      <c r="R801" s="21" t="s">
        <v>2276</v>
      </c>
      <c r="S801" s="21" t="s">
        <v>2276</v>
      </c>
      <c r="T801" s="21" t="s">
        <v>2276</v>
      </c>
      <c r="U801" s="21" t="s">
        <v>2276</v>
      </c>
      <c r="V801" s="21" t="s">
        <v>2276</v>
      </c>
      <c r="W801" s="103" t="s">
        <v>2402</v>
      </c>
      <c r="X801" s="21" t="s">
        <v>188</v>
      </c>
      <c r="Y801" s="21" t="s">
        <v>189</v>
      </c>
      <c r="Z801" s="74"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3" t="s">
        <v>2362</v>
      </c>
      <c r="L802" s="21" t="s">
        <v>2276</v>
      </c>
      <c r="M802" s="103" t="s">
        <v>2362</v>
      </c>
      <c r="N802" s="21" t="s">
        <v>2276</v>
      </c>
      <c r="O802" s="103" t="s">
        <v>2362</v>
      </c>
      <c r="P802" s="21" t="s">
        <v>2276</v>
      </c>
      <c r="Q802" s="103" t="s">
        <v>2362</v>
      </c>
      <c r="R802" s="21" t="s">
        <v>2276</v>
      </c>
      <c r="S802" s="21" t="s">
        <v>2276</v>
      </c>
      <c r="T802" s="21" t="s">
        <v>2276</v>
      </c>
      <c r="U802" s="21" t="s">
        <v>2276</v>
      </c>
      <c r="V802" s="21" t="s">
        <v>2276</v>
      </c>
      <c r="W802" s="103" t="s">
        <v>2402</v>
      </c>
      <c r="X802" s="21" t="s">
        <v>188</v>
      </c>
      <c r="Y802" s="21" t="s">
        <v>189</v>
      </c>
      <c r="Z802" s="74"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3" t="s">
        <v>2362</v>
      </c>
      <c r="L803" s="21" t="s">
        <v>2276</v>
      </c>
      <c r="M803" s="103" t="s">
        <v>2362</v>
      </c>
      <c r="N803" s="21" t="s">
        <v>2276</v>
      </c>
      <c r="O803" s="103" t="s">
        <v>2362</v>
      </c>
      <c r="P803" s="21" t="s">
        <v>2276</v>
      </c>
      <c r="Q803" s="103" t="s">
        <v>2362</v>
      </c>
      <c r="R803" s="21" t="s">
        <v>2276</v>
      </c>
      <c r="S803" s="21" t="s">
        <v>2276</v>
      </c>
      <c r="T803" s="21" t="s">
        <v>2276</v>
      </c>
      <c r="U803" s="21" t="s">
        <v>2276</v>
      </c>
      <c r="V803" s="21" t="s">
        <v>2276</v>
      </c>
      <c r="W803" s="103" t="s">
        <v>2402</v>
      </c>
      <c r="X803" s="21" t="s">
        <v>188</v>
      </c>
      <c r="Y803" s="21" t="s">
        <v>189</v>
      </c>
      <c r="Z803" s="74"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3" t="s">
        <v>2362</v>
      </c>
      <c r="L804" s="21" t="s">
        <v>2276</v>
      </c>
      <c r="M804" s="103" t="s">
        <v>2362</v>
      </c>
      <c r="N804" s="21" t="s">
        <v>2276</v>
      </c>
      <c r="O804" s="103" t="s">
        <v>2362</v>
      </c>
      <c r="P804" s="21" t="s">
        <v>2276</v>
      </c>
      <c r="Q804" s="103" t="s">
        <v>2362</v>
      </c>
      <c r="R804" s="21" t="s">
        <v>2276</v>
      </c>
      <c r="S804" s="21" t="s">
        <v>2276</v>
      </c>
      <c r="T804" s="21" t="s">
        <v>2276</v>
      </c>
      <c r="U804" s="21" t="s">
        <v>2276</v>
      </c>
      <c r="V804" s="21" t="s">
        <v>2276</v>
      </c>
      <c r="W804" s="103" t="s">
        <v>2402</v>
      </c>
      <c r="X804" s="21" t="s">
        <v>188</v>
      </c>
      <c r="Y804" s="21" t="s">
        <v>189</v>
      </c>
      <c r="Z804" s="74"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3" t="s">
        <v>2374</v>
      </c>
      <c r="W805" s="103"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3" t="s">
        <v>2527</v>
      </c>
      <c r="W806" s="103"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3" t="s">
        <v>2374</v>
      </c>
      <c r="W807" s="103"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3" t="s">
        <v>2527</v>
      </c>
      <c r="W808" s="103"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8">
        <v>0</v>
      </c>
      <c r="K809" s="88">
        <v>0</v>
      </c>
      <c r="L809" s="88">
        <v>0</v>
      </c>
      <c r="M809" s="88">
        <v>0</v>
      </c>
      <c r="N809" s="88">
        <v>0</v>
      </c>
      <c r="O809" s="88">
        <v>0</v>
      </c>
      <c r="P809" s="88">
        <v>0</v>
      </c>
      <c r="Q809" s="88">
        <v>0</v>
      </c>
      <c r="R809" s="88">
        <v>0</v>
      </c>
      <c r="S809" s="88">
        <v>0</v>
      </c>
      <c r="T809" s="88">
        <v>0</v>
      </c>
      <c r="U809" s="88">
        <v>0</v>
      </c>
      <c r="V809" s="88">
        <v>0</v>
      </c>
      <c r="W809" s="88">
        <v>0</v>
      </c>
      <c r="X809" s="88" t="s">
        <v>2276</v>
      </c>
      <c r="Y809" s="88" t="s">
        <v>2276</v>
      </c>
      <c r="Z809" s="88" t="s">
        <v>2276</v>
      </c>
      <c r="AA809" s="88"/>
      <c r="AB809" s="88"/>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8">
        <v>0</v>
      </c>
      <c r="K810" s="88">
        <v>0</v>
      </c>
      <c r="L810" s="88">
        <v>0</v>
      </c>
      <c r="M810" s="88">
        <v>0</v>
      </c>
      <c r="N810" s="88">
        <v>0</v>
      </c>
      <c r="O810" s="88">
        <v>0</v>
      </c>
      <c r="P810" s="88">
        <v>0</v>
      </c>
      <c r="Q810" s="88">
        <v>0</v>
      </c>
      <c r="R810" s="88">
        <v>0</v>
      </c>
      <c r="S810" s="88">
        <v>0</v>
      </c>
      <c r="T810" s="88">
        <v>0</v>
      </c>
      <c r="U810" s="88">
        <v>0</v>
      </c>
      <c r="V810" s="88">
        <v>0</v>
      </c>
      <c r="W810" s="88">
        <v>0</v>
      </c>
      <c r="X810" s="88" t="s">
        <v>2276</v>
      </c>
      <c r="Y810" s="88" t="s">
        <v>2276</v>
      </c>
      <c r="Z810" s="88" t="s">
        <v>2276</v>
      </c>
      <c r="AA810" s="88"/>
      <c r="AB810" s="88"/>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3" t="s">
        <v>2375</v>
      </c>
      <c r="Q811" s="21" t="s">
        <v>2276</v>
      </c>
      <c r="R811" s="21" t="s">
        <v>2276</v>
      </c>
      <c r="S811" s="21" t="s">
        <v>2276</v>
      </c>
      <c r="T811" s="21" t="s">
        <v>2276</v>
      </c>
      <c r="U811" s="21" t="s">
        <v>2276</v>
      </c>
      <c r="V811" s="21" t="s">
        <v>2276</v>
      </c>
      <c r="W811" s="103"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3" t="s">
        <v>2375</v>
      </c>
      <c r="Q812" s="21" t="s">
        <v>2276</v>
      </c>
      <c r="R812" s="21" t="s">
        <v>2276</v>
      </c>
      <c r="S812" s="21" t="s">
        <v>2276</v>
      </c>
      <c r="T812" s="21" t="s">
        <v>2276</v>
      </c>
      <c r="U812" s="21" t="s">
        <v>2276</v>
      </c>
      <c r="V812" s="103" t="s">
        <v>2527</v>
      </c>
      <c r="W812" s="103"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3"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3"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3"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3"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3"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3"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3"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3" t="s">
        <v>2375</v>
      </c>
      <c r="L835" s="21" t="s">
        <v>2276</v>
      </c>
      <c r="M835" s="103" t="s">
        <v>2375</v>
      </c>
      <c r="N835" s="21" t="s">
        <v>2276</v>
      </c>
      <c r="O835" s="103" t="s">
        <v>2375</v>
      </c>
      <c r="P835" s="21" t="s">
        <v>2276</v>
      </c>
      <c r="Q835" s="103"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3" t="s">
        <v>2375</v>
      </c>
      <c r="L836" s="21" t="s">
        <v>2276</v>
      </c>
      <c r="M836" s="103" t="s">
        <v>2375</v>
      </c>
      <c r="N836" s="21" t="s">
        <v>2276</v>
      </c>
      <c r="O836" s="103" t="s">
        <v>2375</v>
      </c>
      <c r="P836" s="21" t="s">
        <v>2276</v>
      </c>
      <c r="Q836" s="103"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3" t="s">
        <v>2375</v>
      </c>
      <c r="L837" s="21" t="s">
        <v>2276</v>
      </c>
      <c r="M837" s="103" t="s">
        <v>2375</v>
      </c>
      <c r="N837" s="21" t="s">
        <v>2276</v>
      </c>
      <c r="O837" s="103" t="s">
        <v>2375</v>
      </c>
      <c r="P837" s="21" t="s">
        <v>2276</v>
      </c>
      <c r="Q837" s="103"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3" t="s">
        <v>2375</v>
      </c>
      <c r="L838" s="21" t="s">
        <v>2276</v>
      </c>
      <c r="M838" s="103" t="s">
        <v>2375</v>
      </c>
      <c r="N838" s="21" t="s">
        <v>2276</v>
      </c>
      <c r="O838" s="103" t="s">
        <v>2375</v>
      </c>
      <c r="P838" s="21" t="s">
        <v>2276</v>
      </c>
      <c r="Q838" s="103"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3" t="s">
        <v>2375</v>
      </c>
      <c r="L839" s="21" t="s">
        <v>2276</v>
      </c>
      <c r="M839" s="103" t="s">
        <v>2375</v>
      </c>
      <c r="N839" s="21" t="s">
        <v>2276</v>
      </c>
      <c r="O839" s="103" t="s">
        <v>2375</v>
      </c>
      <c r="P839" s="21" t="s">
        <v>2276</v>
      </c>
      <c r="Q839" s="103"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3" t="s">
        <v>2375</v>
      </c>
      <c r="L840" s="21" t="s">
        <v>2276</v>
      </c>
      <c r="M840" s="103" t="s">
        <v>2375</v>
      </c>
      <c r="N840" s="21" t="s">
        <v>2276</v>
      </c>
      <c r="O840" s="103" t="s">
        <v>2375</v>
      </c>
      <c r="P840" s="21" t="s">
        <v>2276</v>
      </c>
      <c r="Q840" s="103"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3" t="s">
        <v>2375</v>
      </c>
      <c r="L841" s="21" t="s">
        <v>2276</v>
      </c>
      <c r="M841" s="103" t="s">
        <v>2375</v>
      </c>
      <c r="N841" s="21" t="s">
        <v>2276</v>
      </c>
      <c r="O841" s="103" t="s">
        <v>2375</v>
      </c>
      <c r="P841" s="21" t="s">
        <v>2276</v>
      </c>
      <c r="Q841" s="103"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3" t="s">
        <v>2375</v>
      </c>
      <c r="L842" s="21" t="s">
        <v>2276</v>
      </c>
      <c r="M842" s="103" t="s">
        <v>2375</v>
      </c>
      <c r="N842" s="21" t="s">
        <v>2276</v>
      </c>
      <c r="O842" s="103" t="s">
        <v>2375</v>
      </c>
      <c r="P842" s="21" t="s">
        <v>2276</v>
      </c>
      <c r="Q842" s="103"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3" t="s">
        <v>2375</v>
      </c>
      <c r="L843" s="21" t="s">
        <v>2276</v>
      </c>
      <c r="M843" s="103" t="s">
        <v>2375</v>
      </c>
      <c r="N843" s="21" t="s">
        <v>2276</v>
      </c>
      <c r="O843" s="103" t="s">
        <v>2375</v>
      </c>
      <c r="P843" s="21" t="s">
        <v>2276</v>
      </c>
      <c r="Q843" s="103"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3" t="s">
        <v>2375</v>
      </c>
      <c r="L844" s="21" t="s">
        <v>2276</v>
      </c>
      <c r="M844" s="103" t="s">
        <v>2375</v>
      </c>
      <c r="N844" s="21" t="s">
        <v>2276</v>
      </c>
      <c r="O844" s="103" t="s">
        <v>2375</v>
      </c>
      <c r="P844" s="21" t="s">
        <v>2276</v>
      </c>
      <c r="Q844" s="103"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2"/>
      <c r="AD845" s="122"/>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2"/>
      <c r="AD846" s="122"/>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2"/>
      <c r="AD847" s="122"/>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2"/>
      <c r="AD848" s="122"/>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2"/>
      <c r="AD849" s="122"/>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3"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3"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3"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3"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4" t="s">
        <v>405</v>
      </c>
      <c r="Y864" s="74" t="s">
        <v>405</v>
      </c>
      <c r="Z864" s="74"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4" t="s">
        <v>405</v>
      </c>
      <c r="Y865" s="74" t="s">
        <v>405</v>
      </c>
      <c r="Z865" s="74"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4" t="s">
        <v>405</v>
      </c>
      <c r="Y866" s="74" t="s">
        <v>405</v>
      </c>
      <c r="Z866" s="74"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4" t="s">
        <v>405</v>
      </c>
      <c r="Y867" s="74" t="s">
        <v>405</v>
      </c>
      <c r="Z867" s="74"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4" t="s">
        <v>405</v>
      </c>
      <c r="Y868" s="74" t="s">
        <v>405</v>
      </c>
      <c r="Z868" s="74"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3"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3"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6"/>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6"/>
      <c r="AB917" s="148"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3"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3"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3"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3"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3"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7" t="s">
        <v>2377</v>
      </c>
      <c r="Q957" s="3" t="s">
        <v>2276</v>
      </c>
      <c r="R957" s="77"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7"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7"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7"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7"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7"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7"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7"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7"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7"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7"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7"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7"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7"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7">
        <v>0</v>
      </c>
      <c r="K971" s="77">
        <v>0</v>
      </c>
      <c r="L971" s="77">
        <v>0</v>
      </c>
      <c r="M971" s="77">
        <v>0</v>
      </c>
      <c r="N971" s="77">
        <v>0</v>
      </c>
      <c r="O971" s="77">
        <v>0</v>
      </c>
      <c r="P971" s="77">
        <v>0</v>
      </c>
      <c r="Q971" s="77">
        <v>0</v>
      </c>
      <c r="R971" s="77">
        <v>0</v>
      </c>
      <c r="S971" s="77">
        <v>0</v>
      </c>
      <c r="T971" s="77">
        <v>0</v>
      </c>
      <c r="U971" s="77">
        <v>0</v>
      </c>
      <c r="V971" s="77">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3">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3">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3">
        <v>2014</v>
      </c>
      <c r="J974" s="3" t="s">
        <v>2276</v>
      </c>
      <c r="K974" s="3" t="s">
        <v>2276</v>
      </c>
      <c r="L974" s="3" t="s">
        <v>2276</v>
      </c>
      <c r="M974" s="3" t="s">
        <v>2276</v>
      </c>
      <c r="N974" s="77"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3">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3">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3">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7">
        <v>0</v>
      </c>
      <c r="K978" s="77">
        <v>0</v>
      </c>
      <c r="L978" s="77">
        <v>0</v>
      </c>
      <c r="M978" s="77">
        <v>0</v>
      </c>
      <c r="N978" s="77">
        <v>0</v>
      </c>
      <c r="O978" s="77">
        <v>0</v>
      </c>
      <c r="P978" s="77">
        <v>0</v>
      </c>
      <c r="Q978" s="77">
        <v>0</v>
      </c>
      <c r="R978" s="77">
        <v>0</v>
      </c>
      <c r="S978" s="77">
        <v>0</v>
      </c>
      <c r="T978" s="77">
        <v>0</v>
      </c>
      <c r="U978" s="77">
        <v>0</v>
      </c>
      <c r="V978" s="77">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7" t="s">
        <v>2385</v>
      </c>
      <c r="O985" s="3" t="s">
        <v>2276</v>
      </c>
      <c r="P985" s="77" t="s">
        <v>2377</v>
      </c>
      <c r="Q985" s="3" t="s">
        <v>2276</v>
      </c>
      <c r="R985" s="3" t="s">
        <v>2376</v>
      </c>
      <c r="S985" s="3" t="s">
        <v>2276</v>
      </c>
      <c r="T985" s="3" t="s">
        <v>2276</v>
      </c>
      <c r="U985" s="3" t="s">
        <v>2276</v>
      </c>
      <c r="V985" s="3" t="s">
        <v>2276</v>
      </c>
      <c r="W985" s="3" t="s">
        <v>2276</v>
      </c>
      <c r="X985" s="22" t="s">
        <v>86</v>
      </c>
      <c r="Y985" s="22" t="s">
        <v>35</v>
      </c>
      <c r="Z985" s="3" t="s">
        <v>2276</v>
      </c>
      <c r="AA985" s="24"/>
      <c r="AB985" s="24" t="s">
        <v>5043</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6" t="str">
        <f>'Reported burning'!J1113</f>
        <v>ND</v>
      </c>
      <c r="K1113" s="156" t="str">
        <f>'Reported burning'!K1113</f>
        <v>ND</v>
      </c>
      <c r="L1113" s="156" t="str">
        <f>'Reported burning'!L1113</f>
        <v>ND</v>
      </c>
      <c r="M1113" s="156" t="str">
        <f>'Reported burning'!M1113</f>
        <v>ND</v>
      </c>
      <c r="N1113" s="156" t="str">
        <f>'Reported burning'!N1113</f>
        <v>ND</v>
      </c>
      <c r="O1113" s="156" t="str">
        <f>'Reported burning'!O1113</f>
        <v>ND</v>
      </c>
      <c r="P1113" s="156" t="str">
        <f>'Reported burning'!P1113</f>
        <v>ND</v>
      </c>
      <c r="Q1113" s="156" t="str">
        <f>'Reported burning'!Q1113</f>
        <v>ND</v>
      </c>
      <c r="R1113" s="156" t="str">
        <f>'Reported burning'!R1113</f>
        <v>ND</v>
      </c>
      <c r="S1113" s="156" t="str">
        <f>'Reported burning'!S1113</f>
        <v>ND</v>
      </c>
      <c r="T1113" s="156" t="str">
        <f>'Reported burning'!T1113</f>
        <v>ND</v>
      </c>
      <c r="U1113" t="s">
        <v>2389</v>
      </c>
      <c r="V1113" s="156"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6" t="str">
        <f>'Reported burning'!J1114</f>
        <v>ND</v>
      </c>
      <c r="K1114" s="156" t="str">
        <f>'Reported burning'!K1114</f>
        <v>ND</v>
      </c>
      <c r="L1114" s="156" t="str">
        <f>'Reported burning'!L1114</f>
        <v>ND</v>
      </c>
      <c r="M1114" s="156" t="str">
        <f>'Reported burning'!M1114</f>
        <v>ND</v>
      </c>
      <c r="N1114" s="156" t="str">
        <f>'Reported burning'!N1114</f>
        <v>ND</v>
      </c>
      <c r="O1114" s="156" t="str">
        <f>'Reported burning'!O1114</f>
        <v>ND</v>
      </c>
      <c r="P1114" s="156" t="str">
        <f>'Reported burning'!P1114</f>
        <v>ND</v>
      </c>
      <c r="Q1114" s="156" t="str">
        <f>'Reported burning'!Q1114</f>
        <v>ND</v>
      </c>
      <c r="R1114" s="156" t="str">
        <f>'Reported burning'!R1114</f>
        <v>ND</v>
      </c>
      <c r="S1114" s="156" t="str">
        <f>'Reported burning'!S1114</f>
        <v>ND</v>
      </c>
      <c r="T1114" s="156" t="str">
        <f>'Reported burning'!T1114</f>
        <v>ND</v>
      </c>
      <c r="U1114" s="3" t="s">
        <v>2389</v>
      </c>
      <c r="V1114" s="156"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6" t="str">
        <f>'Reported burning'!J1115</f>
        <v>ND</v>
      </c>
      <c r="K1115" s="156" t="str">
        <f>'Reported burning'!K1115</f>
        <v>ND</v>
      </c>
      <c r="L1115" s="156" t="str">
        <f>'Reported burning'!L1115</f>
        <v>ND</v>
      </c>
      <c r="M1115" s="156" t="str">
        <f>'Reported burning'!M1115</f>
        <v>ND</v>
      </c>
      <c r="N1115" s="156" t="str">
        <f>'Reported burning'!N1115</f>
        <v>ND</v>
      </c>
      <c r="O1115" s="156" t="str">
        <f>'Reported burning'!O1115</f>
        <v>ND</v>
      </c>
      <c r="P1115" s="156" t="str">
        <f>'Reported burning'!P1115</f>
        <v>ND</v>
      </c>
      <c r="Q1115" s="156" t="str">
        <f>'Reported burning'!Q1115</f>
        <v>ND</v>
      </c>
      <c r="R1115" s="156" t="str">
        <f>'Reported burning'!R1115</f>
        <v>ND</v>
      </c>
      <c r="S1115" s="156" t="str">
        <f>'Reported burning'!S1115</f>
        <v>ND</v>
      </c>
      <c r="T1115" s="156" t="str">
        <f>'Reported burning'!T1115</f>
        <v>ND</v>
      </c>
      <c r="U1115" s="3" t="s">
        <v>2389</v>
      </c>
      <c r="V1115" s="156"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6" t="str">
        <f>'Reported burning'!J1116</f>
        <v>ND</v>
      </c>
      <c r="K1116" s="156" t="str">
        <f>'Reported burning'!K1116</f>
        <v>ND</v>
      </c>
      <c r="L1116" s="156" t="str">
        <f>'Reported burning'!L1116</f>
        <v>ND</v>
      </c>
      <c r="M1116" s="156" t="str">
        <f>'Reported burning'!M1116</f>
        <v>ND</v>
      </c>
      <c r="N1116" s="156" t="str">
        <f>'Reported burning'!N1116</f>
        <v>ND</v>
      </c>
      <c r="O1116" s="156" t="str">
        <f>'Reported burning'!O1116</f>
        <v>ND</v>
      </c>
      <c r="P1116" s="156" t="str">
        <f>'Reported burning'!P1116</f>
        <v>ND</v>
      </c>
      <c r="Q1116" s="156" t="str">
        <f>'Reported burning'!Q1116</f>
        <v>ND</v>
      </c>
      <c r="R1116" s="156" t="str">
        <f>'Reported burning'!R1116</f>
        <v>ND</v>
      </c>
      <c r="S1116" s="156" t="str">
        <f>'Reported burning'!S1116</f>
        <v>ND</v>
      </c>
      <c r="T1116" s="156" t="str">
        <f>'Reported burning'!T1116</f>
        <v>ND</v>
      </c>
      <c r="U1116" s="156" t="str">
        <f>'Reported burning'!U1116</f>
        <v>ND</v>
      </c>
      <c r="V1116" s="156" t="str">
        <f>'Reported burning'!V1116</f>
        <v>ND</v>
      </c>
      <c r="W1116" s="152" t="str">
        <f>'Reported burning'!W1116</f>
        <v>ND</v>
      </c>
      <c r="X1116" s="156" t="str">
        <f>'Reported burning'!X1116</f>
        <v>ND</v>
      </c>
      <c r="Y1116" s="156" t="str">
        <f>'Reported burning'!Y1116</f>
        <v>ND</v>
      </c>
      <c r="Z1116" s="156"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6" t="str">
        <f>'Reported burning'!J1117</f>
        <v>ND</v>
      </c>
      <c r="K1117" s="156" t="str">
        <f>'Reported burning'!K1117</f>
        <v>ND</v>
      </c>
      <c r="L1117" s="156" t="str">
        <f>'Reported burning'!L1117</f>
        <v>ND</v>
      </c>
      <c r="M1117" s="156" t="str">
        <f>'Reported burning'!M1117</f>
        <v>ND</v>
      </c>
      <c r="N1117" s="156" t="str">
        <f>'Reported burning'!N1117</f>
        <v>ND</v>
      </c>
      <c r="O1117" s="156" t="str">
        <f>'Reported burning'!O1117</f>
        <v>ND</v>
      </c>
      <c r="P1117" s="156" t="str">
        <f>'Reported burning'!P1117</f>
        <v>ND</v>
      </c>
      <c r="Q1117" s="156" t="str">
        <f>'Reported burning'!Q1117</f>
        <v>ND</v>
      </c>
      <c r="R1117" s="156" t="str">
        <f>'Reported burning'!R1117</f>
        <v>ND</v>
      </c>
      <c r="S1117" s="156" t="str">
        <f>'Reported burning'!S1117</f>
        <v>ND</v>
      </c>
      <c r="T1117" s="156" t="str">
        <f>'Reported burning'!T1117</f>
        <v>ND</v>
      </c>
      <c r="U1117" s="156" t="str">
        <f>'Reported burning'!U1117</f>
        <v>ND</v>
      </c>
      <c r="V1117" s="156" t="str">
        <f>'Reported burning'!V1117</f>
        <v>ND</v>
      </c>
      <c r="W1117" s="152" t="str">
        <f>'Reported burning'!W1117</f>
        <v>ND</v>
      </c>
      <c r="X1117" s="156" t="str">
        <f>'Reported burning'!X1117</f>
        <v>ND</v>
      </c>
      <c r="Y1117" s="156" t="str">
        <f>'Reported burning'!Y1117</f>
        <v>ND</v>
      </c>
      <c r="Z1117" s="156"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6" t="str">
        <f>'Reported burning'!J1118</f>
        <v>ND</v>
      </c>
      <c r="K1118" s="156" t="str">
        <f>'Reported burning'!K1118</f>
        <v>ND</v>
      </c>
      <c r="L1118" s="156" t="str">
        <f>'Reported burning'!L1118</f>
        <v>ND</v>
      </c>
      <c r="M1118" s="156" t="str">
        <f>'Reported burning'!M1118</f>
        <v>ND</v>
      </c>
      <c r="N1118" s="156" t="str">
        <f>'Reported burning'!N1118</f>
        <v>ND</v>
      </c>
      <c r="O1118" s="156" t="str">
        <f>'Reported burning'!O1118</f>
        <v>ND</v>
      </c>
      <c r="P1118" s="156" t="str">
        <f>'Reported burning'!P1118</f>
        <v>ND</v>
      </c>
      <c r="Q1118" s="156" t="str">
        <f>'Reported burning'!Q1118</f>
        <v>ND</v>
      </c>
      <c r="R1118" s="156" t="str">
        <f>'Reported burning'!R1118</f>
        <v>ND</v>
      </c>
      <c r="S1118" s="156" t="str">
        <f>'Reported burning'!S1118</f>
        <v>ND</v>
      </c>
      <c r="T1118" s="156" t="str">
        <f>'Reported burning'!T1118</f>
        <v>ND</v>
      </c>
      <c r="U1118" s="156" t="str">
        <f>'Reported burning'!U1118</f>
        <v>ND</v>
      </c>
      <c r="V1118" s="156" t="str">
        <f>'Reported burning'!V1118</f>
        <v>ND</v>
      </c>
      <c r="W1118" s="156" t="str">
        <f>'Reported burning'!W1118</f>
        <v>ND</v>
      </c>
      <c r="X1118" s="156" t="str">
        <f>'Reported burning'!X1118</f>
        <v>ND</v>
      </c>
      <c r="Y1118" s="156" t="str">
        <f>'Reported burning'!Y1118</f>
        <v>ND</v>
      </c>
      <c r="Z1118" s="156"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6" t="str">
        <f>'Reported burning'!J1119</f>
        <v>ND</v>
      </c>
      <c r="K1119" s="156" t="str">
        <f>'Reported burning'!K1119</f>
        <v>ND</v>
      </c>
      <c r="L1119" s="156" t="str">
        <f>'Reported burning'!L1119</f>
        <v>ND</v>
      </c>
      <c r="M1119" s="156" t="str">
        <f>'Reported burning'!M1119</f>
        <v>ND</v>
      </c>
      <c r="N1119" s="156" t="str">
        <f>'Reported burning'!N1119</f>
        <v>ND</v>
      </c>
      <c r="O1119" s="156" t="str">
        <f>'Reported burning'!O1119</f>
        <v>ND</v>
      </c>
      <c r="P1119" s="156" t="str">
        <f>'Reported burning'!P1119</f>
        <v>ND</v>
      </c>
      <c r="Q1119" s="156" t="str">
        <f>'Reported burning'!Q1119</f>
        <v>ND</v>
      </c>
      <c r="R1119" s="156" t="str">
        <f>'Reported burning'!R1119</f>
        <v>ND</v>
      </c>
      <c r="S1119" s="156" t="str">
        <f>'Reported burning'!S1119</f>
        <v>ND</v>
      </c>
      <c r="T1119" s="156" t="str">
        <f>'Reported burning'!T1119</f>
        <v>ND</v>
      </c>
      <c r="U1119" s="156" t="str">
        <f>'Reported burning'!U1119</f>
        <v>ND</v>
      </c>
      <c r="V1119" s="156" t="str">
        <f>'Reported burning'!V1119</f>
        <v>ND</v>
      </c>
      <c r="W1119" s="156" t="str">
        <f>'Reported burning'!W1119</f>
        <v>ND</v>
      </c>
      <c r="X1119" s="156" t="str">
        <f>'Reported burning'!X1119</f>
        <v>ND</v>
      </c>
      <c r="Y1119" s="156" t="str">
        <f>'Reported burning'!Y1119</f>
        <v>ND</v>
      </c>
      <c r="Z1119" s="156"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6" t="str">
        <f>'Reported burning'!J1120</f>
        <v>ND</v>
      </c>
      <c r="K1120" s="156" t="str">
        <f>'Reported burning'!K1120</f>
        <v>ND</v>
      </c>
      <c r="L1120" s="156" t="str">
        <f>'Reported burning'!L1120</f>
        <v>ND</v>
      </c>
      <c r="M1120" s="156" t="str">
        <f>'Reported burning'!M1120</f>
        <v>ND</v>
      </c>
      <c r="N1120" s="156" t="str">
        <f>'Reported burning'!N1120</f>
        <v>ND</v>
      </c>
      <c r="O1120" s="156" t="str">
        <f>'Reported burning'!O1120</f>
        <v>ND</v>
      </c>
      <c r="P1120" s="156" t="str">
        <f>'Reported burning'!P1120</f>
        <v>ND</v>
      </c>
      <c r="Q1120" s="156" t="str">
        <f>'Reported burning'!Q1120</f>
        <v>ND</v>
      </c>
      <c r="R1120" s="156" t="str">
        <f>'Reported burning'!R1120</f>
        <v>ND</v>
      </c>
      <c r="S1120" s="156" t="str">
        <f>'Reported burning'!S1120</f>
        <v>ND</v>
      </c>
      <c r="T1120" s="156" t="str">
        <f>'Reported burning'!T1120</f>
        <v>ND</v>
      </c>
      <c r="U1120" s="156" t="str">
        <f>'Reported burning'!U1120</f>
        <v>ND</v>
      </c>
      <c r="V1120" s="156" t="str">
        <f>'Reported burning'!V1120</f>
        <v>ND</v>
      </c>
      <c r="W1120" s="156" t="str">
        <f>'Reported burning'!W1120</f>
        <v>ND</v>
      </c>
      <c r="X1120" s="156" t="str">
        <f>'Reported burning'!X1120</f>
        <v>ND</v>
      </c>
      <c r="Y1120" s="156" t="str">
        <f>'Reported burning'!Y1120</f>
        <v>ND</v>
      </c>
      <c r="Z1120" s="156"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6" t="str">
        <f>'Reported burning'!J1121</f>
        <v>ND</v>
      </c>
      <c r="K1121" s="156" t="str">
        <f>'Reported burning'!K1121</f>
        <v>ND</v>
      </c>
      <c r="L1121" s="156" t="str">
        <f>'Reported burning'!L1121</f>
        <v>ND</v>
      </c>
      <c r="M1121" s="156" t="str">
        <f>'Reported burning'!M1121</f>
        <v>ND</v>
      </c>
      <c r="N1121" s="156" t="str">
        <f>'Reported burning'!N1121</f>
        <v>ND</v>
      </c>
      <c r="O1121" s="156" t="str">
        <f>'Reported burning'!O1121</f>
        <v>ND</v>
      </c>
      <c r="P1121" s="156" t="str">
        <f>'Reported burning'!P1121</f>
        <v>ND</v>
      </c>
      <c r="Q1121" s="156" t="str">
        <f>'Reported burning'!Q1121</f>
        <v>ND</v>
      </c>
      <c r="R1121" s="156" t="str">
        <f>'Reported burning'!R1121</f>
        <v>ND</v>
      </c>
      <c r="S1121" s="156" t="str">
        <f>'Reported burning'!S1121</f>
        <v>ND</v>
      </c>
      <c r="T1121" s="156" t="str">
        <f>'Reported burning'!T1121</f>
        <v>ND</v>
      </c>
      <c r="U1121" s="156" t="str">
        <f>'Reported burning'!U1121</f>
        <v>ND</v>
      </c>
      <c r="V1121" s="156" t="str">
        <f>'Reported burning'!V1121</f>
        <v>ND</v>
      </c>
      <c r="W1121" s="156" t="str">
        <f>'Reported burning'!W1121</f>
        <v>ND</v>
      </c>
      <c r="X1121" s="156" t="str">
        <f>'Reported burning'!X1121</f>
        <v>ND</v>
      </c>
      <c r="Y1121" s="156" t="str">
        <f>'Reported burning'!Y1121</f>
        <v>ND</v>
      </c>
      <c r="Z1121" s="156"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2"/>
      <c r="AD1122" s="122"/>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2"/>
      <c r="AD1123" s="122"/>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2"/>
      <c r="AD1124" s="122"/>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2">
        <f>'Reported burning'!J1191</f>
        <v>0</v>
      </c>
      <c r="K1191" s="152">
        <f>'Reported burning'!K1191</f>
        <v>0</v>
      </c>
      <c r="L1191" s="152">
        <f>'Reported burning'!L1191</f>
        <v>0</v>
      </c>
      <c r="M1191" s="152">
        <f>'Reported burning'!M1191</f>
        <v>0</v>
      </c>
      <c r="N1191" s="152">
        <f>'Reported burning'!N1191</f>
        <v>0</v>
      </c>
      <c r="O1191" s="152">
        <f>'Reported burning'!O1191</f>
        <v>0</v>
      </c>
      <c r="P1191" s="152">
        <f>'Reported burning'!P1191</f>
        <v>0</v>
      </c>
      <c r="Q1191" s="152">
        <f>'Reported burning'!Q1191</f>
        <v>0</v>
      </c>
      <c r="R1191" s="152">
        <f>'Reported burning'!R1191</f>
        <v>0</v>
      </c>
      <c r="S1191" s="152">
        <f>'Reported burning'!S1191</f>
        <v>0</v>
      </c>
      <c r="T1191" s="152">
        <f>'Reported burning'!T1191</f>
        <v>0</v>
      </c>
      <c r="U1191" s="152">
        <f>'Reported burning'!U1191</f>
        <v>0</v>
      </c>
      <c r="V1191" s="152">
        <f>'Reported burning'!V1191</f>
        <v>0</v>
      </c>
      <c r="W1191" s="152">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29">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29">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7"/>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3"/>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3"/>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3"/>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3"/>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3"/>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3"/>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3"/>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3"/>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3"/>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4"/>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4"/>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4"/>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4"/>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4"/>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4"/>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4"/>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4"/>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4"/>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4"/>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4"/>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4"/>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2">
        <v>0</v>
      </c>
      <c r="K1326" s="152">
        <v>0</v>
      </c>
      <c r="L1326" s="152">
        <v>0</v>
      </c>
      <c r="M1326" s="152">
        <v>0</v>
      </c>
      <c r="N1326" s="152">
        <v>0</v>
      </c>
      <c r="O1326" s="152">
        <v>0</v>
      </c>
      <c r="P1326" s="152">
        <v>0</v>
      </c>
      <c r="Q1326" s="152">
        <v>0</v>
      </c>
      <c r="R1326" s="152">
        <v>0</v>
      </c>
      <c r="S1326" s="152">
        <v>0</v>
      </c>
      <c r="T1326" s="152">
        <v>0</v>
      </c>
      <c r="U1326" s="152">
        <v>0</v>
      </c>
      <c r="V1326" s="152">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2">
        <v>0</v>
      </c>
      <c r="K1327" s="152">
        <v>0</v>
      </c>
      <c r="L1327" s="152">
        <v>0</v>
      </c>
      <c r="M1327" s="152">
        <v>0</v>
      </c>
      <c r="N1327" s="152">
        <v>0</v>
      </c>
      <c r="O1327" s="152">
        <v>0</v>
      </c>
      <c r="P1327" s="152">
        <v>0</v>
      </c>
      <c r="Q1327" s="152">
        <v>0</v>
      </c>
      <c r="R1327" s="152">
        <v>0</v>
      </c>
      <c r="S1327" s="152">
        <v>0</v>
      </c>
      <c r="T1327" s="152">
        <v>0</v>
      </c>
      <c r="U1327" s="152">
        <v>0</v>
      </c>
      <c r="V1327" s="152">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2">
        <v>0</v>
      </c>
      <c r="K1328" s="152">
        <v>0</v>
      </c>
      <c r="L1328" s="152">
        <v>0</v>
      </c>
      <c r="M1328" s="152">
        <v>0</v>
      </c>
      <c r="N1328" s="152">
        <v>0</v>
      </c>
      <c r="O1328" s="152">
        <v>0</v>
      </c>
      <c r="P1328" s="152">
        <v>0</v>
      </c>
      <c r="Q1328" s="152">
        <v>0</v>
      </c>
      <c r="R1328" s="152">
        <v>0</v>
      </c>
      <c r="S1328" s="152">
        <v>0</v>
      </c>
      <c r="T1328" s="152">
        <v>0</v>
      </c>
      <c r="U1328" s="152">
        <v>0</v>
      </c>
      <c r="V1328" s="152">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2">
        <v>0</v>
      </c>
      <c r="K1329" s="152">
        <v>0</v>
      </c>
      <c r="L1329" s="152">
        <v>0</v>
      </c>
      <c r="M1329" s="152">
        <v>0</v>
      </c>
      <c r="N1329" s="152">
        <v>0</v>
      </c>
      <c r="O1329" s="152">
        <v>0</v>
      </c>
      <c r="P1329" s="152">
        <v>0</v>
      </c>
      <c r="Q1329" s="152">
        <v>0</v>
      </c>
      <c r="R1329" s="152">
        <v>0</v>
      </c>
      <c r="S1329" s="152">
        <v>0</v>
      </c>
      <c r="T1329" s="152">
        <v>0</v>
      </c>
      <c r="U1329" s="152">
        <v>0</v>
      </c>
      <c r="V1329" s="152">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2" t="str">
        <f>'Reported burning'!A1359</f>
        <v>160f</v>
      </c>
      <c r="B1359" s="152" t="str">
        <f>'Reported burning'!B1359</f>
        <v>160f.1</v>
      </c>
      <c r="C1359" s="152" t="str">
        <f>'Reported burning'!C1359</f>
        <v>Unknown</v>
      </c>
      <c r="D1359" s="152" t="str">
        <f>'Reported burning'!D1359</f>
        <v>ND</v>
      </c>
      <c r="E1359" s="152" t="str">
        <f>'Reported burning'!E1359</f>
        <v>ND</v>
      </c>
      <c r="F1359" s="152" t="str">
        <f>'Reported burning'!F1359</f>
        <v>ND</v>
      </c>
      <c r="G1359" s="152" t="str">
        <f>'Reported burning'!G1359</f>
        <v>Forest</v>
      </c>
      <c r="H1359" s="152"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2" t="str">
        <f>'Reported burning'!A1360</f>
        <v>160a</v>
      </c>
      <c r="B1360" s="152" t="str">
        <f>'Reported burning'!B1360</f>
        <v>160a.2</v>
      </c>
      <c r="C1360" s="152" t="str">
        <f>'Reported burning'!C1360</f>
        <v>Unknown</v>
      </c>
      <c r="D1360" s="152" t="str">
        <f>'Reported burning'!D1360</f>
        <v>ND</v>
      </c>
      <c r="E1360" s="152" t="str">
        <f>'Reported burning'!E1360</f>
        <v>ND</v>
      </c>
      <c r="F1360" s="152" t="str">
        <f>'Reported burning'!F1360</f>
        <v>ND</v>
      </c>
      <c r="G1360" s="152" t="str">
        <f>'Reported burning'!G1360</f>
        <v>Cropland</v>
      </c>
      <c r="H1360" s="152"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2" t="str">
        <f>'Reported burning'!A1361</f>
        <v>160f</v>
      </c>
      <c r="B1361" s="152" t="str">
        <f>'Reported burning'!B1361</f>
        <v>160f.2</v>
      </c>
      <c r="C1361" s="152" t="str">
        <f>'Reported burning'!C1361</f>
        <v>Unknown</v>
      </c>
      <c r="D1361" s="152" t="str">
        <f>'Reported burning'!D1361</f>
        <v>ND</v>
      </c>
      <c r="E1361" s="152" t="str">
        <f>'Reported burning'!E1361</f>
        <v>ND</v>
      </c>
      <c r="F1361" s="152" t="str">
        <f>'Reported burning'!F1361</f>
        <v>ND</v>
      </c>
      <c r="G1361" s="152" t="str">
        <f>'Reported burning'!G1361</f>
        <v>Cropland</v>
      </c>
      <c r="H1361" s="152"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2" t="str">
        <f>'Reported burning'!A1362</f>
        <v>160a</v>
      </c>
      <c r="B1362" s="152" t="str">
        <f>'Reported burning'!B1362</f>
        <v>160a.3</v>
      </c>
      <c r="C1362" s="152" t="str">
        <f>'Reported burning'!C1362</f>
        <v>Unknown</v>
      </c>
      <c r="D1362" s="152" t="str">
        <f>'Reported burning'!D1362</f>
        <v>ND</v>
      </c>
      <c r="E1362" s="152" t="str">
        <f>'Reported burning'!E1362</f>
        <v>ND</v>
      </c>
      <c r="F1362" s="152" t="str">
        <f>'Reported burning'!F1362</f>
        <v>ND</v>
      </c>
      <c r="G1362" s="152" t="str">
        <f>'Reported burning'!G1362</f>
        <v>Shrubland (Mixed forest &amp; grassland)</v>
      </c>
      <c r="H1362" s="152"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2" t="str">
        <f>'Reported burning'!A1363</f>
        <v>160f</v>
      </c>
      <c r="B1363" s="152" t="str">
        <f>'Reported burning'!B1363</f>
        <v>160f.3</v>
      </c>
      <c r="C1363" s="152" t="str">
        <f>'Reported burning'!C1363</f>
        <v>Unknown</v>
      </c>
      <c r="D1363" s="152" t="str">
        <f>'Reported burning'!D1363</f>
        <v>ND</v>
      </c>
      <c r="E1363" s="152" t="str">
        <f>'Reported burning'!E1363</f>
        <v>ND</v>
      </c>
      <c r="F1363" s="152" t="str">
        <f>'Reported burning'!F1363</f>
        <v>ND</v>
      </c>
      <c r="G1363" s="152" t="str">
        <f>'Reported burning'!G1363</f>
        <v>Shrubland (Mixed forest &amp; grassland)</v>
      </c>
      <c r="H1363" s="152"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2" t="str">
        <f>'Reported burning'!A1364</f>
        <v>161a</v>
      </c>
      <c r="B1364" s="152" t="str">
        <f>'Reported burning'!B1364</f>
        <v>161a.1</v>
      </c>
      <c r="C1364" s="152" t="str">
        <f>'Reported burning'!C1364</f>
        <v>Human, deliberate</v>
      </c>
      <c r="D1364" s="152" t="str">
        <f>'Reported burning'!D1364</f>
        <v>Rangeland management</v>
      </c>
      <c r="E1364" s="152" t="str">
        <f>'Reported burning'!E1364</f>
        <v>Pastoralism, Migratory</v>
      </c>
      <c r="F1364" s="152" t="str">
        <f>'Reported burning'!F1364</f>
        <v>Grassland</v>
      </c>
      <c r="G1364" s="152" t="str">
        <f>'Reported burning'!G1364</f>
        <v>ND</v>
      </c>
      <c r="H1364" s="152"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2" t="str">
        <f>'Reported burning'!A1365</f>
        <v>161a</v>
      </c>
      <c r="B1365" s="152" t="str">
        <f>'Reported burning'!B1365</f>
        <v>161a.2</v>
      </c>
      <c r="C1365" s="152" t="str">
        <f>'Reported burning'!C1365</f>
        <v>Human, deliberate</v>
      </c>
      <c r="D1365" s="152" t="str">
        <f>'Reported burning'!D1365</f>
        <v>Rangeland management</v>
      </c>
      <c r="E1365" s="152" t="str">
        <f>'Reported burning'!E1365</f>
        <v>Pastoralism, Migratory</v>
      </c>
      <c r="F1365" s="152" t="str">
        <f>'Reported burning'!F1365</f>
        <v>Forest</v>
      </c>
      <c r="G1365" s="152" t="str">
        <f>'Reported burning'!G1365</f>
        <v>ND</v>
      </c>
      <c r="H1365" s="152"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2" t="str">
        <f>'Reported burning'!A1366</f>
        <v>161a</v>
      </c>
      <c r="B1366" s="152" t="str">
        <f>'Reported burning'!B1366</f>
        <v>161a.3</v>
      </c>
      <c r="C1366" s="152" t="str">
        <f>'Reported burning'!C1366</f>
        <v>Human, deliberate</v>
      </c>
      <c r="D1366" s="152" t="str">
        <f>'Reported burning'!D1366</f>
        <v>Rangeland management</v>
      </c>
      <c r="E1366" s="152" t="str">
        <f>'Reported burning'!E1366</f>
        <v>Pastoralism, Migratory</v>
      </c>
      <c r="F1366" s="152" t="str">
        <f>'Reported burning'!F1366</f>
        <v>Shrubland (Mixed forest &amp; grassland)</v>
      </c>
      <c r="G1366" s="152" t="str">
        <f>'Reported burning'!G1366</f>
        <v>ND</v>
      </c>
      <c r="H1366" s="152"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2" t="str">
        <f>'Reported burning'!A1367</f>
        <v>161a</v>
      </c>
      <c r="B1367" s="152" t="str">
        <f>'Reported burning'!B1367</f>
        <v>161a.4</v>
      </c>
      <c r="C1367" s="152" t="str">
        <f>'Reported burning'!C1367</f>
        <v>Human, accidental</v>
      </c>
      <c r="D1367" s="152" t="str">
        <f>'Reported burning'!D1367</f>
        <v>ND</v>
      </c>
      <c r="E1367" s="152" t="str">
        <f>'Reported burning'!E1367</f>
        <v>ND</v>
      </c>
      <c r="F1367" s="152" t="str">
        <f>'Reported burning'!F1367</f>
        <v>ND</v>
      </c>
      <c r="G1367" s="152" t="str">
        <f>'Reported burning'!G1367</f>
        <v>Forest</v>
      </c>
      <c r="H1367" s="152"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2" t="str">
        <f>'Reported burning'!A1368</f>
        <v>161a</v>
      </c>
      <c r="B1368" s="152" t="str">
        <f>'Reported burning'!B1368</f>
        <v>161a.5</v>
      </c>
      <c r="C1368" s="152" t="str">
        <f>'Reported burning'!C1368</f>
        <v>Human, accidental</v>
      </c>
      <c r="D1368" s="152" t="str">
        <f>'Reported burning'!D1368</f>
        <v>ND</v>
      </c>
      <c r="E1368" s="152" t="str">
        <f>'Reported burning'!E1368</f>
        <v>ND</v>
      </c>
      <c r="F1368" s="152" t="str">
        <f>'Reported burning'!F1368</f>
        <v>ND</v>
      </c>
      <c r="G1368" s="152" t="str">
        <f>'Reported burning'!G1368</f>
        <v>Forest</v>
      </c>
      <c r="H1368" s="152"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2" t="str">
        <f>'Reported burning'!A1369</f>
        <v>161a</v>
      </c>
      <c r="B1369" s="152" t="str">
        <f>'Reported burning'!B1369</f>
        <v>161a.6</v>
      </c>
      <c r="C1369" s="152" t="str">
        <f>'Reported burning'!C1369</f>
        <v>Human, accidental</v>
      </c>
      <c r="D1369" s="152" t="str">
        <f>'Reported burning'!D1369</f>
        <v>ND</v>
      </c>
      <c r="E1369" s="152" t="str">
        <f>'Reported burning'!E1369</f>
        <v>ND</v>
      </c>
      <c r="F1369" s="152" t="str">
        <f>'Reported burning'!F1369</f>
        <v>ND</v>
      </c>
      <c r="G1369" s="152" t="str">
        <f>'Reported burning'!G1369</f>
        <v>Forest</v>
      </c>
      <c r="H1369" s="152"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2" t="str">
        <f>'Reported burning'!A1370</f>
        <v>161a</v>
      </c>
      <c r="B1370" s="152" t="str">
        <f>'Reported burning'!B1370</f>
        <v>161a.7</v>
      </c>
      <c r="C1370" s="152" t="str">
        <f>'Reported burning'!C1370</f>
        <v>Human, accidental</v>
      </c>
      <c r="D1370" s="152" t="str">
        <f>'Reported burning'!D1370</f>
        <v>ND</v>
      </c>
      <c r="E1370" s="152" t="str">
        <f>'Reported burning'!E1370</f>
        <v>ND</v>
      </c>
      <c r="F1370" s="152" t="str">
        <f>'Reported burning'!F1370</f>
        <v>ND</v>
      </c>
      <c r="G1370" s="152" t="str">
        <f>'Reported burning'!G1370</f>
        <v>Forest</v>
      </c>
      <c r="H1370" s="152"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2" t="str">
        <f>'Reported burning'!A1371</f>
        <v>161a</v>
      </c>
      <c r="B1371" s="152" t="str">
        <f>'Reported burning'!B1371</f>
        <v>161a.8</v>
      </c>
      <c r="C1371" s="152" t="str">
        <f>'Reported burning'!C1371</f>
        <v>Human, accidental</v>
      </c>
      <c r="D1371" s="152" t="str">
        <f>'Reported burning'!D1371</f>
        <v>ND</v>
      </c>
      <c r="E1371" s="152" t="str">
        <f>'Reported burning'!E1371</f>
        <v>ND</v>
      </c>
      <c r="F1371" s="152" t="str">
        <f>'Reported burning'!F1371</f>
        <v>ND</v>
      </c>
      <c r="G1371" s="152" t="str">
        <f>'Reported burning'!G1371</f>
        <v>Forest</v>
      </c>
      <c r="H1371" s="152"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2" t="str">
        <f>'Reported burning'!A1372</f>
        <v>161a</v>
      </c>
      <c r="B1372" s="152" t="str">
        <f>'Reported burning'!B1372</f>
        <v>161a.9</v>
      </c>
      <c r="C1372" s="152" t="str">
        <f>'Reported burning'!C1372</f>
        <v>Lightning</v>
      </c>
      <c r="D1372" s="152" t="str">
        <f>'Reported burning'!D1372</f>
        <v>ND</v>
      </c>
      <c r="E1372" s="152" t="str">
        <f>'Reported burning'!E1372</f>
        <v>ND</v>
      </c>
      <c r="F1372" s="152" t="str">
        <f>'Reported burning'!F1372</f>
        <v>ND</v>
      </c>
      <c r="G1372" s="152" t="str">
        <f>'Reported burning'!G1372</f>
        <v>Forest</v>
      </c>
      <c r="H1372" s="152"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2" t="str">
        <f>'Reported burning'!A1373</f>
        <v>162a</v>
      </c>
      <c r="B1373" s="152" t="str">
        <f>'Reported burning'!B1373</f>
        <v>162a.1</v>
      </c>
      <c r="C1373" s="152" t="str">
        <f>'Reported burning'!C1373</f>
        <v>Human, deliberate</v>
      </c>
      <c r="D1373" s="152" t="str">
        <f>'Reported burning'!D1373</f>
        <v>Pasture renewal</v>
      </c>
      <c r="E1373" s="152" t="str">
        <f>'Reported burning'!E1373</f>
        <v>Pastoralism, Migratory</v>
      </c>
      <c r="F1373" s="152" t="str">
        <f>'Reported burning'!F1373</f>
        <v>Grassland</v>
      </c>
      <c r="G1373" s="152" t="str">
        <f>'Reported burning'!G1373</f>
        <v>ND</v>
      </c>
      <c r="H1373" s="152"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2" t="str">
        <f>'Reported burning'!A1374</f>
        <v>162a</v>
      </c>
      <c r="B1374" s="152" t="str">
        <f>'Reported burning'!B1374</f>
        <v>162a.2</v>
      </c>
      <c r="C1374" s="152" t="str">
        <f>'Reported burning'!C1374</f>
        <v>Human, deliberate</v>
      </c>
      <c r="D1374" s="152" t="str">
        <f>'Reported burning'!D1374</f>
        <v>Pasture renewal</v>
      </c>
      <c r="E1374" s="152" t="str">
        <f>'Reported burning'!E1374</f>
        <v>Cattle, Extensive</v>
      </c>
      <c r="F1374" s="152" t="str">
        <f>'Reported burning'!F1374</f>
        <v>Grassland</v>
      </c>
      <c r="G1374" s="152" t="str">
        <f>'Reported burning'!G1374</f>
        <v>ND</v>
      </c>
      <c r="H1374" s="152"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2" t="str">
        <f>'Reported burning'!A1375</f>
        <v>162b</v>
      </c>
      <c r="B1375" s="152" t="str">
        <f>'Reported burning'!B1375</f>
        <v>162b.1</v>
      </c>
      <c r="C1375" s="152" t="str">
        <f>'Reported burning'!C1375</f>
        <v>Human, deliberate</v>
      </c>
      <c r="D1375" s="152" t="str">
        <f>'Reported burning'!D1375</f>
        <v>Pasture renewal</v>
      </c>
      <c r="E1375" s="152" t="str">
        <f>'Reported burning'!E1375</f>
        <v>Pastoralism, Migratory</v>
      </c>
      <c r="F1375" s="152" t="str">
        <f>'Reported burning'!F1375</f>
        <v>Grassland</v>
      </c>
      <c r="G1375" s="152" t="str">
        <f>'Reported burning'!G1375</f>
        <v>ND</v>
      </c>
      <c r="H1375" s="152"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2" t="str">
        <f>'Reported burning'!A1376</f>
        <v>162b</v>
      </c>
      <c r="B1376" s="152" t="str">
        <f>'Reported burning'!B1376</f>
        <v>162b.2</v>
      </c>
      <c r="C1376" s="152" t="str">
        <f>'Reported burning'!C1376</f>
        <v>Human, deliberate</v>
      </c>
      <c r="D1376" s="152" t="str">
        <f>'Reported burning'!D1376</f>
        <v>Pasture renewal</v>
      </c>
      <c r="E1376" s="152" t="str">
        <f>'Reported burning'!E1376</f>
        <v>Cattle, Extensive</v>
      </c>
      <c r="F1376" s="152" t="str">
        <f>'Reported burning'!F1376</f>
        <v>Grassland</v>
      </c>
      <c r="G1376" s="152" t="str">
        <f>'Reported burning'!G1376</f>
        <v>ND</v>
      </c>
      <c r="H1376" s="152"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6" t="str">
        <f>'Reported burning'!A1377</f>
        <v>163a</v>
      </c>
      <c r="B1377" s="156" t="str">
        <f>'Reported burning'!B1377</f>
        <v>163a.1</v>
      </c>
      <c r="C1377" s="156" t="str">
        <f>'Reported burning'!C1377</f>
        <v>Human, deliberate</v>
      </c>
      <c r="D1377" s="156" t="str">
        <f>'Reported burning'!D1377</f>
        <v>Rangeland management</v>
      </c>
      <c r="E1377" s="156" t="str">
        <f>'Reported burning'!E1377</f>
        <v>Pastoralism, Migratory</v>
      </c>
      <c r="F1377" s="156" t="str">
        <f>'Reported burning'!F1377</f>
        <v>Shrubland (Mixed forest &amp; grassland)</v>
      </c>
      <c r="G1377" s="156" t="str">
        <f>'Reported burning'!G1377</f>
        <v>ND</v>
      </c>
      <c r="H1377" s="156"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2" t="str">
        <f>'Reported burning'!A1378</f>
        <v>163a</v>
      </c>
      <c r="B1378" s="152" t="str">
        <f>'Reported burning'!B1378</f>
        <v>163a.2</v>
      </c>
      <c r="C1378" s="152" t="str">
        <f>'Reported burning'!C1378</f>
        <v>Human, deliberate</v>
      </c>
      <c r="D1378" s="152" t="str">
        <f>'Reported burning'!D1378</f>
        <v>Rangeland management</v>
      </c>
      <c r="E1378" s="152" t="str">
        <f>'Reported burning'!E1378</f>
        <v>Cattle, Extensive</v>
      </c>
      <c r="F1378" s="152" t="str">
        <f>'Reported burning'!F1378</f>
        <v>Shrubland (Mixed forest &amp; grassland)</v>
      </c>
      <c r="G1378" s="152" t="str">
        <f>'Reported burning'!G1378</f>
        <v>ND</v>
      </c>
      <c r="H1378" s="152"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2" t="str">
        <f>'Reported burning'!A1379</f>
        <v>164a</v>
      </c>
      <c r="B1379" s="152" t="str">
        <f>'Reported burning'!B1379</f>
        <v>164a.1</v>
      </c>
      <c r="C1379" s="152" t="str">
        <f>'Reported burning'!C1379</f>
        <v>Human, deliberate</v>
      </c>
      <c r="D1379" s="152" t="str">
        <f>'Reported burning'!D1379</f>
        <v>Forest clearance</v>
      </c>
      <c r="E1379" s="152" t="str">
        <f>'Reported burning'!E1379</f>
        <v>Pastoralism, Migratory</v>
      </c>
      <c r="F1379" s="152" t="str">
        <f>'Reported burning'!F1379</f>
        <v>Forest</v>
      </c>
      <c r="G1379" s="152" t="str">
        <f>'Reported burning'!G1379</f>
        <v>ND</v>
      </c>
      <c r="H1379" s="152"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2" t="str">
        <f>'Reported burning'!A1380</f>
        <v>164a</v>
      </c>
      <c r="B1380" s="152" t="str">
        <f>'Reported burning'!B1380</f>
        <v>164a.2</v>
      </c>
      <c r="C1380" s="152" t="str">
        <f>'Reported burning'!C1380</f>
        <v>Human, deliberate</v>
      </c>
      <c r="D1380" s="152" t="str">
        <f>'Reported burning'!D1380</f>
        <v>Forest clearance</v>
      </c>
      <c r="E1380" s="152" t="str">
        <f>'Reported burning'!E1380</f>
        <v>Cattle, Extensive</v>
      </c>
      <c r="F1380" s="152" t="str">
        <f>'Reported burning'!F1380</f>
        <v>Forest</v>
      </c>
      <c r="G1380" s="152" t="str">
        <f>'Reported burning'!G1380</f>
        <v>ND</v>
      </c>
      <c r="H1380" s="152"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2" t="str">
        <f>'Reported burning'!A1381</f>
        <v>165a</v>
      </c>
      <c r="B1381" s="152" t="str">
        <f>'Reported burning'!B1381</f>
        <v>165a.1</v>
      </c>
      <c r="C1381" s="152" t="str">
        <f>'Reported burning'!C1381</f>
        <v>Human, deliberate</v>
      </c>
      <c r="D1381" s="152" t="str">
        <f>'Reported burning'!D1381</f>
        <v>Crop field preparation</v>
      </c>
      <c r="E1381" s="152" t="str">
        <f>'Reported burning'!E1381</f>
        <v>Mixed cropping-livestock small holder, Subsistence-oriented</v>
      </c>
      <c r="F1381" s="152" t="str">
        <f>'Reported burning'!F1381</f>
        <v>Shrubland (Mixed forest &amp; grassland)</v>
      </c>
      <c r="G1381" s="152" t="str">
        <f>'Reported burning'!G1381</f>
        <v>ND</v>
      </c>
      <c r="H1381" s="152"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2" t="str">
        <f>'Reported burning'!A1382</f>
        <v>165a</v>
      </c>
      <c r="B1382" s="152" t="str">
        <f>'Reported burning'!B1382</f>
        <v>165a.2</v>
      </c>
      <c r="C1382" s="152" t="str">
        <f>'Reported burning'!C1382</f>
        <v>Human, deliberate</v>
      </c>
      <c r="D1382" s="152" t="str">
        <f>'Reported burning'!D1382</f>
        <v>Pasture renewal</v>
      </c>
      <c r="E1382" s="152" t="str">
        <f>'Reported burning'!E1382</f>
        <v>Mixed cropping-livestock small holder, Subsistence-oriented</v>
      </c>
      <c r="F1382" s="152" t="str">
        <f>'Reported burning'!F1382</f>
        <v>Shrubland (Mixed forest &amp; grassland)</v>
      </c>
      <c r="G1382" s="152" t="str">
        <f>'Reported burning'!G1382</f>
        <v>ND</v>
      </c>
      <c r="H1382" s="152"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2" t="str">
        <f>'Reported burning'!A1383</f>
        <v>165a</v>
      </c>
      <c r="B1383" s="152" t="str">
        <f>'Reported burning'!B1383</f>
        <v>165a.3</v>
      </c>
      <c r="C1383" s="152" t="str">
        <f>'Reported burning'!C1383</f>
        <v>Human, deliberate</v>
      </c>
      <c r="D1383" s="152" t="str">
        <f>'Reported burning'!D1383</f>
        <v>Pest management</v>
      </c>
      <c r="E1383" s="152" t="str">
        <f>'Reported burning'!E1383</f>
        <v>Mixed cropping-livestock small holder, Subsistence-oriented</v>
      </c>
      <c r="F1383" s="152" t="str">
        <f>'Reported burning'!F1383</f>
        <v>Shrubland (Mixed forest &amp; grassland)</v>
      </c>
      <c r="G1383" s="152" t="str">
        <f>'Reported burning'!G1383</f>
        <v>ND</v>
      </c>
      <c r="H1383" s="152"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2" t="str">
        <f>'Reported burning'!A1384</f>
        <v>165a</v>
      </c>
      <c r="B1384" s="152" t="str">
        <f>'Reported burning'!B1384</f>
        <v>165a.4</v>
      </c>
      <c r="C1384" s="152" t="str">
        <f>'Reported burning'!C1384</f>
        <v>Human, deliberate</v>
      </c>
      <c r="D1384" s="152" t="str">
        <f>'Reported burning'!D1384</f>
        <v>Crop residue burning</v>
      </c>
      <c r="E1384" s="152" t="str">
        <f>'Reported burning'!E1384</f>
        <v>Mixed cropping-livestock small holder, Subsistence-oriented</v>
      </c>
      <c r="F1384" s="152" t="str">
        <f>'Reported burning'!F1384</f>
        <v>Cropland</v>
      </c>
      <c r="G1384" s="152" t="str">
        <f>'Reported burning'!G1384</f>
        <v>ND</v>
      </c>
      <c r="H1384" s="152"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2" t="str">
        <f>'Reported burning'!A1385</f>
        <v>165a</v>
      </c>
      <c r="B1385" s="152" t="str">
        <f>'Reported burning'!B1385</f>
        <v>165a.5</v>
      </c>
      <c r="C1385" s="152" t="str">
        <f>'Reported burning'!C1385</f>
        <v>Human, deliberate</v>
      </c>
      <c r="D1385" s="152" t="str">
        <f>'Reported burning'!D1385</f>
        <v>Forest clearance</v>
      </c>
      <c r="E1385" s="152" t="str">
        <f>'Reported burning'!E1385</f>
        <v>Mixed cropping-livestock small holder, Subsistence-oriented</v>
      </c>
      <c r="F1385" s="152" t="str">
        <f>'Reported burning'!F1385</f>
        <v>Forest</v>
      </c>
      <c r="G1385" s="152" t="str">
        <f>'Reported burning'!G1385</f>
        <v>ND</v>
      </c>
      <c r="H1385" s="152"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2" t="str">
        <f>'Reported burning'!A1386</f>
        <v>165a</v>
      </c>
      <c r="B1386" s="152" t="str">
        <f>'Reported burning'!B1386</f>
        <v>165a.6</v>
      </c>
      <c r="C1386" s="152" t="str">
        <f>'Reported burning'!C1386</f>
        <v>Human, deliberate</v>
      </c>
      <c r="D1386" s="152" t="str">
        <f>'Reported burning'!D1386</f>
        <v>Hunting</v>
      </c>
      <c r="E1386" s="152" t="str">
        <f>'Reported burning'!E1386</f>
        <v>Mixed cropping-livestock small holder, Subsistence-oriented</v>
      </c>
      <c r="F1386" s="152" t="str">
        <f>'Reported burning'!F1386</f>
        <v>Shrubland (Mixed forest &amp; grassland)</v>
      </c>
      <c r="G1386" s="152" t="str">
        <f>'Reported burning'!G1386</f>
        <v>ND</v>
      </c>
      <c r="H1386" s="152"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2" t="str">
        <f>'Reported burning'!A1387</f>
        <v>165a</v>
      </c>
      <c r="B1387" s="152" t="str">
        <f>'Reported burning'!B1387</f>
        <v>165a.7</v>
      </c>
      <c r="C1387" s="152" t="str">
        <f>'Reported burning'!C1387</f>
        <v>Human, deliberate</v>
      </c>
      <c r="D1387" s="152" t="str">
        <f>'Reported burning'!D1387</f>
        <v>Charcoal production</v>
      </c>
      <c r="E1387" s="152" t="str">
        <f>'Reported burning'!E1387</f>
        <v>Forestry, Small-scale</v>
      </c>
      <c r="F1387" s="152" t="str">
        <f>'Reported burning'!F1387</f>
        <v>Shrubland (Mixed forest &amp; grassland)</v>
      </c>
      <c r="G1387" s="152" t="str">
        <f>'Reported burning'!G1387</f>
        <v>ND</v>
      </c>
      <c r="H1387" s="152"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2" t="str">
        <f>'Reported burning'!A1388</f>
        <v>165a</v>
      </c>
      <c r="B1388" s="152" t="str">
        <f>'Reported burning'!B1388</f>
        <v>165a.8</v>
      </c>
      <c r="C1388" s="152" t="str">
        <f>'Reported burning'!C1388</f>
        <v>Human, escaped</v>
      </c>
      <c r="D1388" s="152" t="str">
        <f>'Reported burning'!D1388</f>
        <v>Charcoal production</v>
      </c>
      <c r="E1388" s="152" t="str">
        <f>'Reported burning'!E1388</f>
        <v>Forestry, Small-scale</v>
      </c>
      <c r="F1388" s="152" t="str">
        <f>'Reported burning'!F1388</f>
        <v>Shrubland (Mixed forest &amp; grassland)</v>
      </c>
      <c r="G1388" s="152" t="str">
        <f>'Reported burning'!G1388</f>
        <v>ND</v>
      </c>
      <c r="H1388" s="152"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2" t="str">
        <f>'Reported burning'!A1389</f>
        <v>165a</v>
      </c>
      <c r="B1389" s="152" t="str">
        <f>'Reported burning'!B1389</f>
        <v>165a.9</v>
      </c>
      <c r="C1389" s="152" t="str">
        <f>'Reported burning'!C1389</f>
        <v>Human, deliberate</v>
      </c>
      <c r="D1389" s="152" t="str">
        <f>'Reported burning'!D1389</f>
        <v>Harvesting of Timber</v>
      </c>
      <c r="E1389" s="152" t="str">
        <f>'Reported burning'!E1389</f>
        <v>Forestry, Small-scale</v>
      </c>
      <c r="F1389" s="152" t="str">
        <f>'Reported burning'!F1389</f>
        <v>Shrubland (Mixed forest &amp; grassland)</v>
      </c>
      <c r="G1389" s="152" t="str">
        <f>'Reported burning'!G1389</f>
        <v>ND</v>
      </c>
      <c r="H1389" s="152"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2" t="str">
        <f>'Reported burning'!A1390</f>
        <v>165a</v>
      </c>
      <c r="B1390" s="152" t="str">
        <f>'Reported burning'!B1390</f>
        <v>165a.10</v>
      </c>
      <c r="C1390" s="152" t="str">
        <f>'Reported burning'!C1390</f>
        <v>Human, deliberate</v>
      </c>
      <c r="D1390" s="152" t="str">
        <f>'Reported burning'!D1390</f>
        <v>Accessibility</v>
      </c>
      <c r="E1390" s="152" t="str">
        <f>'Reported burning'!E1390</f>
        <v>Mixed cropping-livestock small holder, Subsistence-oriented</v>
      </c>
      <c r="F1390" s="152" t="str">
        <f>'Reported burning'!F1390</f>
        <v>Shrubland (Mixed forest &amp; grassland)</v>
      </c>
      <c r="G1390" s="152" t="str">
        <f>'Reported burning'!G1390</f>
        <v>ND</v>
      </c>
      <c r="H1390" s="152"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2" t="str">
        <f>'Reported burning'!A1391</f>
        <v>165a</v>
      </c>
      <c r="B1391" s="152" t="str">
        <f>'Reported burning'!B1391</f>
        <v>165a.11</v>
      </c>
      <c r="C1391" s="152" t="str">
        <f>'Reported burning'!C1391</f>
        <v>Human, deliberate</v>
      </c>
      <c r="D1391" s="152" t="str">
        <f>'Reported burning'!D1391</f>
        <v>Harvesting of NTFP</v>
      </c>
      <c r="E1391" s="152" t="str">
        <f>'Reported burning'!E1391</f>
        <v>Forestry, Small-scale</v>
      </c>
      <c r="F1391" s="152" t="str">
        <f>'Reported burning'!F1391</f>
        <v>Forest</v>
      </c>
      <c r="G1391" s="152" t="str">
        <f>'Reported burning'!G1391</f>
        <v>ND</v>
      </c>
      <c r="H1391" s="152"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2" t="str">
        <f>'Reported burning'!A1392</f>
        <v>165a</v>
      </c>
      <c r="B1392" s="152" t="str">
        <f>'Reported burning'!B1392</f>
        <v>165a.12</v>
      </c>
      <c r="C1392" s="152" t="str">
        <f>'Reported burning'!C1392</f>
        <v>Human, deliberate</v>
      </c>
      <c r="D1392" s="152" t="str">
        <f>'Reported burning'!D1392</f>
        <v>Arson</v>
      </c>
      <c r="E1392" s="152" t="str">
        <f>'Reported burning'!E1392</f>
        <v>Mixed cropping-livestock small holder, Subsistence-oriented</v>
      </c>
      <c r="F1392" s="152" t="str">
        <f>'Reported burning'!F1392</f>
        <v>Forest</v>
      </c>
      <c r="G1392" s="152" t="str">
        <f>'Reported burning'!G1392</f>
        <v>ND</v>
      </c>
      <c r="H1392" s="152"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2" t="str">
        <f>'Reported burning'!A1393</f>
        <v>165a</v>
      </c>
      <c r="B1393" s="152" t="str">
        <f>'Reported burning'!B1393</f>
        <v>165a.13</v>
      </c>
      <c r="C1393" s="152" t="str">
        <f>'Reported burning'!C1393</f>
        <v>Human, escaped</v>
      </c>
      <c r="D1393" s="152" t="str">
        <f>'Reported burning'!D1393</f>
        <v>Domestic</v>
      </c>
      <c r="E1393" s="152" t="str">
        <f>'Reported burning'!E1393</f>
        <v>Mixed cropping-livestock small holder, Subsistence-oriented</v>
      </c>
      <c r="F1393" s="152" t="str">
        <f>'Reported burning'!F1393</f>
        <v>ND</v>
      </c>
      <c r="G1393" s="152" t="str">
        <f>'Reported burning'!G1393</f>
        <v>ND</v>
      </c>
      <c r="H1393" s="152"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2" t="str">
        <f>'Reported burning'!A1394</f>
        <v>165a</v>
      </c>
      <c r="B1394" s="152" t="str">
        <f>'Reported burning'!B1394</f>
        <v>165a.14</v>
      </c>
      <c r="C1394" s="152" t="str">
        <f>'Reported burning'!C1394</f>
        <v>Human, escaped</v>
      </c>
      <c r="D1394" s="152" t="str">
        <f>'Reported burning'!D1394</f>
        <v>Domestic</v>
      </c>
      <c r="E1394" s="152" t="str">
        <f>'Reported burning'!E1394</f>
        <v>Forestry, Small-scale</v>
      </c>
      <c r="F1394" s="152" t="str">
        <f>'Reported burning'!F1394</f>
        <v>ND</v>
      </c>
      <c r="G1394" s="152" t="str">
        <f>'Reported burning'!G1394</f>
        <v>ND</v>
      </c>
      <c r="H1394" s="152"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2" t="str">
        <f>'Reported burning'!A1395</f>
        <v>165b</v>
      </c>
      <c r="B1395" s="152" t="str">
        <f>'Reported burning'!B1395</f>
        <v>165b.1</v>
      </c>
      <c r="C1395" s="152" t="str">
        <f>'Reported burning'!C1395</f>
        <v>Human, deliberate</v>
      </c>
      <c r="D1395" s="152" t="str">
        <f>'Reported burning'!D1395</f>
        <v>Pasture renewal</v>
      </c>
      <c r="E1395" s="152" t="str">
        <f>'Reported burning'!E1395</f>
        <v>Pastoralism, Migratory</v>
      </c>
      <c r="F1395" s="152" t="str">
        <f>'Reported burning'!F1395</f>
        <v>Shrubland (Mixed forest &amp; grassland)</v>
      </c>
      <c r="G1395" s="152" t="str">
        <f>'Reported burning'!G1395</f>
        <v>ND</v>
      </c>
      <c r="H1395" s="152"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2" t="str">
        <f>'Reported burning'!A1396</f>
        <v>165b</v>
      </c>
      <c r="B1396" s="152" t="str">
        <f>'Reported burning'!B1396</f>
        <v>165b.2</v>
      </c>
      <c r="C1396" s="152" t="str">
        <f>'Reported burning'!C1396</f>
        <v>Human, deliberate</v>
      </c>
      <c r="D1396" s="152" t="str">
        <f>'Reported burning'!D1396</f>
        <v>Pasture renewal</v>
      </c>
      <c r="E1396" s="152" t="str">
        <f>'Reported burning'!E1396</f>
        <v>Cattle, Extensive</v>
      </c>
      <c r="F1396" s="152" t="str">
        <f>'Reported burning'!F1396</f>
        <v>Shrubland (Mixed forest &amp; grassland)</v>
      </c>
      <c r="G1396" s="152" t="str">
        <f>'Reported burning'!G1396</f>
        <v>ND</v>
      </c>
      <c r="H1396" s="152"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2" t="str">
        <f>'Reported burning'!A1397</f>
        <v>165b</v>
      </c>
      <c r="B1397" s="152" t="str">
        <f>'Reported burning'!B1397</f>
        <v>165b.3</v>
      </c>
      <c r="C1397" s="152" t="str">
        <f>'Reported burning'!C1397</f>
        <v>Human, deliberate</v>
      </c>
      <c r="D1397" s="152" t="str">
        <f>'Reported burning'!D1397</f>
        <v>Pest management</v>
      </c>
      <c r="E1397" s="152" t="str">
        <f>'Reported burning'!E1397</f>
        <v>Pastoralism, Migratory</v>
      </c>
      <c r="F1397" s="152" t="str">
        <f>'Reported burning'!F1397</f>
        <v>Shrubland (Mixed forest &amp; grassland)</v>
      </c>
      <c r="G1397" s="152" t="str">
        <f>'Reported burning'!G1397</f>
        <v>ND</v>
      </c>
      <c r="H1397" s="152"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2" t="str">
        <f>'Reported burning'!A1398</f>
        <v>165b</v>
      </c>
      <c r="B1398" s="152" t="str">
        <f>'Reported burning'!B1398</f>
        <v>165b.4</v>
      </c>
      <c r="C1398" s="152" t="str">
        <f>'Reported burning'!C1398</f>
        <v>Human, deliberate</v>
      </c>
      <c r="D1398" s="152" t="str">
        <f>'Reported burning'!D1398</f>
        <v>Pest management</v>
      </c>
      <c r="E1398" s="152" t="str">
        <f>'Reported burning'!E1398</f>
        <v>Cattle, Extensive</v>
      </c>
      <c r="F1398" s="152" t="str">
        <f>'Reported burning'!F1398</f>
        <v>Shrubland (Mixed forest &amp; grassland)</v>
      </c>
      <c r="G1398" s="152" t="str">
        <f>'Reported burning'!G1398</f>
        <v>ND</v>
      </c>
      <c r="H1398" s="152"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2" t="str">
        <f>'Reported burning'!A1399</f>
        <v>165b</v>
      </c>
      <c r="B1399" s="152" t="str">
        <f>'Reported burning'!B1399</f>
        <v>165b.5</v>
      </c>
      <c r="C1399" s="152" t="str">
        <f>'Reported burning'!C1399</f>
        <v>Human, deliberate</v>
      </c>
      <c r="D1399" s="152" t="str">
        <f>'Reported burning'!D1399</f>
        <v>Harvesting of NTFP</v>
      </c>
      <c r="E1399" s="152" t="str">
        <f>'Reported burning'!E1399</f>
        <v>Pastoralism, Migratory</v>
      </c>
      <c r="F1399" s="152" t="str">
        <f>'Reported burning'!F1399</f>
        <v>Forest</v>
      </c>
      <c r="G1399" s="152" t="str">
        <f>'Reported burning'!G1399</f>
        <v>ND</v>
      </c>
      <c r="H1399" s="152"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2" t="str">
        <f>'Reported burning'!A1400</f>
        <v>165b</v>
      </c>
      <c r="B1400" s="152" t="str">
        <f>'Reported burning'!B1400</f>
        <v>165b.6</v>
      </c>
      <c r="C1400" s="152" t="str">
        <f>'Reported burning'!C1400</f>
        <v>Human, deliberate</v>
      </c>
      <c r="D1400" s="152" t="str">
        <f>'Reported burning'!D1400</f>
        <v>Harvesting of NTFP</v>
      </c>
      <c r="E1400" s="152" t="str">
        <f>'Reported burning'!E1400</f>
        <v>Cattle, Extensive</v>
      </c>
      <c r="F1400" s="152" t="str">
        <f>'Reported burning'!F1400</f>
        <v>Forest</v>
      </c>
      <c r="G1400" s="152" t="str">
        <f>'Reported burning'!G1400</f>
        <v>ND</v>
      </c>
      <c r="H1400" s="152"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2" t="str">
        <f>'Reported burning'!A1401</f>
        <v>165b</v>
      </c>
      <c r="B1401" s="152" t="str">
        <f>'Reported burning'!B1401</f>
        <v>165b.7</v>
      </c>
      <c r="C1401" s="152" t="str">
        <f>'Reported burning'!C1401</f>
        <v>Human, deliberate</v>
      </c>
      <c r="D1401" s="152" t="str">
        <f>'Reported burning'!D1401</f>
        <v>Harvesting of Timber</v>
      </c>
      <c r="E1401" s="152" t="str">
        <f>'Reported burning'!E1401</f>
        <v>Pastoralism, Migratory</v>
      </c>
      <c r="F1401" s="152" t="str">
        <f>'Reported burning'!F1401</f>
        <v>Forest</v>
      </c>
      <c r="G1401" s="152" t="str">
        <f>'Reported burning'!G1401</f>
        <v>ND</v>
      </c>
      <c r="H1401" s="152"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2" t="str">
        <f>'Reported burning'!A1402</f>
        <v>165b</v>
      </c>
      <c r="B1402" s="152" t="str">
        <f>'Reported burning'!B1402</f>
        <v>165b.8</v>
      </c>
      <c r="C1402" s="152" t="str">
        <f>'Reported burning'!C1402</f>
        <v>Human, deliberate</v>
      </c>
      <c r="D1402" s="152" t="str">
        <f>'Reported burning'!D1402</f>
        <v>Harvesting of Timber</v>
      </c>
      <c r="E1402" s="152" t="str">
        <f>'Reported burning'!E1402</f>
        <v>Cattle, Extensive</v>
      </c>
      <c r="F1402" s="152" t="str">
        <f>'Reported burning'!F1402</f>
        <v>Forest</v>
      </c>
      <c r="G1402" s="152" t="str">
        <f>'Reported burning'!G1402</f>
        <v>ND</v>
      </c>
      <c r="H1402" s="152"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2" t="str">
        <f>'Reported burning'!A1403</f>
        <v>165b</v>
      </c>
      <c r="B1403" s="152" t="str">
        <f>'Reported burning'!B1403</f>
        <v>165b.9</v>
      </c>
      <c r="C1403" s="152" t="str">
        <f>'Reported burning'!C1403</f>
        <v>Human, deliberate</v>
      </c>
      <c r="D1403" s="152" t="str">
        <f>'Reported burning'!D1403</f>
        <v>Accessibility</v>
      </c>
      <c r="E1403" s="152" t="str">
        <f>'Reported burning'!E1403</f>
        <v>Pastoralism, Migratory</v>
      </c>
      <c r="F1403" s="152" t="str">
        <f>'Reported burning'!F1403</f>
        <v>Shrubland (Mixed forest &amp; grassland)</v>
      </c>
      <c r="G1403" s="152" t="str">
        <f>'Reported burning'!G1403</f>
        <v>ND</v>
      </c>
      <c r="H1403" s="152"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2" t="str">
        <f>'Reported burning'!A1404</f>
        <v>165b</v>
      </c>
      <c r="B1404" s="152" t="str">
        <f>'Reported burning'!B1404</f>
        <v>165b.10</v>
      </c>
      <c r="C1404" s="152" t="str">
        <f>'Reported burning'!C1404</f>
        <v>Human, deliberate</v>
      </c>
      <c r="D1404" s="152" t="str">
        <f>'Reported burning'!D1404</f>
        <v>Accessibility</v>
      </c>
      <c r="E1404" s="152" t="str">
        <f>'Reported burning'!E1404</f>
        <v>Cattle, Extensive</v>
      </c>
      <c r="F1404" s="152" t="str">
        <f>'Reported burning'!F1404</f>
        <v>Shrubland (Mixed forest &amp; grassland)</v>
      </c>
      <c r="G1404" s="152" t="str">
        <f>'Reported burning'!G1404</f>
        <v>ND</v>
      </c>
      <c r="H1404" s="152"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2" t="str">
        <f>'Reported burning'!A1405</f>
        <v>165b</v>
      </c>
      <c r="B1405" s="152" t="str">
        <f>'Reported burning'!B1405</f>
        <v>165b.11</v>
      </c>
      <c r="C1405" s="152" t="str">
        <f>'Reported burning'!C1405</f>
        <v>Human, escaped</v>
      </c>
      <c r="D1405" s="152" t="str">
        <f>'Reported burning'!D1405</f>
        <v>Domestic</v>
      </c>
      <c r="E1405" s="152" t="str">
        <f>'Reported burning'!E1405</f>
        <v>Pastoralism, Migratory</v>
      </c>
      <c r="F1405" s="152" t="str">
        <f>'Reported burning'!F1405</f>
        <v>ND</v>
      </c>
      <c r="G1405" s="152" t="str">
        <f>'Reported burning'!G1405</f>
        <v>ND</v>
      </c>
      <c r="H1405" s="152"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2" t="str">
        <f>'Reported burning'!A1406</f>
        <v>165b</v>
      </c>
      <c r="B1406" s="152" t="str">
        <f>'Reported burning'!B1406</f>
        <v>165b.12</v>
      </c>
      <c r="C1406" s="152" t="str">
        <f>'Reported burning'!C1406</f>
        <v>Human, escaped</v>
      </c>
      <c r="D1406" s="152" t="str">
        <f>'Reported burning'!D1406</f>
        <v>Domestic</v>
      </c>
      <c r="E1406" s="152" t="str">
        <f>'Reported burning'!E1406</f>
        <v>Cattle, Extensive</v>
      </c>
      <c r="F1406" s="152" t="str">
        <f>'Reported burning'!F1406</f>
        <v>ND</v>
      </c>
      <c r="G1406" s="152" t="str">
        <f>'Reported burning'!G1406</f>
        <v>ND</v>
      </c>
      <c r="H1406" s="152"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2" t="str">
        <f>'Reported burning'!A1407</f>
        <v>166a</v>
      </c>
      <c r="B1407" s="152" t="str">
        <f>'Reported burning'!B1407</f>
        <v>166a.1</v>
      </c>
      <c r="C1407" s="152" t="str">
        <f>'Reported burning'!C1407</f>
        <v>Human, deliberate</v>
      </c>
      <c r="D1407" s="152" t="str">
        <f>'Reported burning'!D1407</f>
        <v>Pasture renewal</v>
      </c>
      <c r="E1407" s="152" t="str">
        <f>'Reported burning'!E1407</f>
        <v>Cropping, Intensive</v>
      </c>
      <c r="F1407" s="152" t="str">
        <f>'Reported burning'!F1407</f>
        <v>Grassland</v>
      </c>
      <c r="G1407" s="152" t="str">
        <f>'Reported burning'!G1407</f>
        <v>ND</v>
      </c>
      <c r="H1407" s="152"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2" t="str">
        <f>'Reported burning'!A1408</f>
        <v>166a</v>
      </c>
      <c r="B1408" s="152" t="str">
        <f>'Reported burning'!B1408</f>
        <v>166a.2</v>
      </c>
      <c r="C1408" s="152" t="str">
        <f>'Reported burning'!C1408</f>
        <v>Human, deliberate</v>
      </c>
      <c r="D1408" s="152" t="str">
        <f>'Reported burning'!D1408</f>
        <v>Pasture renewal</v>
      </c>
      <c r="E1408" s="152" t="str">
        <f>'Reported burning'!E1408</f>
        <v>Cattle, Extensive</v>
      </c>
      <c r="F1408" s="152" t="str">
        <f>'Reported burning'!F1408</f>
        <v>Grassland</v>
      </c>
      <c r="G1408" s="152" t="str">
        <f>'Reported burning'!G1408</f>
        <v>Grassland</v>
      </c>
      <c r="H1408" s="152"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2" t="str">
        <f>'Reported burning'!A1409</f>
        <v>166a</v>
      </c>
      <c r="B1409" s="152" t="str">
        <f>'Reported burning'!B1409</f>
        <v>166a.3</v>
      </c>
      <c r="C1409" s="152" t="str">
        <f>'Reported burning'!C1409</f>
        <v>All</v>
      </c>
      <c r="D1409" s="152" t="str">
        <f>'Reported burning'!D1409</f>
        <v>ND</v>
      </c>
      <c r="E1409" s="152" t="str">
        <f>'Reported burning'!E1409</f>
        <v>Cattle, Extensive</v>
      </c>
      <c r="F1409" s="152" t="str">
        <f>'Reported burning'!F1409</f>
        <v>ND</v>
      </c>
      <c r="G1409" s="152" t="str">
        <f>'Reported burning'!G1409</f>
        <v>Grassland</v>
      </c>
      <c r="H1409" s="152"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2" t="str">
        <f>'Reported burning'!A1410</f>
        <v>166a</v>
      </c>
      <c r="B1410" s="152" t="str">
        <f>'Reported burning'!B1410</f>
        <v>166a.4</v>
      </c>
      <c r="C1410" s="152" t="str">
        <f>'Reported burning'!C1410</f>
        <v>All</v>
      </c>
      <c r="D1410" s="152" t="str">
        <f>'Reported burning'!D1410</f>
        <v>ND</v>
      </c>
      <c r="E1410" s="152" t="str">
        <f>'Reported burning'!E1410</f>
        <v>Cattle, Extensive</v>
      </c>
      <c r="F1410" s="152" t="str">
        <f>'Reported burning'!F1410</f>
        <v>ND</v>
      </c>
      <c r="G1410" s="152" t="str">
        <f>'Reported burning'!G1410</f>
        <v>Grassland</v>
      </c>
      <c r="H1410" s="152"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2" t="str">
        <f>'Reported burning'!A1411</f>
        <v>167a</v>
      </c>
      <c r="B1411" s="152" t="str">
        <f>'Reported burning'!B1411</f>
        <v>167a.1</v>
      </c>
      <c r="C1411" s="152" t="str">
        <f>'Reported burning'!C1411</f>
        <v>Human, deliberate</v>
      </c>
      <c r="D1411" s="152" t="str">
        <f>'Reported burning'!D1411</f>
        <v>Rangeland management</v>
      </c>
      <c r="E1411" s="152" t="str">
        <f>'Reported burning'!E1411</f>
        <v>Cattle, Extensive</v>
      </c>
      <c r="F1411" s="152" t="str">
        <f>'Reported burning'!F1411</f>
        <v>Shrubland (Mixed forest &amp; grassland)</v>
      </c>
      <c r="G1411" s="152" t="str">
        <f>'Reported burning'!G1411</f>
        <v>ND</v>
      </c>
      <c r="H1411" s="152"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6" t="str">
        <f>'Reported burning'!A1412</f>
        <v>168a</v>
      </c>
      <c r="B1412" s="156" t="str">
        <f>'Reported burning'!B1412</f>
        <v>168a.1</v>
      </c>
      <c r="C1412" s="156" t="str">
        <f>'Reported burning'!C1412</f>
        <v>Human, deliberate</v>
      </c>
      <c r="D1412" s="156" t="str">
        <f>'Reported burning'!D1412</f>
        <v>Pyrome management</v>
      </c>
      <c r="E1412" s="156" t="str">
        <f>'Reported burning'!E1412</f>
        <v>Biodiversity conservation</v>
      </c>
      <c r="F1412" s="156" t="str">
        <f>'Reported burning'!F1412</f>
        <v>Shrubland (Mixed forest &amp; grassland)</v>
      </c>
      <c r="G1412" s="156" t="str">
        <f>'Reported burning'!G1412</f>
        <v>ND</v>
      </c>
      <c r="H1412" s="156"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2" t="str">
        <f>'Reported burning'!A1413</f>
        <v>168a</v>
      </c>
      <c r="B1413" s="152" t="str">
        <f>'Reported burning'!B1413</f>
        <v>168a.2</v>
      </c>
      <c r="C1413" s="152" t="str">
        <f>'Reported burning'!C1413</f>
        <v>Human, deliberate</v>
      </c>
      <c r="D1413" s="152" t="str">
        <f>'Reported burning'!D1413</f>
        <v>Hunting</v>
      </c>
      <c r="E1413" s="152" t="str">
        <f>'Reported burning'!E1413</f>
        <v>Tourism manager</v>
      </c>
      <c r="F1413" s="152" t="str">
        <f>'Reported burning'!F1413</f>
        <v>Shrubland (Mixed forest &amp; grassland)</v>
      </c>
      <c r="G1413" s="152" t="str">
        <f>'Reported burning'!G1413</f>
        <v>ND</v>
      </c>
      <c r="H1413" s="152"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2" t="str">
        <f>'Reported burning'!A1414</f>
        <v>168a</v>
      </c>
      <c r="B1414" s="152" t="str">
        <f>'Reported burning'!B1414</f>
        <v>168a.3</v>
      </c>
      <c r="C1414" s="152" t="str">
        <f>'Reported burning'!C1414</f>
        <v>Human, escaped</v>
      </c>
      <c r="D1414" s="152" t="str">
        <f>'Reported burning'!D1414</f>
        <v>Hunting</v>
      </c>
      <c r="E1414" s="152" t="str">
        <f>'Reported burning'!E1414</f>
        <v>Forestry, Traditional</v>
      </c>
      <c r="F1414" s="152" t="str">
        <f>'Reported burning'!F1414</f>
        <v>Forest</v>
      </c>
      <c r="G1414" s="152" t="str">
        <f>'Reported burning'!G1414</f>
        <v>ND</v>
      </c>
      <c r="H1414" s="152"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2" t="str">
        <f>'Reported burning'!A1415</f>
        <v>168a</v>
      </c>
      <c r="B1415" s="152" t="str">
        <f>'Reported burning'!B1415</f>
        <v>168a.4</v>
      </c>
      <c r="C1415" s="152" t="str">
        <f>'Reported burning'!C1415</f>
        <v>Human, escaped</v>
      </c>
      <c r="D1415" s="152" t="str">
        <f>'Reported burning'!D1415</f>
        <v>ND</v>
      </c>
      <c r="E1415" s="152" t="str">
        <f>'Reported burning'!E1415</f>
        <v>ND</v>
      </c>
      <c r="F1415" s="152" t="str">
        <f>'Reported burning'!F1415</f>
        <v>Shrubland (Mixed forest &amp; grassland)</v>
      </c>
      <c r="G1415" s="152" t="str">
        <f>'Reported burning'!G1415</f>
        <v>ND</v>
      </c>
      <c r="H1415" s="152"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2" t="str">
        <f>'Reported burning'!A1416</f>
        <v>168b</v>
      </c>
      <c r="B1416" s="152" t="str">
        <f>'Reported burning'!B1416</f>
        <v>168b.1</v>
      </c>
      <c r="C1416" s="152" t="str">
        <f>'Reported burning'!C1416</f>
        <v>Human, deliberate</v>
      </c>
      <c r="D1416" s="152" t="str">
        <f>'Reported burning'!D1416</f>
        <v>Pyrome management</v>
      </c>
      <c r="E1416" s="152" t="str">
        <f>'Reported burning'!E1416</f>
        <v>Mixed cropping-livestock small holder, Subsistence-oriented</v>
      </c>
      <c r="F1416" s="152" t="str">
        <f>'Reported burning'!F1416</f>
        <v>Shrubland (Mixed forest &amp; grassland)</v>
      </c>
      <c r="G1416" s="152" t="str">
        <f>'Reported burning'!G1416</f>
        <v>ND</v>
      </c>
      <c r="H1416" s="152"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2" t="str">
        <f>'Reported burning'!A1417</f>
        <v>168b</v>
      </c>
      <c r="B1417" s="152" t="str">
        <f>'Reported burning'!B1417</f>
        <v>168b.2</v>
      </c>
      <c r="C1417" s="152" t="str">
        <f>'Reported burning'!C1417</f>
        <v>Human, deliberate</v>
      </c>
      <c r="D1417" s="152" t="str">
        <f>'Reported burning'!D1417</f>
        <v>Crop field preparation</v>
      </c>
      <c r="E1417" s="152" t="str">
        <f>'Reported burning'!E1417</f>
        <v>Cropping, Swidden</v>
      </c>
      <c r="F1417" s="152" t="str">
        <f>'Reported burning'!F1417</f>
        <v>Shrubland (Mixed forest &amp; grassland)</v>
      </c>
      <c r="G1417" s="152" t="str">
        <f>'Reported burning'!G1417</f>
        <v>ND</v>
      </c>
      <c r="H1417" s="152"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2" t="str">
        <f>'Reported burning'!A1418</f>
        <v>168b</v>
      </c>
      <c r="B1418" s="152" t="str">
        <f>'Reported burning'!B1418</f>
        <v>168b.3</v>
      </c>
      <c r="C1418" s="152" t="str">
        <f>'Reported burning'!C1418</f>
        <v>Human, deliberate</v>
      </c>
      <c r="D1418" s="152" t="str">
        <f>'Reported burning'!D1418</f>
        <v>Harvesting of NTFP</v>
      </c>
      <c r="E1418" s="152" t="str">
        <f>'Reported burning'!E1418</f>
        <v>Forestry, Traditional</v>
      </c>
      <c r="F1418" s="152" t="str">
        <f>'Reported burning'!F1418</f>
        <v>Shrubland (Mixed forest &amp; grassland)</v>
      </c>
      <c r="G1418" s="152" t="str">
        <f>'Reported burning'!G1418</f>
        <v>ND</v>
      </c>
      <c r="H1418" s="152"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2" t="str">
        <f>'Reported burning'!A1419</f>
        <v>168b</v>
      </c>
      <c r="B1419" s="152" t="str">
        <f>'Reported burning'!B1419</f>
        <v>168b.4</v>
      </c>
      <c r="C1419" s="152" t="str">
        <f>'Reported burning'!C1419</f>
        <v>Human, deliberate</v>
      </c>
      <c r="D1419" s="152" t="str">
        <f>'Reported burning'!D1419</f>
        <v>Harvesting of NTFP</v>
      </c>
      <c r="E1419" s="152" t="str">
        <f>'Reported burning'!E1419</f>
        <v>Forestry, Traditional</v>
      </c>
      <c r="F1419" s="152" t="str">
        <f>'Reported burning'!F1419</f>
        <v>Shrubland (Mixed forest &amp; grassland)</v>
      </c>
      <c r="G1419" s="152" t="str">
        <f>'Reported burning'!G1419</f>
        <v>ND</v>
      </c>
      <c r="H1419" s="152"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2" t="str">
        <f>'Reported burning'!A1420</f>
        <v>168b</v>
      </c>
      <c r="B1420" s="152" t="str">
        <f>'Reported burning'!B1420</f>
        <v>168b.5</v>
      </c>
      <c r="C1420" s="152" t="str">
        <f>'Reported burning'!C1420</f>
        <v>Human, deliberate</v>
      </c>
      <c r="D1420" s="152" t="str">
        <f>'Reported burning'!D1420</f>
        <v>Charcoal production</v>
      </c>
      <c r="E1420" s="152" t="str">
        <f>'Reported burning'!E1420</f>
        <v>Forestry, Small-scale</v>
      </c>
      <c r="F1420" s="152" t="str">
        <f>'Reported burning'!F1420</f>
        <v>Shrubland (Mixed forest &amp; grassland)</v>
      </c>
      <c r="G1420" s="152" t="str">
        <f>'Reported burning'!G1420</f>
        <v>ND</v>
      </c>
      <c r="H1420" s="152"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2" t="str">
        <f>'Reported burning'!A1421</f>
        <v>168b</v>
      </c>
      <c r="B1421" s="152" t="str">
        <f>'Reported burning'!B1421</f>
        <v>168b.6</v>
      </c>
      <c r="C1421" s="152" t="str">
        <f>'Reported burning'!C1421</f>
        <v>Human, deliberate</v>
      </c>
      <c r="D1421" s="152" t="str">
        <f>'Reported burning'!D1421</f>
        <v>Pest management</v>
      </c>
      <c r="E1421" s="152" t="str">
        <f>'Reported burning'!E1421</f>
        <v>ND</v>
      </c>
      <c r="F1421" s="152" t="str">
        <f>'Reported burning'!F1421</f>
        <v>Shrubland (Mixed forest &amp; grassland)</v>
      </c>
      <c r="G1421" s="152" t="str">
        <f>'Reported burning'!G1421</f>
        <v>ND</v>
      </c>
      <c r="H1421" s="152"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2" t="str">
        <f>'Reported burning'!A1422</f>
        <v>168b</v>
      </c>
      <c r="B1422" s="152" t="str">
        <f>'Reported burning'!B1422</f>
        <v>168b.7</v>
      </c>
      <c r="C1422" s="152" t="str">
        <f>'Reported burning'!C1422</f>
        <v>Human, deliberate</v>
      </c>
      <c r="D1422" s="152" t="str">
        <f>'Reported burning'!D1422</f>
        <v>Hunting</v>
      </c>
      <c r="E1422" s="152" t="str">
        <f>'Reported burning'!E1422</f>
        <v>Forestry, Traditional</v>
      </c>
      <c r="F1422" s="152" t="str">
        <f>'Reported burning'!F1422</f>
        <v>Shrubland (Mixed forest &amp; grassland)</v>
      </c>
      <c r="G1422" s="152" t="str">
        <f>'Reported burning'!G1422</f>
        <v>ND</v>
      </c>
      <c r="H1422" s="152"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2" t="str">
        <f>'Reported burning'!A1423</f>
        <v>168b</v>
      </c>
      <c r="B1423" s="152" t="str">
        <f>'Reported burning'!B1423</f>
        <v>168b.8</v>
      </c>
      <c r="C1423" s="152" t="str">
        <f>'Reported burning'!C1423</f>
        <v>Human, deliberate</v>
      </c>
      <c r="D1423" s="152" t="str">
        <f>'Reported burning'!D1423</f>
        <v>Pasture renewal</v>
      </c>
      <c r="E1423" s="152" t="str">
        <f>'Reported burning'!E1423</f>
        <v>Mixed cropping-livestock small holder, Subsistence-oriented</v>
      </c>
      <c r="F1423" s="152" t="str">
        <f>'Reported burning'!F1423</f>
        <v>Shrubland (Mixed forest &amp; grassland)</v>
      </c>
      <c r="G1423" s="152" t="str">
        <f>'Reported burning'!G1423</f>
        <v>ND</v>
      </c>
      <c r="H1423" s="152"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2" t="str">
        <f>'Reported burning'!A1424</f>
        <v>169a</v>
      </c>
      <c r="B1424" s="152" t="str">
        <f>'Reported burning'!B1424</f>
        <v>169a.1</v>
      </c>
      <c r="C1424" s="152" t="str">
        <f>'Reported burning'!C1424</f>
        <v>Human, deliberate</v>
      </c>
      <c r="D1424" s="152" t="str">
        <f>'Reported burning'!D1424</f>
        <v>Pasture renewal</v>
      </c>
      <c r="E1424" s="152" t="str">
        <f>'Reported burning'!E1424</f>
        <v>Mixed cropping-livestock small holder, Subsistence-oriented</v>
      </c>
      <c r="F1424" s="152" t="str">
        <f>'Reported burning'!F1424</f>
        <v>Shrubland (Mixed forest &amp; grassland)</v>
      </c>
      <c r="G1424" s="152" t="str">
        <f>'Reported burning'!G1424</f>
        <v>ND</v>
      </c>
      <c r="H1424" s="152"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2" t="str">
        <f>'Reported burning'!A1425</f>
        <v>169a</v>
      </c>
      <c r="B1425" s="152" t="str">
        <f>'Reported burning'!B1425</f>
        <v>169a.2</v>
      </c>
      <c r="C1425" s="152" t="str">
        <f>'Reported burning'!C1425</f>
        <v>Human, escaped</v>
      </c>
      <c r="D1425" s="152" t="str">
        <f>'Reported burning'!D1425</f>
        <v>Pasture renewal</v>
      </c>
      <c r="E1425" s="152" t="str">
        <f>'Reported burning'!E1425</f>
        <v>Mixed cropping-livestock small holder, Subsistence-oriented</v>
      </c>
      <c r="F1425" s="152" t="str">
        <f>'Reported burning'!F1425</f>
        <v>Forest</v>
      </c>
      <c r="G1425" s="152" t="str">
        <f>'Reported burning'!G1425</f>
        <v>ND</v>
      </c>
      <c r="H1425" s="152"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2" t="str">
        <f>'Reported burning'!A1426</f>
        <v>169a</v>
      </c>
      <c r="B1426" s="152" t="str">
        <f>'Reported burning'!B1426</f>
        <v>169a.3</v>
      </c>
      <c r="C1426" s="152" t="str">
        <f>'Reported burning'!C1426</f>
        <v>Human, deliberate</v>
      </c>
      <c r="D1426" s="152" t="str">
        <f>'Reported burning'!D1426</f>
        <v>Domestic</v>
      </c>
      <c r="E1426" s="152" t="str">
        <f>'Reported burning'!E1426</f>
        <v>All</v>
      </c>
      <c r="F1426" s="152" t="str">
        <f>'Reported burning'!F1426</f>
        <v>ND</v>
      </c>
      <c r="G1426" s="152" t="str">
        <f>'Reported burning'!G1426</f>
        <v>ND</v>
      </c>
      <c r="H1426" s="152"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2" t="str">
        <f>'Reported burning'!A1427</f>
        <v>169a</v>
      </c>
      <c r="B1427" s="152" t="str">
        <f>'Reported burning'!B1427</f>
        <v>169a.4</v>
      </c>
      <c r="C1427" s="152" t="str">
        <f>'Reported burning'!C1427</f>
        <v>Human, escaped</v>
      </c>
      <c r="D1427" s="152" t="str">
        <f>'Reported burning'!D1427</f>
        <v>Domestic</v>
      </c>
      <c r="E1427" s="152" t="str">
        <f>'Reported burning'!E1427</f>
        <v>All</v>
      </c>
      <c r="F1427" s="152" t="str">
        <f>'Reported burning'!F1427</f>
        <v>ND</v>
      </c>
      <c r="G1427" s="152" t="str">
        <f>'Reported burning'!G1427</f>
        <v>ND</v>
      </c>
      <c r="H1427" s="152"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2" t="str">
        <f>'Reported burning'!A1428</f>
        <v>169a</v>
      </c>
      <c r="B1428" s="152" t="str">
        <f>'Reported burning'!B1428</f>
        <v>169a.5</v>
      </c>
      <c r="C1428" s="152" t="str">
        <f>'Reported burning'!C1428</f>
        <v>Human, accidental</v>
      </c>
      <c r="D1428" s="152" t="str">
        <f>'Reported burning'!D1428</f>
        <v>Accidental</v>
      </c>
      <c r="E1428" s="152" t="str">
        <f>'Reported burning'!E1428</f>
        <v>All</v>
      </c>
      <c r="F1428" s="152" t="str">
        <f>'Reported burning'!F1428</f>
        <v>ND</v>
      </c>
      <c r="G1428" s="152" t="str">
        <f>'Reported burning'!G1428</f>
        <v>ND</v>
      </c>
      <c r="H1428" s="152"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2" t="str">
        <f>'Reported burning'!A1429</f>
        <v>169a</v>
      </c>
      <c r="B1429" s="152" t="str">
        <f>'Reported burning'!B1429</f>
        <v>169a.6</v>
      </c>
      <c r="C1429" s="152" t="str">
        <f>'Reported burning'!C1429</f>
        <v>Human, accidental</v>
      </c>
      <c r="D1429" s="152" t="str">
        <f>'Reported burning'!D1429</f>
        <v>Accidental</v>
      </c>
      <c r="E1429" s="152" t="str">
        <f>'Reported burning'!E1429</f>
        <v>Tourism manager</v>
      </c>
      <c r="F1429" s="152" t="str">
        <f>'Reported burning'!F1429</f>
        <v>ND</v>
      </c>
      <c r="G1429" s="152" t="str">
        <f>'Reported burning'!G1429</f>
        <v>ND</v>
      </c>
      <c r="H1429" s="152"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2" t="str">
        <f>'Reported burning'!A1430</f>
        <v>169a</v>
      </c>
      <c r="B1430" s="152" t="str">
        <f>'Reported burning'!B1430</f>
        <v>169a.7</v>
      </c>
      <c r="C1430" s="152" t="str">
        <f>'Reported burning'!C1430</f>
        <v>Human, deliberate</v>
      </c>
      <c r="D1430" s="152" t="str">
        <f>'Reported burning'!D1430</f>
        <v>Land clearance</v>
      </c>
      <c r="E1430" s="152" t="str">
        <f>'Reported burning'!E1430</f>
        <v>Mixed cropping-livestock small holder, Subsistence-oriented</v>
      </c>
      <c r="F1430" s="152" t="str">
        <f>'Reported burning'!F1430</f>
        <v>ND</v>
      </c>
      <c r="G1430" s="152" t="str">
        <f>'Reported burning'!G1430</f>
        <v>ND</v>
      </c>
      <c r="H1430" s="152"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2" t="str">
        <f>'Reported burning'!A1431</f>
        <v>169a</v>
      </c>
      <c r="B1431" s="152" t="str">
        <f>'Reported burning'!B1431</f>
        <v>169a.8</v>
      </c>
      <c r="C1431" s="152" t="str">
        <f>'Reported burning'!C1431</f>
        <v>Human, deliberate</v>
      </c>
      <c r="D1431" s="152" t="str">
        <f>'Reported burning'!D1431</f>
        <v>Crop residue burning</v>
      </c>
      <c r="E1431" s="152" t="str">
        <f>'Reported burning'!E1431</f>
        <v>Mixed cropping-livestock small holder, Subsistence-oriented</v>
      </c>
      <c r="F1431" s="152" t="str">
        <f>'Reported burning'!F1431</f>
        <v>ND</v>
      </c>
      <c r="G1431" s="152" t="str">
        <f>'Reported burning'!G1431</f>
        <v>ND</v>
      </c>
      <c r="H1431" s="152"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2" t="str">
        <f>'Reported burning'!A1432</f>
        <v>169a</v>
      </c>
      <c r="B1432" s="152" t="str">
        <f>'Reported burning'!B1432</f>
        <v>169a.9</v>
      </c>
      <c r="C1432" s="152" t="str">
        <f>'Reported burning'!C1432</f>
        <v>Human, deliberate</v>
      </c>
      <c r="D1432" s="152" t="str">
        <f>'Reported burning'!D1432</f>
        <v>Arson</v>
      </c>
      <c r="E1432" s="152" t="str">
        <f>'Reported burning'!E1432</f>
        <v>ND</v>
      </c>
      <c r="F1432" s="152" t="str">
        <f>'Reported burning'!F1432</f>
        <v>ND</v>
      </c>
      <c r="G1432" s="152" t="str">
        <f>'Reported burning'!G1432</f>
        <v>ND</v>
      </c>
      <c r="H1432" s="152"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69" t="s">
        <v>4280</v>
      </c>
      <c r="AB1432" s="4" t="s">
        <v>4279</v>
      </c>
    </row>
    <row r="1433" spans="1:28" ht="54.5" customHeight="1">
      <c r="A1433" s="152" t="str">
        <f>'Reported burning'!A1433</f>
        <v>169b</v>
      </c>
      <c r="B1433" s="152" t="str">
        <f>'Reported burning'!B1433</f>
        <v>169b.1</v>
      </c>
      <c r="C1433" s="152" t="str">
        <f>'Reported burning'!C1433</f>
        <v>Human, deliberate</v>
      </c>
      <c r="D1433" s="152" t="str">
        <f>'Reported burning'!D1433</f>
        <v>Pasture renewal</v>
      </c>
      <c r="E1433" s="152" t="str">
        <f>'Reported burning'!E1433</f>
        <v>Mixed cropping-livestock small holder, Subsistence-oriented</v>
      </c>
      <c r="F1433" s="152" t="str">
        <f>'Reported burning'!F1433</f>
        <v>Shrubland (Mixed forest &amp; grassland)</v>
      </c>
      <c r="G1433" s="152" t="str">
        <f>'Reported burning'!G1433</f>
        <v>ND</v>
      </c>
      <c r="H1433" s="152"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2" t="str">
        <f>'Reported burning'!A1434</f>
        <v>169b</v>
      </c>
      <c r="B1434" s="152" t="str">
        <f>'Reported burning'!B1434</f>
        <v>169b.2</v>
      </c>
      <c r="C1434" s="152" t="str">
        <f>'Reported burning'!C1434</f>
        <v>Human, escaped</v>
      </c>
      <c r="D1434" s="152" t="str">
        <f>'Reported burning'!D1434</f>
        <v>Pasture renewal</v>
      </c>
      <c r="E1434" s="152" t="str">
        <f>'Reported burning'!E1434</f>
        <v>Mixed cropping-livestock small holder, Subsistence-oriented</v>
      </c>
      <c r="F1434" s="152" t="str">
        <f>'Reported burning'!F1434</f>
        <v>Forest</v>
      </c>
      <c r="G1434" s="152" t="str">
        <f>'Reported burning'!G1434</f>
        <v>ND</v>
      </c>
      <c r="H1434" s="152"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2" t="str">
        <f>'Reported burning'!A1435</f>
        <v>169b</v>
      </c>
      <c r="B1435" s="152" t="str">
        <f>'Reported burning'!B1435</f>
        <v>169b.3</v>
      </c>
      <c r="C1435" s="152" t="str">
        <f>'Reported burning'!C1435</f>
        <v>Human, deliberate</v>
      </c>
      <c r="D1435" s="152" t="str">
        <f>'Reported burning'!D1435</f>
        <v>Domestic</v>
      </c>
      <c r="E1435" s="152" t="str">
        <f>'Reported burning'!E1435</f>
        <v>All</v>
      </c>
      <c r="F1435" s="152" t="str">
        <f>'Reported burning'!F1435</f>
        <v>ND</v>
      </c>
      <c r="G1435" s="152" t="str">
        <f>'Reported burning'!G1435</f>
        <v>ND</v>
      </c>
      <c r="H1435" s="152"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2" t="str">
        <f>'Reported burning'!A1436</f>
        <v>169b</v>
      </c>
      <c r="B1436" s="152" t="str">
        <f>'Reported burning'!B1436</f>
        <v>169b.4</v>
      </c>
      <c r="C1436" s="152" t="str">
        <f>'Reported burning'!C1436</f>
        <v>Human, escaped</v>
      </c>
      <c r="D1436" s="152" t="str">
        <f>'Reported burning'!D1436</f>
        <v>Domestic</v>
      </c>
      <c r="E1436" s="152" t="str">
        <f>'Reported burning'!E1436</f>
        <v>All</v>
      </c>
      <c r="F1436" s="152" t="str">
        <f>'Reported burning'!F1436</f>
        <v>ND</v>
      </c>
      <c r="G1436" s="152" t="str">
        <f>'Reported burning'!G1436</f>
        <v>ND</v>
      </c>
      <c r="H1436" s="152"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2" t="str">
        <f>'Reported burning'!A1437</f>
        <v>169b</v>
      </c>
      <c r="B1437" s="152" t="str">
        <f>'Reported burning'!B1437</f>
        <v>169b.5</v>
      </c>
      <c r="C1437" s="152" t="str">
        <f>'Reported burning'!C1437</f>
        <v>Human, accidental</v>
      </c>
      <c r="D1437" s="152" t="str">
        <f>'Reported burning'!D1437</f>
        <v>Accidental</v>
      </c>
      <c r="E1437" s="152" t="str">
        <f>'Reported burning'!E1437</f>
        <v>All</v>
      </c>
      <c r="F1437" s="152" t="str">
        <f>'Reported burning'!F1437</f>
        <v>ND</v>
      </c>
      <c r="G1437" s="152" t="str">
        <f>'Reported burning'!G1437</f>
        <v>ND</v>
      </c>
      <c r="H1437" s="152"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2" t="str">
        <f>'Reported burning'!A1438</f>
        <v>169b</v>
      </c>
      <c r="B1438" s="152" t="str">
        <f>'Reported burning'!B1438</f>
        <v>169b.6</v>
      </c>
      <c r="C1438" s="152" t="str">
        <f>'Reported burning'!C1438</f>
        <v>Human, accidental</v>
      </c>
      <c r="D1438" s="152" t="str">
        <f>'Reported burning'!D1438</f>
        <v>Accidental</v>
      </c>
      <c r="E1438" s="152" t="str">
        <f>'Reported burning'!E1438</f>
        <v>Tourism manager</v>
      </c>
      <c r="F1438" s="152" t="str">
        <f>'Reported burning'!F1438</f>
        <v>ND</v>
      </c>
      <c r="G1438" s="152" t="str">
        <f>'Reported burning'!G1438</f>
        <v>ND</v>
      </c>
      <c r="H1438" s="152"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2" t="str">
        <f>'Reported burning'!A1439</f>
        <v>169b</v>
      </c>
      <c r="B1439" s="152" t="str">
        <f>'Reported burning'!B1439</f>
        <v>169b.7</v>
      </c>
      <c r="C1439" s="152" t="str">
        <f>'Reported burning'!C1439</f>
        <v>Human, deliberate</v>
      </c>
      <c r="D1439" s="152" t="str">
        <f>'Reported burning'!D1439</f>
        <v>Land clearance</v>
      </c>
      <c r="E1439" s="152" t="str">
        <f>'Reported burning'!E1439</f>
        <v>Mixed cropping-livestock small holder, Subsistence-oriented</v>
      </c>
      <c r="F1439" s="152" t="str">
        <f>'Reported burning'!F1439</f>
        <v>ND</v>
      </c>
      <c r="G1439" s="152" t="str">
        <f>'Reported burning'!G1439</f>
        <v>ND</v>
      </c>
      <c r="H1439" s="152"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2" t="str">
        <f>'Reported burning'!A1440</f>
        <v>169b</v>
      </c>
      <c r="B1440" s="152" t="str">
        <f>'Reported burning'!B1440</f>
        <v>169b.8</v>
      </c>
      <c r="C1440" s="152" t="str">
        <f>'Reported burning'!C1440</f>
        <v>Human, deliberate</v>
      </c>
      <c r="D1440" s="152" t="str">
        <f>'Reported burning'!D1440</f>
        <v>Crop residue burning</v>
      </c>
      <c r="E1440" s="152" t="str">
        <f>'Reported burning'!E1440</f>
        <v>Mixed cropping-livestock small holder, Subsistence-oriented</v>
      </c>
      <c r="F1440" s="152" t="str">
        <f>'Reported burning'!F1440</f>
        <v>ND</v>
      </c>
      <c r="G1440" s="152" t="str">
        <f>'Reported burning'!G1440</f>
        <v>ND</v>
      </c>
      <c r="H1440" s="152"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2" t="str">
        <f>'Reported burning'!A1441</f>
        <v>169b</v>
      </c>
      <c r="B1441" s="152" t="str">
        <f>'Reported burning'!B1441</f>
        <v>169b.9</v>
      </c>
      <c r="C1441" s="152" t="str">
        <f>'Reported burning'!C1441</f>
        <v>Human, deliberate</v>
      </c>
      <c r="D1441" s="152" t="str">
        <f>'Reported burning'!D1441</f>
        <v>Arson</v>
      </c>
      <c r="E1441" s="152" t="str">
        <f>'Reported burning'!E1441</f>
        <v>ND</v>
      </c>
      <c r="F1441" s="152" t="str">
        <f>'Reported burning'!F1441</f>
        <v>ND</v>
      </c>
      <c r="G1441" s="152" t="str">
        <f>'Reported burning'!G1441</f>
        <v>ND</v>
      </c>
      <c r="H1441" s="152"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69" t="s">
        <v>4280</v>
      </c>
      <c r="AB1441" s="4" t="s">
        <v>4279</v>
      </c>
    </row>
    <row r="1442" spans="1:28" ht="54.5" customHeight="1">
      <c r="A1442" s="152" t="str">
        <f>'Reported burning'!A1442</f>
        <v>169c</v>
      </c>
      <c r="B1442" s="152" t="str">
        <f>'Reported burning'!B1442</f>
        <v>169c.1</v>
      </c>
      <c r="C1442" s="152" t="str">
        <f>'Reported burning'!C1442</f>
        <v>Human, deliberate</v>
      </c>
      <c r="D1442" s="152" t="str">
        <f>'Reported burning'!D1442</f>
        <v>Pasture renewal</v>
      </c>
      <c r="E1442" s="152" t="str">
        <f>'Reported burning'!E1442</f>
        <v>Mixed cropping-livestock small holder, Subsistence-oriented</v>
      </c>
      <c r="F1442" s="152" t="str">
        <f>'Reported burning'!F1442</f>
        <v>Shrubland (Mixed forest &amp; grassland)</v>
      </c>
      <c r="G1442" s="152" t="str">
        <f>'Reported burning'!G1442</f>
        <v>ND</v>
      </c>
      <c r="H1442" s="152"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2" t="str">
        <f>'Reported burning'!A1443</f>
        <v>169c</v>
      </c>
      <c r="B1443" s="152" t="str">
        <f>'Reported burning'!B1443</f>
        <v>169c.2</v>
      </c>
      <c r="C1443" s="152" t="str">
        <f>'Reported burning'!C1443</f>
        <v>Human, escaped</v>
      </c>
      <c r="D1443" s="152" t="str">
        <f>'Reported burning'!D1443</f>
        <v>Pasture renewal</v>
      </c>
      <c r="E1443" s="152" t="str">
        <f>'Reported burning'!E1443</f>
        <v>Mixed cropping-livestock small holder, Subsistence-oriented</v>
      </c>
      <c r="F1443" s="152" t="str">
        <f>'Reported burning'!F1443</f>
        <v>Forest</v>
      </c>
      <c r="G1443" s="152" t="str">
        <f>'Reported burning'!G1443</f>
        <v>ND</v>
      </c>
      <c r="H1443" s="152"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2" t="str">
        <f>'Reported burning'!A1444</f>
        <v>169c</v>
      </c>
      <c r="B1444" s="152" t="str">
        <f>'Reported burning'!B1444</f>
        <v>169c.3</v>
      </c>
      <c r="C1444" s="152" t="str">
        <f>'Reported burning'!C1444</f>
        <v>Human, deliberate</v>
      </c>
      <c r="D1444" s="152" t="str">
        <f>'Reported burning'!D1444</f>
        <v>Domestic</v>
      </c>
      <c r="E1444" s="152" t="str">
        <f>'Reported burning'!E1444</f>
        <v>All</v>
      </c>
      <c r="F1444" s="152" t="str">
        <f>'Reported burning'!F1444</f>
        <v>ND</v>
      </c>
      <c r="G1444" s="152" t="str">
        <f>'Reported burning'!G1444</f>
        <v>ND</v>
      </c>
      <c r="H1444" s="152"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2" t="str">
        <f>'Reported burning'!A1445</f>
        <v>169c</v>
      </c>
      <c r="B1445" s="152" t="str">
        <f>'Reported burning'!B1445</f>
        <v>169c.4</v>
      </c>
      <c r="C1445" s="152" t="str">
        <f>'Reported burning'!C1445</f>
        <v>Human, escaped</v>
      </c>
      <c r="D1445" s="152" t="str">
        <f>'Reported burning'!D1445</f>
        <v>Domestic</v>
      </c>
      <c r="E1445" s="152" t="str">
        <f>'Reported burning'!E1445</f>
        <v>All</v>
      </c>
      <c r="F1445" s="152" t="str">
        <f>'Reported burning'!F1445</f>
        <v>ND</v>
      </c>
      <c r="G1445" s="152" t="str">
        <f>'Reported burning'!G1445</f>
        <v>ND</v>
      </c>
      <c r="H1445" s="152"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2" t="str">
        <f>'Reported burning'!A1446</f>
        <v>169c</v>
      </c>
      <c r="B1446" s="152" t="str">
        <f>'Reported burning'!B1446</f>
        <v>169c.5</v>
      </c>
      <c r="C1446" s="152" t="str">
        <f>'Reported burning'!C1446</f>
        <v>Human, accidental</v>
      </c>
      <c r="D1446" s="152" t="str">
        <f>'Reported burning'!D1446</f>
        <v>Accidental</v>
      </c>
      <c r="E1446" s="152" t="str">
        <f>'Reported burning'!E1446</f>
        <v>All</v>
      </c>
      <c r="F1446" s="152" t="str">
        <f>'Reported burning'!F1446</f>
        <v>ND</v>
      </c>
      <c r="G1446" s="152" t="str">
        <f>'Reported burning'!G1446</f>
        <v>ND</v>
      </c>
      <c r="H1446" s="152"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2" t="str">
        <f>'Reported burning'!A1447</f>
        <v>169c</v>
      </c>
      <c r="B1447" s="152" t="str">
        <f>'Reported burning'!B1447</f>
        <v>169c.6</v>
      </c>
      <c r="C1447" s="152" t="str">
        <f>'Reported burning'!C1447</f>
        <v>Human, accidental</v>
      </c>
      <c r="D1447" s="152" t="str">
        <f>'Reported burning'!D1447</f>
        <v>Accidental</v>
      </c>
      <c r="E1447" s="152" t="str">
        <f>'Reported burning'!E1447</f>
        <v>Tourism manager</v>
      </c>
      <c r="F1447" s="152" t="str">
        <f>'Reported burning'!F1447</f>
        <v>ND</v>
      </c>
      <c r="G1447" s="152" t="str">
        <f>'Reported burning'!G1447</f>
        <v>ND</v>
      </c>
      <c r="H1447" s="152"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2" t="str">
        <f>'Reported burning'!A1448</f>
        <v>169c</v>
      </c>
      <c r="B1448" s="152" t="str">
        <f>'Reported burning'!B1448</f>
        <v>169c.7</v>
      </c>
      <c r="C1448" s="152" t="str">
        <f>'Reported burning'!C1448</f>
        <v>Human, deliberate</v>
      </c>
      <c r="D1448" s="152" t="str">
        <f>'Reported burning'!D1448</f>
        <v>Land clearance</v>
      </c>
      <c r="E1448" s="152" t="str">
        <f>'Reported burning'!E1448</f>
        <v>Mixed cropping-livestock small holder, Subsistence-oriented</v>
      </c>
      <c r="F1448" s="152" t="str">
        <f>'Reported burning'!F1448</f>
        <v>ND</v>
      </c>
      <c r="G1448" s="152" t="str">
        <f>'Reported burning'!G1448</f>
        <v>ND</v>
      </c>
      <c r="H1448" s="152"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2" t="str">
        <f>'Reported burning'!A1449</f>
        <v>169c</v>
      </c>
      <c r="B1449" s="152" t="str">
        <f>'Reported burning'!B1449</f>
        <v>169c.8</v>
      </c>
      <c r="C1449" s="152" t="str">
        <f>'Reported burning'!C1449</f>
        <v>Human, deliberate</v>
      </c>
      <c r="D1449" s="152" t="str">
        <f>'Reported burning'!D1449</f>
        <v>Crop residue burning</v>
      </c>
      <c r="E1449" s="152" t="str">
        <f>'Reported burning'!E1449</f>
        <v>Mixed cropping-livestock small holder, Subsistence-oriented</v>
      </c>
      <c r="F1449" s="152" t="str">
        <f>'Reported burning'!F1449</f>
        <v>ND</v>
      </c>
      <c r="G1449" s="152" t="str">
        <f>'Reported burning'!G1449</f>
        <v>ND</v>
      </c>
      <c r="H1449" s="152"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2" t="str">
        <f>'Reported burning'!A1450</f>
        <v>169c</v>
      </c>
      <c r="B1450" s="152" t="str">
        <f>'Reported burning'!B1450</f>
        <v>169c.9</v>
      </c>
      <c r="C1450" s="152" t="str">
        <f>'Reported burning'!C1450</f>
        <v>Human, deliberate</v>
      </c>
      <c r="D1450" s="152" t="str">
        <f>'Reported burning'!D1450</f>
        <v>Arson</v>
      </c>
      <c r="E1450" s="152" t="str">
        <f>'Reported burning'!E1450</f>
        <v>ND</v>
      </c>
      <c r="F1450" s="152" t="str">
        <f>'Reported burning'!F1450</f>
        <v>ND</v>
      </c>
      <c r="G1450" s="152" t="str">
        <f>'Reported burning'!G1450</f>
        <v>ND</v>
      </c>
      <c r="H1450" s="152"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69" t="s">
        <v>4280</v>
      </c>
      <c r="AB1450" s="4" t="s">
        <v>4279</v>
      </c>
    </row>
    <row r="1451" spans="1:28" ht="54.5" customHeight="1">
      <c r="A1451" s="152" t="str">
        <f>'Reported burning'!A1451</f>
        <v>169a</v>
      </c>
      <c r="B1451" s="152" t="str">
        <f>'Reported burning'!B1451</f>
        <v>169a.10</v>
      </c>
      <c r="C1451" s="152" t="str">
        <f>'Reported burning'!C1451</f>
        <v>Human, deliberate</v>
      </c>
      <c r="D1451" s="152" t="str">
        <f>'Reported burning'!D1451</f>
        <v>ND</v>
      </c>
      <c r="E1451" s="152" t="str">
        <f>'Reported burning'!E1451</f>
        <v>ND</v>
      </c>
      <c r="F1451" s="152" t="str">
        <f>'Reported burning'!F1451</f>
        <v>ND</v>
      </c>
      <c r="G1451" s="152" t="str">
        <f>'Reported burning'!G1451</f>
        <v>Forest</v>
      </c>
      <c r="H1451" s="152"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2" t="str">
        <f>'Reported burning'!A1452</f>
        <v>169a</v>
      </c>
      <c r="B1452" s="152" t="str">
        <f>'Reported burning'!B1452</f>
        <v>169a.11</v>
      </c>
      <c r="C1452" s="152" t="str">
        <f>'Reported burning'!C1452</f>
        <v>Lightning</v>
      </c>
      <c r="D1452" s="152" t="str">
        <f>'Reported burning'!D1452</f>
        <v>ND</v>
      </c>
      <c r="E1452" s="152" t="str">
        <f>'Reported burning'!E1452</f>
        <v>ND</v>
      </c>
      <c r="F1452" s="152" t="str">
        <f>'Reported burning'!F1452</f>
        <v>ND</v>
      </c>
      <c r="G1452" s="152" t="str">
        <f>'Reported burning'!G1452</f>
        <v>Forest</v>
      </c>
      <c r="H1452" s="152"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2" t="str">
        <f>'Reported burning'!A1453</f>
        <v>169a</v>
      </c>
      <c r="B1453" s="152" t="str">
        <f>'Reported burning'!B1453</f>
        <v>169a.12</v>
      </c>
      <c r="C1453" s="152" t="str">
        <f>'Reported burning'!C1453</f>
        <v>Human, escaped</v>
      </c>
      <c r="D1453" s="152" t="str">
        <f>'Reported burning'!D1453</f>
        <v>ND</v>
      </c>
      <c r="E1453" s="152" t="str">
        <f>'Reported burning'!E1453</f>
        <v>ND</v>
      </c>
      <c r="F1453" s="152" t="str">
        <f>'Reported burning'!F1453</f>
        <v>ND</v>
      </c>
      <c r="G1453" s="152" t="str">
        <f>'Reported burning'!G1453</f>
        <v>Forest</v>
      </c>
      <c r="H1453" s="152"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2" t="str">
        <f>'Reported burning'!A1454</f>
        <v>169a</v>
      </c>
      <c r="B1454" s="152" t="str">
        <f>'Reported burning'!B1454</f>
        <v>169a.13</v>
      </c>
      <c r="C1454" s="152" t="str">
        <f>'Reported burning'!C1454</f>
        <v>Human, accidental</v>
      </c>
      <c r="D1454" s="152" t="str">
        <f>'Reported burning'!D1454</f>
        <v>Accidental</v>
      </c>
      <c r="E1454" s="152" t="str">
        <f>'Reported burning'!E1454</f>
        <v>ND</v>
      </c>
      <c r="F1454" s="152" t="str">
        <f>'Reported burning'!F1454</f>
        <v>ND</v>
      </c>
      <c r="G1454" s="152" t="str">
        <f>'Reported burning'!G1454</f>
        <v>Forest</v>
      </c>
      <c r="H1454" s="152"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2" t="str">
        <f>'Reported burning'!A1455</f>
        <v>169a</v>
      </c>
      <c r="B1455" s="152" t="str">
        <f>'Reported burning'!B1455</f>
        <v>169a.14</v>
      </c>
      <c r="C1455" s="152" t="str">
        <f>'Reported burning'!C1455</f>
        <v>All</v>
      </c>
      <c r="D1455" s="152" t="str">
        <f>'Reported burning'!D1455</f>
        <v>All</v>
      </c>
      <c r="E1455" s="152" t="str">
        <f>'Reported burning'!E1455</f>
        <v>ND</v>
      </c>
      <c r="F1455" s="152" t="str">
        <f>'Reported burning'!F1455</f>
        <v>ND</v>
      </c>
      <c r="G1455" s="152" t="str">
        <f>'Reported burning'!G1455</f>
        <v>Forest</v>
      </c>
      <c r="H1455" s="152"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2" t="str">
        <f>'Reported burning'!A1456</f>
        <v>169b</v>
      </c>
      <c r="B1456" s="152" t="str">
        <f>'Reported burning'!B1456</f>
        <v>169b.10</v>
      </c>
      <c r="C1456" s="152" t="str">
        <f>'Reported burning'!C1456</f>
        <v>Human, deliberate</v>
      </c>
      <c r="D1456" s="152" t="str">
        <f>'Reported burning'!D1456</f>
        <v>ND</v>
      </c>
      <c r="E1456" s="152" t="str">
        <f>'Reported burning'!E1456</f>
        <v>ND</v>
      </c>
      <c r="F1456" s="152" t="str">
        <f>'Reported burning'!F1456</f>
        <v>ND</v>
      </c>
      <c r="G1456" s="152" t="str">
        <f>'Reported burning'!G1456</f>
        <v>Forest</v>
      </c>
      <c r="H1456" s="152"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2" t="str">
        <f>'Reported burning'!A1457</f>
        <v>169b</v>
      </c>
      <c r="B1457" s="152" t="str">
        <f>'Reported burning'!B1457</f>
        <v>169b.11</v>
      </c>
      <c r="C1457" s="152" t="str">
        <f>'Reported burning'!C1457</f>
        <v>Lightning</v>
      </c>
      <c r="D1457" s="152" t="str">
        <f>'Reported burning'!D1457</f>
        <v>ND</v>
      </c>
      <c r="E1457" s="152" t="str">
        <f>'Reported burning'!E1457</f>
        <v>ND</v>
      </c>
      <c r="F1457" s="152" t="str">
        <f>'Reported burning'!F1457</f>
        <v>ND</v>
      </c>
      <c r="G1457" s="152" t="str">
        <f>'Reported burning'!G1457</f>
        <v>Forest</v>
      </c>
      <c r="H1457" s="152"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2" t="str">
        <f>'Reported burning'!A1458</f>
        <v>169b</v>
      </c>
      <c r="B1458" s="152" t="str">
        <f>'Reported burning'!B1458</f>
        <v>169b.12</v>
      </c>
      <c r="C1458" s="152" t="str">
        <f>'Reported burning'!C1458</f>
        <v>Human, escaped</v>
      </c>
      <c r="D1458" s="152" t="str">
        <f>'Reported burning'!D1458</f>
        <v>ND</v>
      </c>
      <c r="E1458" s="152" t="str">
        <f>'Reported burning'!E1458</f>
        <v>ND</v>
      </c>
      <c r="F1458" s="152" t="str">
        <f>'Reported burning'!F1458</f>
        <v>ND</v>
      </c>
      <c r="G1458" s="152" t="str">
        <f>'Reported burning'!G1458</f>
        <v>Forest</v>
      </c>
      <c r="H1458" s="152"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2" t="str">
        <f>'Reported burning'!A1459</f>
        <v>169b</v>
      </c>
      <c r="B1459" s="152" t="str">
        <f>'Reported burning'!B1459</f>
        <v>169b.13</v>
      </c>
      <c r="C1459" s="152" t="str">
        <f>'Reported burning'!C1459</f>
        <v>Human, accidental</v>
      </c>
      <c r="D1459" s="152" t="str">
        <f>'Reported burning'!D1459</f>
        <v>Accidental</v>
      </c>
      <c r="E1459" s="152" t="str">
        <f>'Reported burning'!E1459</f>
        <v>ND</v>
      </c>
      <c r="F1459" s="152" t="str">
        <f>'Reported burning'!F1459</f>
        <v>ND</v>
      </c>
      <c r="G1459" s="152" t="str">
        <f>'Reported burning'!G1459</f>
        <v>Forest</v>
      </c>
      <c r="H1459" s="152"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2" t="str">
        <f>'Reported burning'!A1460</f>
        <v>169b</v>
      </c>
      <c r="B1460" s="152" t="str">
        <f>'Reported burning'!B1460</f>
        <v>169b.14</v>
      </c>
      <c r="C1460" s="152" t="str">
        <f>'Reported burning'!C1460</f>
        <v>All</v>
      </c>
      <c r="D1460" s="152" t="str">
        <f>'Reported burning'!D1460</f>
        <v>All</v>
      </c>
      <c r="E1460" s="152" t="str">
        <f>'Reported burning'!E1460</f>
        <v>ND</v>
      </c>
      <c r="F1460" s="152" t="str">
        <f>'Reported burning'!F1460</f>
        <v>ND</v>
      </c>
      <c r="G1460" s="152" t="str">
        <f>'Reported burning'!G1460</f>
        <v>Forest</v>
      </c>
      <c r="H1460" s="152"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2" t="str">
        <f>'Reported burning'!A1461</f>
        <v>169c</v>
      </c>
      <c r="B1461" s="152" t="str">
        <f>'Reported burning'!B1461</f>
        <v>169c.10</v>
      </c>
      <c r="C1461" s="152" t="str">
        <f>'Reported burning'!C1461</f>
        <v>Human, deliberate</v>
      </c>
      <c r="D1461" s="152" t="str">
        <f>'Reported burning'!D1461</f>
        <v>ND</v>
      </c>
      <c r="E1461" s="152" t="str">
        <f>'Reported burning'!E1461</f>
        <v>ND</v>
      </c>
      <c r="F1461" s="152" t="str">
        <f>'Reported burning'!F1461</f>
        <v>ND</v>
      </c>
      <c r="G1461" s="152" t="str">
        <f>'Reported burning'!G1461</f>
        <v>Forest</v>
      </c>
      <c r="H1461" s="152"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2" t="str">
        <f>'Reported burning'!A1462</f>
        <v>169c</v>
      </c>
      <c r="B1462" s="152" t="str">
        <f>'Reported burning'!B1462</f>
        <v>169c.11</v>
      </c>
      <c r="C1462" s="152" t="str">
        <f>'Reported burning'!C1462</f>
        <v>Lightning</v>
      </c>
      <c r="D1462" s="152" t="str">
        <f>'Reported burning'!D1462</f>
        <v>ND</v>
      </c>
      <c r="E1462" s="152" t="str">
        <f>'Reported burning'!E1462</f>
        <v>ND</v>
      </c>
      <c r="F1462" s="152" t="str">
        <f>'Reported burning'!F1462</f>
        <v>ND</v>
      </c>
      <c r="G1462" s="152" t="str">
        <f>'Reported burning'!G1462</f>
        <v>Forest</v>
      </c>
      <c r="H1462" s="152"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2" t="str">
        <f>'Reported burning'!A1463</f>
        <v>169c</v>
      </c>
      <c r="B1463" s="152" t="str">
        <f>'Reported burning'!B1463</f>
        <v>169c.12</v>
      </c>
      <c r="C1463" s="152" t="str">
        <f>'Reported burning'!C1463</f>
        <v>Human, escaped</v>
      </c>
      <c r="D1463" s="152" t="str">
        <f>'Reported burning'!D1463</f>
        <v>ND</v>
      </c>
      <c r="E1463" s="152" t="str">
        <f>'Reported burning'!E1463</f>
        <v>ND</v>
      </c>
      <c r="F1463" s="152" t="str">
        <f>'Reported burning'!F1463</f>
        <v>ND</v>
      </c>
      <c r="G1463" s="152" t="str">
        <f>'Reported burning'!G1463</f>
        <v>Forest</v>
      </c>
      <c r="H1463" s="152"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2" t="str">
        <f>'Reported burning'!A1464</f>
        <v>169c</v>
      </c>
      <c r="B1464" s="152" t="str">
        <f>'Reported burning'!B1464</f>
        <v>169c.13</v>
      </c>
      <c r="C1464" s="152" t="str">
        <f>'Reported burning'!C1464</f>
        <v>Human, accidental</v>
      </c>
      <c r="D1464" s="152" t="str">
        <f>'Reported burning'!D1464</f>
        <v>Accidental</v>
      </c>
      <c r="E1464" s="152" t="str">
        <f>'Reported burning'!E1464</f>
        <v>ND</v>
      </c>
      <c r="F1464" s="152" t="str">
        <f>'Reported burning'!F1464</f>
        <v>ND</v>
      </c>
      <c r="G1464" s="152" t="str">
        <f>'Reported burning'!G1464</f>
        <v>Forest</v>
      </c>
      <c r="H1464" s="152"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2" t="str">
        <f>'Reported burning'!A1465</f>
        <v>169c</v>
      </c>
      <c r="B1465" s="152" t="str">
        <f>'Reported burning'!B1465</f>
        <v>169c.14</v>
      </c>
      <c r="C1465" s="152" t="str">
        <f>'Reported burning'!C1465</f>
        <v>All</v>
      </c>
      <c r="D1465" s="152" t="str">
        <f>'Reported burning'!D1465</f>
        <v>All</v>
      </c>
      <c r="E1465" s="152" t="str">
        <f>'Reported burning'!E1465</f>
        <v>ND</v>
      </c>
      <c r="F1465" s="152" t="str">
        <f>'Reported burning'!F1465</f>
        <v>ND</v>
      </c>
      <c r="G1465" s="152" t="str">
        <f>'Reported burning'!G1465</f>
        <v>Forest</v>
      </c>
      <c r="H1465" s="152"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6" t="str">
        <f>'Reported burning'!A1466</f>
        <v>171a</v>
      </c>
      <c r="B1466" s="156" t="str">
        <f>'Reported burning'!B1466</f>
        <v>171a.1</v>
      </c>
      <c r="C1466" s="156" t="str">
        <f>'Reported burning'!C1466</f>
        <v>Human, deliberate</v>
      </c>
      <c r="D1466" s="156" t="str">
        <f>'Reported burning'!D1466</f>
        <v>Crop field preparation</v>
      </c>
      <c r="E1466" s="156" t="str">
        <f>'Reported burning'!E1466</f>
        <v>Cropping, Swidden</v>
      </c>
      <c r="F1466" s="156" t="str">
        <f>'Reported burning'!F1466</f>
        <v>ND</v>
      </c>
      <c r="G1466" s="156" t="str">
        <f>'Reported burning'!G1466</f>
        <v>ND</v>
      </c>
      <c r="H1466" s="156"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2" t="str">
        <f>'Reported burning'!A1467</f>
        <v>171a</v>
      </c>
      <c r="B1467" s="152" t="str">
        <f>'Reported burning'!B1467</f>
        <v>171a.2</v>
      </c>
      <c r="C1467" s="152" t="str">
        <f>'Reported burning'!C1467</f>
        <v>Human, deliberate</v>
      </c>
      <c r="D1467" s="152" t="str">
        <f>'Reported burning'!D1467</f>
        <v>Pasture renewal</v>
      </c>
      <c r="E1467" s="152" t="str">
        <f>'Reported burning'!E1467</f>
        <v>Pastoralism, Migratory</v>
      </c>
      <c r="F1467" s="152" t="str">
        <f>'Reported burning'!F1467</f>
        <v>ND</v>
      </c>
      <c r="G1467" s="152" t="str">
        <f>'Reported burning'!G1467</f>
        <v>ND</v>
      </c>
      <c r="H1467" s="152"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2" t="str">
        <f>'Reported burning'!A1468</f>
        <v>171a</v>
      </c>
      <c r="B1468" s="152" t="str">
        <f>'Reported burning'!B1468</f>
        <v>171a.3</v>
      </c>
      <c r="C1468" s="152" t="str">
        <f>'Reported burning'!C1468</f>
        <v>Human, deliberate</v>
      </c>
      <c r="D1468" s="152" t="str">
        <f>'Reported burning'!D1468</f>
        <v>Pasture renewal</v>
      </c>
      <c r="E1468" s="152" t="str">
        <f>'Reported burning'!E1468</f>
        <v>Cattle, Extensive</v>
      </c>
      <c r="F1468" s="152" t="str">
        <f>'Reported burning'!F1468</f>
        <v>ND</v>
      </c>
      <c r="G1468" s="152" t="str">
        <f>'Reported burning'!G1468</f>
        <v>ND</v>
      </c>
      <c r="H1468" s="152"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2" t="str">
        <f>'Reported burning'!A1469</f>
        <v>171b</v>
      </c>
      <c r="B1469" s="152" t="str">
        <f>'Reported burning'!B1469</f>
        <v>171b.1</v>
      </c>
      <c r="C1469" s="152" t="str">
        <f>'Reported burning'!C1469</f>
        <v>Human, deliberate</v>
      </c>
      <c r="D1469" s="152" t="str">
        <f>'Reported burning'!D1469</f>
        <v>Pyrome management</v>
      </c>
      <c r="E1469" s="152" t="str">
        <f>'Reported burning'!E1469</f>
        <v>Biodiversity conservation</v>
      </c>
      <c r="F1469" s="152" t="str">
        <f>'Reported burning'!F1469</f>
        <v>Forest</v>
      </c>
      <c r="G1469" s="152" t="str">
        <f>'Reported burning'!G1469</f>
        <v>ND</v>
      </c>
      <c r="H1469" s="152"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2" t="str">
        <f>'Reported burning'!A1470</f>
        <v>171b</v>
      </c>
      <c r="B1470" s="152" t="str">
        <f>'Reported burning'!B1470</f>
        <v>171b.2</v>
      </c>
      <c r="C1470" s="152" t="str">
        <f>'Reported burning'!C1470</f>
        <v>Human, deliberate</v>
      </c>
      <c r="D1470" s="152" t="str">
        <f>'Reported burning'!D1470</f>
        <v>Pasture renewal</v>
      </c>
      <c r="E1470" s="152" t="str">
        <f>'Reported burning'!E1470</f>
        <v>Cattle, Extensive</v>
      </c>
      <c r="F1470" s="152" t="str">
        <f>'Reported burning'!F1470</f>
        <v>Forest</v>
      </c>
      <c r="G1470" s="152" t="str">
        <f>'Reported burning'!G1470</f>
        <v>ND</v>
      </c>
      <c r="H1470" s="152"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2" t="str">
        <f>'Reported burning'!A1471</f>
        <v>171b</v>
      </c>
      <c r="B1471" s="152" t="str">
        <f>'Reported burning'!B1471</f>
        <v>171b.3</v>
      </c>
      <c r="C1471" s="152" t="str">
        <f>'Reported burning'!C1471</f>
        <v>Human, deliberate</v>
      </c>
      <c r="D1471" s="152" t="str">
        <f>'Reported burning'!D1471</f>
        <v>Pasture renewal</v>
      </c>
      <c r="E1471" s="152" t="str">
        <f>'Reported burning'!E1471</f>
        <v>Cattle, Extensive</v>
      </c>
      <c r="F1471" s="152" t="str">
        <f>'Reported burning'!F1471</f>
        <v>Grassland</v>
      </c>
      <c r="G1471" s="152" t="str">
        <f>'Reported burning'!G1471</f>
        <v>ND</v>
      </c>
      <c r="H1471" s="152"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2" t="str">
        <f>'Reported burning'!A1472</f>
        <v>171b</v>
      </c>
      <c r="B1472" s="152" t="str">
        <f>'Reported burning'!B1472</f>
        <v>171b.4</v>
      </c>
      <c r="C1472" s="152" t="str">
        <f>'Reported burning'!C1472</f>
        <v>Human, deliberate</v>
      </c>
      <c r="D1472" s="152" t="str">
        <f>'Reported burning'!D1472</f>
        <v>Arson</v>
      </c>
      <c r="E1472" s="152" t="str">
        <f>'Reported burning'!E1472</f>
        <v>Cattle, Extensive</v>
      </c>
      <c r="F1472" s="152" t="str">
        <f>'Reported burning'!F1472</f>
        <v>ND</v>
      </c>
      <c r="G1472" s="152" t="str">
        <f>'Reported burning'!G1472</f>
        <v>ND</v>
      </c>
      <c r="H1472" s="152"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2" t="str">
        <f>'Reported burning'!A1473</f>
        <v>171b</v>
      </c>
      <c r="B1473" s="152" t="str">
        <f>'Reported burning'!B1473</f>
        <v>171b.5</v>
      </c>
      <c r="C1473" s="152" t="str">
        <f>'Reported burning'!C1473</f>
        <v>Lightning</v>
      </c>
      <c r="D1473" s="152" t="str">
        <f>'Reported burning'!D1473</f>
        <v>ND</v>
      </c>
      <c r="E1473" s="152" t="str">
        <f>'Reported burning'!E1473</f>
        <v>ND</v>
      </c>
      <c r="F1473" s="152" t="str">
        <f>'Reported burning'!F1473</f>
        <v>ND</v>
      </c>
      <c r="G1473" s="152" t="str">
        <f>'Reported burning'!G1473</f>
        <v>ND</v>
      </c>
      <c r="H1473" s="152"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2" t="str">
        <f>'Reported burning'!A1474</f>
        <v>171b</v>
      </c>
      <c r="B1474" s="152" t="str">
        <f>'Reported burning'!B1474</f>
        <v>171b.6</v>
      </c>
      <c r="C1474" s="152" t="str">
        <f>'Reported burning'!C1474</f>
        <v>Unknown</v>
      </c>
      <c r="D1474" s="152" t="str">
        <f>'Reported burning'!D1474</f>
        <v>ND</v>
      </c>
      <c r="E1474" s="152" t="str">
        <f>'Reported burning'!E1474</f>
        <v>ND</v>
      </c>
      <c r="F1474" s="152" t="str">
        <f>'Reported burning'!F1474</f>
        <v>ND</v>
      </c>
      <c r="G1474" s="152" t="str">
        <f>'Reported burning'!G1474</f>
        <v>Forest</v>
      </c>
      <c r="H1474" s="152"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2" t="str">
        <f>'Reported burning'!A1475</f>
        <v>171b</v>
      </c>
      <c r="B1475" s="152" t="str">
        <f>'Reported burning'!B1475</f>
        <v>171b.7</v>
      </c>
      <c r="C1475" s="152" t="str">
        <f>'Reported burning'!C1475</f>
        <v>Human, escaped</v>
      </c>
      <c r="D1475" s="152" t="str">
        <f>'Reported burning'!D1475</f>
        <v>Pasture renewal</v>
      </c>
      <c r="E1475" s="152" t="str">
        <f>'Reported burning'!E1475</f>
        <v>Cropping, Intensive</v>
      </c>
      <c r="F1475" s="152" t="str">
        <f>'Reported burning'!F1475</f>
        <v>ND</v>
      </c>
      <c r="G1475" s="152" t="str">
        <f>'Reported burning'!G1475</f>
        <v>Forest</v>
      </c>
      <c r="H1475" s="152"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2" t="str">
        <f>'Reported burning'!A1476</f>
        <v>172a</v>
      </c>
      <c r="B1476" s="152" t="str">
        <f>'Reported burning'!B1476</f>
        <v>172a.1</v>
      </c>
      <c r="C1476" s="152" t="str">
        <f>'Reported burning'!C1476</f>
        <v>Human, deliberate</v>
      </c>
      <c r="D1476" s="152" t="str">
        <f>'Reported burning'!D1476</f>
        <v>Crop field preparation</v>
      </c>
      <c r="E1476" s="152" t="str">
        <f>'Reported burning'!E1476</f>
        <v>Cropping, Swidden</v>
      </c>
      <c r="F1476" s="152" t="str">
        <f>'Reported burning'!F1476</f>
        <v>ND</v>
      </c>
      <c r="G1476" s="152" t="str">
        <f>'Reported burning'!G1476</f>
        <v>Forest</v>
      </c>
      <c r="H1476" s="152"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2" t="str">
        <f>'Reported burning'!A1477</f>
        <v>172a</v>
      </c>
      <c r="B1477" s="152" t="str">
        <f>'Reported burning'!B1477</f>
        <v>172a.2</v>
      </c>
      <c r="C1477" s="152" t="str">
        <f>'Reported burning'!C1477</f>
        <v>Human, deliberate</v>
      </c>
      <c r="D1477" s="152" t="str">
        <f>'Reported burning'!D1477</f>
        <v>Crop field preparation</v>
      </c>
      <c r="E1477" s="152" t="str">
        <f>'Reported burning'!E1477</f>
        <v>Cropping, Swidden</v>
      </c>
      <c r="F1477" s="152" t="str">
        <f>'Reported burning'!F1477</f>
        <v>ND</v>
      </c>
      <c r="G1477" s="152" t="str">
        <f>'Reported burning'!G1477</f>
        <v>Secondary Vegetation</v>
      </c>
      <c r="H1477" s="152"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2" t="str">
        <f>'Reported burning'!A1478</f>
        <v>172b</v>
      </c>
      <c r="B1478" s="152" t="str">
        <f>'Reported burning'!B1478</f>
        <v>172b.1</v>
      </c>
      <c r="C1478" s="152" t="str">
        <f>'Reported burning'!C1478</f>
        <v>Human, deliberate</v>
      </c>
      <c r="D1478" s="152" t="str">
        <f>'Reported burning'!D1478</f>
        <v>Land clearance</v>
      </c>
      <c r="E1478" s="152" t="str">
        <f>'Reported burning'!E1478</f>
        <v>Cropping, Monoculture, Subsistence-oriented</v>
      </c>
      <c r="F1478" s="152" t="str">
        <f>'Reported burning'!F1478</f>
        <v>ND</v>
      </c>
      <c r="G1478" s="152" t="str">
        <f>'Reported burning'!G1478</f>
        <v>Forest</v>
      </c>
      <c r="H1478" s="152"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2" t="str">
        <f>'Reported burning'!A1479</f>
        <v>172b</v>
      </c>
      <c r="B1479" s="152" t="str">
        <f>'Reported burning'!B1479</f>
        <v>172b.2</v>
      </c>
      <c r="C1479" s="152" t="str">
        <f>'Reported burning'!C1479</f>
        <v>Human, deliberate</v>
      </c>
      <c r="D1479" s="152" t="str">
        <f>'Reported burning'!D1479</f>
        <v>Land clearance</v>
      </c>
      <c r="E1479" s="152" t="str">
        <f>'Reported burning'!E1479</f>
        <v>Cropping, Monoculture, Subsistence-oriented</v>
      </c>
      <c r="F1479" s="152" t="str">
        <f>'Reported burning'!F1479</f>
        <v>ND</v>
      </c>
      <c r="G1479" s="152" t="str">
        <f>'Reported burning'!G1479</f>
        <v>Shrubland (Mixed forest &amp; grassland)</v>
      </c>
      <c r="H1479" s="152"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2" t="str">
        <f>'Reported burning'!A1480</f>
        <v>172c</v>
      </c>
      <c r="B1480" s="152" t="str">
        <f>'Reported burning'!B1480</f>
        <v>172c.1</v>
      </c>
      <c r="C1480" s="152" t="str">
        <f>'Reported burning'!C1480</f>
        <v>Human, deliberate</v>
      </c>
      <c r="D1480" s="152" t="str">
        <f>'Reported burning'!D1480</f>
        <v>Land clearance</v>
      </c>
      <c r="E1480" s="152" t="str">
        <f>'Reported burning'!E1480</f>
        <v>Cropping, Monoculture, Subsistence-oriented</v>
      </c>
      <c r="F1480" s="152" t="str">
        <f>'Reported burning'!F1480</f>
        <v>ND</v>
      </c>
      <c r="G1480" s="152" t="str">
        <f>'Reported burning'!G1480</f>
        <v>Forest</v>
      </c>
      <c r="H1480" s="152"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2" t="str">
        <f>'Reported burning'!A1481</f>
        <v>172c</v>
      </c>
      <c r="B1481" s="152" t="str">
        <f>'Reported burning'!B1481</f>
        <v>172c.2</v>
      </c>
      <c r="C1481" s="152" t="str">
        <f>'Reported burning'!C1481</f>
        <v>Human, deliberate</v>
      </c>
      <c r="D1481" s="152" t="str">
        <f>'Reported burning'!D1481</f>
        <v>Land clearance</v>
      </c>
      <c r="E1481" s="152" t="str">
        <f>'Reported burning'!E1481</f>
        <v>Cropping, Monoculture, Subsistence-oriented</v>
      </c>
      <c r="F1481" s="152" t="str">
        <f>'Reported burning'!F1481</f>
        <v>ND</v>
      </c>
      <c r="G1481" s="152" t="str">
        <f>'Reported burning'!G1481</f>
        <v>Shrubland (Mixed forest &amp; grassland)</v>
      </c>
      <c r="H1481" s="152"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2" t="str">
        <f>'Reported burning'!A1482</f>
        <v>172d</v>
      </c>
      <c r="B1482" s="152" t="str">
        <f>'Reported burning'!B1482</f>
        <v>172d.1</v>
      </c>
      <c r="C1482" s="152" t="str">
        <f>'Reported burning'!C1482</f>
        <v>Human, deliberate</v>
      </c>
      <c r="D1482" s="152" t="str">
        <f>'Reported burning'!D1482</f>
        <v>Pasture renewal</v>
      </c>
      <c r="E1482" s="152" t="str">
        <f>'Reported burning'!E1482</f>
        <v>Cattle, Extensive</v>
      </c>
      <c r="F1482" s="152" t="str">
        <f>'Reported burning'!F1482</f>
        <v>Shrubland (Mixed forest &amp; grassland)</v>
      </c>
      <c r="G1482" s="152" t="str">
        <f>'Reported burning'!G1482</f>
        <v>ND</v>
      </c>
      <c r="H1482" s="152"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2" t="str">
        <f>'Reported burning'!A1483</f>
        <v>172d</v>
      </c>
      <c r="B1483" s="152" t="str">
        <f>'Reported burning'!B1483</f>
        <v>172d.2</v>
      </c>
      <c r="C1483" s="152" t="str">
        <f>'Reported burning'!C1483</f>
        <v>Human, deliberate</v>
      </c>
      <c r="D1483" s="152" t="str">
        <f>'Reported burning'!D1483</f>
        <v>Crop field preparation</v>
      </c>
      <c r="E1483" s="152" t="str">
        <f>'Reported burning'!E1483</f>
        <v>Cropping, Swidden</v>
      </c>
      <c r="F1483" s="152" t="str">
        <f>'Reported burning'!F1483</f>
        <v>Secondary Vegetation</v>
      </c>
      <c r="G1483" s="152" t="str">
        <f>'Reported burning'!G1483</f>
        <v>ND</v>
      </c>
      <c r="H1483" s="152"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2" t="str">
        <f>'Reported burning'!A1484</f>
        <v>172d</v>
      </c>
      <c r="B1484" s="152" t="str">
        <f>'Reported burning'!B1484</f>
        <v>172d.3</v>
      </c>
      <c r="C1484" s="152" t="str">
        <f>'Reported burning'!C1484</f>
        <v>Human, deliberate</v>
      </c>
      <c r="D1484" s="152" t="str">
        <f>'Reported burning'!D1484</f>
        <v>Land clearance</v>
      </c>
      <c r="E1484" s="152" t="str">
        <f>'Reported burning'!E1484</f>
        <v>Cropping, Monoculture, Market-oriented</v>
      </c>
      <c r="F1484" s="152" t="str">
        <f>'Reported burning'!F1484</f>
        <v>Forest</v>
      </c>
      <c r="G1484" s="152" t="str">
        <f>'Reported burning'!G1484</f>
        <v>ND</v>
      </c>
      <c r="H1484" s="152"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2" t="str">
        <f>'Reported burning'!A1485</f>
        <v>172e</v>
      </c>
      <c r="B1485" s="152" t="str">
        <f>'Reported burning'!B1485</f>
        <v>172e.1</v>
      </c>
      <c r="C1485" s="152" t="str">
        <f>'Reported burning'!C1485</f>
        <v>Human, deliberate</v>
      </c>
      <c r="D1485" s="152" t="str">
        <f>'Reported burning'!D1485</f>
        <v>Pasture renewal</v>
      </c>
      <c r="E1485" s="152" t="str">
        <f>'Reported burning'!E1485</f>
        <v>Cattle, Extensive</v>
      </c>
      <c r="F1485" s="152" t="str">
        <f>'Reported burning'!F1485</f>
        <v>Shrubland (Mixed forest &amp; grassland)</v>
      </c>
      <c r="G1485" s="152" t="str">
        <f>'Reported burning'!G1485</f>
        <v>ND</v>
      </c>
      <c r="H1485" s="152"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6" t="str">
        <f>'Reported burning'!A1486</f>
        <v>172e</v>
      </c>
      <c r="B1486" s="156" t="str">
        <f>'Reported burning'!B1486</f>
        <v>172e.2</v>
      </c>
      <c r="C1486" s="156" t="str">
        <f>'Reported burning'!C1486</f>
        <v>Human, deliberate</v>
      </c>
      <c r="D1486" s="156" t="str">
        <f>'Reported burning'!D1486</f>
        <v>Crop field preparation</v>
      </c>
      <c r="E1486" s="156" t="str">
        <f>'Reported burning'!E1486</f>
        <v>Cropping, Swidden</v>
      </c>
      <c r="F1486" s="156" t="str">
        <f>'Reported burning'!F1486</f>
        <v>Secondary Vegetation</v>
      </c>
      <c r="G1486" s="156" t="str">
        <f>'Reported burning'!G1486</f>
        <v>ND</v>
      </c>
      <c r="H1486" s="156"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2" t="str">
        <f>'Reported burning'!A1487</f>
        <v>172f</v>
      </c>
      <c r="B1487" s="152" t="str">
        <f>'Reported burning'!B1487</f>
        <v>172f.1</v>
      </c>
      <c r="C1487" s="152" t="str">
        <f>'Reported burning'!C1487</f>
        <v>Human, deliberate</v>
      </c>
      <c r="D1487" s="152" t="str">
        <f>'Reported burning'!D1487</f>
        <v>Pasture renewal</v>
      </c>
      <c r="E1487" s="152" t="str">
        <f>'Reported burning'!E1487</f>
        <v>Pastoralism, Migratory</v>
      </c>
      <c r="F1487" s="152" t="str">
        <f>'Reported burning'!F1487</f>
        <v>Shrubland (Mixed forest &amp; grassland)</v>
      </c>
      <c r="G1487" s="152" t="str">
        <f>'Reported burning'!G1487</f>
        <v>ND</v>
      </c>
      <c r="H1487" s="152"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2" t="str">
        <f>'Reported burning'!A1488</f>
        <v>172f</v>
      </c>
      <c r="B1488" s="152" t="str">
        <f>'Reported burning'!B1488</f>
        <v>172f.2</v>
      </c>
      <c r="C1488" s="152" t="str">
        <f>'Reported burning'!C1488</f>
        <v>Human, deliberate</v>
      </c>
      <c r="D1488" s="152" t="str">
        <f>'Reported burning'!D1488</f>
        <v>Crop field preparation</v>
      </c>
      <c r="E1488" s="152" t="str">
        <f>'Reported burning'!E1488</f>
        <v>Cropping, Swidden</v>
      </c>
      <c r="F1488" s="152" t="str">
        <f>'Reported burning'!F1488</f>
        <v>Secondary Vegetation</v>
      </c>
      <c r="G1488" s="152" t="str">
        <f>'Reported burning'!G1488</f>
        <v>ND</v>
      </c>
      <c r="H1488" s="152"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2" t="str">
        <f>'Reported burning'!A1489</f>
        <v>173a</v>
      </c>
      <c r="B1489" s="152" t="str">
        <f>'Reported burning'!B1489</f>
        <v>173a.1</v>
      </c>
      <c r="C1489" s="152" t="str">
        <f>'Reported burning'!C1489</f>
        <v>Human, deliberate</v>
      </c>
      <c r="D1489" s="152" t="str">
        <f>'Reported burning'!D1489</f>
        <v>All</v>
      </c>
      <c r="E1489" s="152" t="str">
        <f>'Reported burning'!E1489</f>
        <v>Pastoralism, Migratory</v>
      </c>
      <c r="F1489" s="152" t="str">
        <f>'Reported burning'!F1489</f>
        <v>Shrubland (Mixed forest &amp; grassland)</v>
      </c>
      <c r="G1489" s="152" t="str">
        <f>'Reported burning'!G1489</f>
        <v>ND</v>
      </c>
      <c r="H1489" s="152"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2" t="str">
        <f>'Reported burning'!A1490</f>
        <v>173b</v>
      </c>
      <c r="B1490" s="152" t="str">
        <f>'Reported burning'!B1490</f>
        <v>173b.1</v>
      </c>
      <c r="C1490" s="152" t="str">
        <f>'Reported burning'!C1490</f>
        <v>Human, deliberate</v>
      </c>
      <c r="D1490" s="152" t="str">
        <f>'Reported burning'!D1490</f>
        <v>All</v>
      </c>
      <c r="E1490" s="152" t="str">
        <f>'Reported burning'!E1490</f>
        <v>All</v>
      </c>
      <c r="F1490" s="152" t="str">
        <f>'Reported burning'!F1490</f>
        <v>Forest</v>
      </c>
      <c r="G1490" s="152" t="str">
        <f>'Reported burning'!G1490</f>
        <v>ND</v>
      </c>
      <c r="H1490" s="152"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2" t="str">
        <f>'Reported burning'!A1491</f>
        <v>173b</v>
      </c>
      <c r="B1491" s="152" t="str">
        <f>'Reported burning'!B1491</f>
        <v>173b.2</v>
      </c>
      <c r="C1491" s="152" t="str">
        <f>'Reported burning'!C1491</f>
        <v>Human, deliberate</v>
      </c>
      <c r="D1491" s="152" t="str">
        <f>'Reported burning'!D1491</f>
        <v>Pyrome management</v>
      </c>
      <c r="E1491" s="152" t="str">
        <f>'Reported burning'!E1491</f>
        <v>Biodiversity conservation</v>
      </c>
      <c r="F1491" s="152" t="str">
        <f>'Reported burning'!F1491</f>
        <v>Forest</v>
      </c>
      <c r="G1491" s="152" t="str">
        <f>'Reported burning'!G1491</f>
        <v>ND</v>
      </c>
      <c r="H1491" s="152"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2" t="str">
        <f>'Reported burning'!A1492</f>
        <v>174a</v>
      </c>
      <c r="B1492" s="152" t="str">
        <f>'Reported burning'!B1492</f>
        <v>174a.1</v>
      </c>
      <c r="C1492" s="152" t="str">
        <f>'Reported burning'!C1492</f>
        <v>Human, deliberate</v>
      </c>
      <c r="D1492" s="152" t="str">
        <f>'Reported burning'!D1492</f>
        <v>Pasture renewal</v>
      </c>
      <c r="E1492" s="152" t="str">
        <f>'Reported burning'!E1492</f>
        <v>Cattle, Extensive</v>
      </c>
      <c r="F1492" s="152" t="str">
        <f>'Reported burning'!F1492</f>
        <v>Forest</v>
      </c>
      <c r="G1492" s="152" t="str">
        <f>'Reported burning'!G1492</f>
        <v>ND</v>
      </c>
      <c r="H1492" s="152"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2" t="str">
        <f>'Reported burning'!A1493</f>
        <v>174b</v>
      </c>
      <c r="B1493" s="152" t="str">
        <f>'Reported burning'!B1493</f>
        <v>174b.1</v>
      </c>
      <c r="C1493" s="152" t="str">
        <f>'Reported burning'!C1493</f>
        <v>Human, deliberate</v>
      </c>
      <c r="D1493" s="152" t="str">
        <f>'Reported burning'!D1493</f>
        <v>Pasture renewal</v>
      </c>
      <c r="E1493" s="152" t="str">
        <f>'Reported burning'!E1493</f>
        <v>Pastoralism, Migratory</v>
      </c>
      <c r="F1493" s="152" t="str">
        <f>'Reported burning'!F1493</f>
        <v>Forest</v>
      </c>
      <c r="G1493" s="152" t="str">
        <f>'Reported burning'!G1493</f>
        <v>ND</v>
      </c>
      <c r="H1493" s="152"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2" t="str">
        <f>'Reported burning'!A1494</f>
        <v>174a</v>
      </c>
      <c r="B1494" s="152" t="str">
        <f>'Reported burning'!B1494</f>
        <v>174a.2</v>
      </c>
      <c r="C1494" s="152" t="str">
        <f>'Reported burning'!C1494</f>
        <v>Human, deliberate</v>
      </c>
      <c r="D1494" s="152" t="str">
        <f>'Reported burning'!D1494</f>
        <v>Pasture renewal</v>
      </c>
      <c r="E1494" s="152" t="str">
        <f>'Reported burning'!E1494</f>
        <v>Cattle, Extensive</v>
      </c>
      <c r="F1494" s="152" t="str">
        <f>'Reported burning'!F1494</f>
        <v>Shrubland (Mixed forest &amp; grassland)</v>
      </c>
      <c r="G1494" s="152" t="str">
        <f>'Reported burning'!G1494</f>
        <v>ND</v>
      </c>
      <c r="H1494" s="152"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2" t="str">
        <f>'Reported burning'!A1495</f>
        <v>174b</v>
      </c>
      <c r="B1495" s="152" t="str">
        <f>'Reported burning'!B1495</f>
        <v>174b.2</v>
      </c>
      <c r="C1495" s="152" t="str">
        <f>'Reported burning'!C1495</f>
        <v>Human, deliberate</v>
      </c>
      <c r="D1495" s="152" t="str">
        <f>'Reported burning'!D1495</f>
        <v>Pasture renewal</v>
      </c>
      <c r="E1495" s="152" t="str">
        <f>'Reported burning'!E1495</f>
        <v>Pastoralism, Migratory</v>
      </c>
      <c r="F1495" s="152" t="str">
        <f>'Reported burning'!F1495</f>
        <v>Shrubland (Mixed forest &amp; grassland)</v>
      </c>
      <c r="G1495" s="152" t="str">
        <f>'Reported burning'!G1495</f>
        <v>ND</v>
      </c>
      <c r="H1495" s="152"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2" t="str">
        <f>'Reported burning'!A1496</f>
        <v>174a</v>
      </c>
      <c r="B1496" s="152" t="str">
        <f>'Reported burning'!B1496</f>
        <v>174a.3</v>
      </c>
      <c r="C1496" s="152" t="str">
        <f>'Reported burning'!C1496</f>
        <v>All</v>
      </c>
      <c r="D1496" s="152" t="str">
        <f>'Reported burning'!D1496</f>
        <v>All</v>
      </c>
      <c r="E1496" s="152" t="str">
        <f>'Reported burning'!E1496</f>
        <v>All</v>
      </c>
      <c r="F1496" s="152" t="str">
        <f>'Reported burning'!F1496</f>
        <v>ND</v>
      </c>
      <c r="G1496" s="152" t="str">
        <f>'Reported burning'!G1496</f>
        <v>Shrubland (Mixed forest &amp; grassland)</v>
      </c>
      <c r="H1496" s="152"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2" t="str">
        <f>'Reported burning'!A1497</f>
        <v>174b</v>
      </c>
      <c r="B1497" s="152" t="str">
        <f>'Reported burning'!B1497</f>
        <v>174b.3</v>
      </c>
      <c r="C1497" s="152" t="str">
        <f>'Reported burning'!C1497</f>
        <v>All</v>
      </c>
      <c r="D1497" s="152" t="str">
        <f>'Reported burning'!D1497</f>
        <v>All</v>
      </c>
      <c r="E1497" s="152" t="str">
        <f>'Reported burning'!E1497</f>
        <v>All</v>
      </c>
      <c r="F1497" s="152" t="str">
        <f>'Reported burning'!F1497</f>
        <v>ND</v>
      </c>
      <c r="G1497" s="152" t="str">
        <f>'Reported burning'!G1497</f>
        <v>Shrubland (Mixed forest &amp; grassland)</v>
      </c>
      <c r="H1497" s="152"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2" t="str">
        <f>'Reported burning'!A1498</f>
        <v>175a</v>
      </c>
      <c r="B1498" s="152" t="str">
        <f>'Reported burning'!B1498</f>
        <v>175a.1</v>
      </c>
      <c r="C1498" s="152" t="str">
        <f>'Reported burning'!C1498</f>
        <v>Human, deliberate</v>
      </c>
      <c r="D1498" s="152" t="str">
        <f>'Reported burning'!D1498</f>
        <v>Crop field preparation</v>
      </c>
      <c r="E1498" s="152" t="str">
        <f>'Reported burning'!E1498</f>
        <v>Cropping, Swidden</v>
      </c>
      <c r="F1498" s="152" t="str">
        <f>'Reported burning'!F1498</f>
        <v>Secondary Vegetation</v>
      </c>
      <c r="G1498" s="152" t="str">
        <f>'Reported burning'!G1498</f>
        <v>ND</v>
      </c>
      <c r="H1498" s="152"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2" t="str">
        <f>'Reported burning'!A1499</f>
        <v>175a</v>
      </c>
      <c r="B1499" s="152" t="str">
        <f>'Reported burning'!B1499</f>
        <v>175a.2</v>
      </c>
      <c r="C1499" s="152" t="str">
        <f>'Reported burning'!C1499</f>
        <v>Human, deliberate</v>
      </c>
      <c r="D1499" s="152" t="str">
        <f>'Reported burning'!D1499</f>
        <v>Vegetation management</v>
      </c>
      <c r="E1499" s="152" t="str">
        <f>'Reported burning'!E1499</f>
        <v>Cropping, Swidden</v>
      </c>
      <c r="F1499" s="152" t="str">
        <f>'Reported burning'!F1499</f>
        <v>Cropland</v>
      </c>
      <c r="G1499" s="152" t="str">
        <f>'Reported burning'!G1499</f>
        <v>ND</v>
      </c>
      <c r="H1499" s="152"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6" t="str">
        <f>'Reported burning'!A1500</f>
        <v>175b</v>
      </c>
      <c r="B1500" s="156" t="str">
        <f>'Reported burning'!B1500</f>
        <v>175b.1</v>
      </c>
      <c r="C1500" s="156" t="str">
        <f>'Reported burning'!C1500</f>
        <v>Human, deliberate</v>
      </c>
      <c r="D1500" s="156" t="str">
        <f>'Reported burning'!D1500</f>
        <v>Crop field preparation</v>
      </c>
      <c r="E1500" s="156" t="str">
        <f>'Reported burning'!E1500</f>
        <v>Cropping, Swidden</v>
      </c>
      <c r="F1500" s="156" t="str">
        <f>'Reported burning'!F1500</f>
        <v>Secondary Vegetation</v>
      </c>
      <c r="G1500" s="156" t="str">
        <f>'Reported burning'!G1500</f>
        <v>ND</v>
      </c>
      <c r="H1500" s="156"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2" t="str">
        <f>'Reported burning'!A1501</f>
        <v>175b</v>
      </c>
      <c r="B1501" s="152" t="str">
        <f>'Reported burning'!B1501</f>
        <v>175b.2</v>
      </c>
      <c r="C1501" s="152" t="str">
        <f>'Reported burning'!C1501</f>
        <v>Human, deliberate</v>
      </c>
      <c r="D1501" s="152" t="str">
        <f>'Reported burning'!D1501</f>
        <v>Crop residue burning</v>
      </c>
      <c r="E1501" s="152" t="str">
        <f>'Reported burning'!E1501</f>
        <v>Cropping, Swidden</v>
      </c>
      <c r="F1501" s="152" t="str">
        <f>'Reported burning'!F1501</f>
        <v>Cropland</v>
      </c>
      <c r="G1501" s="152" t="str">
        <f>'Reported burning'!G1501</f>
        <v>ND</v>
      </c>
      <c r="H1501" s="152"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2" t="str">
        <f>'Reported burning'!A1502</f>
        <v>175b</v>
      </c>
      <c r="B1502" s="152" t="str">
        <f>'Reported burning'!B1502</f>
        <v>175b.3</v>
      </c>
      <c r="C1502" s="152" t="str">
        <f>'Reported burning'!C1502</f>
        <v>Human, deliberate</v>
      </c>
      <c r="D1502" s="152" t="str">
        <f>'Reported burning'!D1502</f>
        <v>Vegetation management</v>
      </c>
      <c r="E1502" s="152" t="str">
        <f>'Reported burning'!E1502</f>
        <v>Cropping, Swidden</v>
      </c>
      <c r="F1502" s="152" t="str">
        <f>'Reported burning'!F1502</f>
        <v>Cropland</v>
      </c>
      <c r="G1502" s="152" t="str">
        <f>'Reported burning'!G1502</f>
        <v>ND</v>
      </c>
      <c r="H1502" s="152"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2" t="str">
        <f>'Reported burning'!A1503</f>
        <v>175c</v>
      </c>
      <c r="B1503" s="152" t="str">
        <f>'Reported burning'!B1503</f>
        <v>175c.1</v>
      </c>
      <c r="C1503" s="152" t="str">
        <f>'Reported burning'!C1503</f>
        <v>Human, deliberate</v>
      </c>
      <c r="D1503" s="152" t="str">
        <f>'Reported burning'!D1503</f>
        <v>Crop field preparation</v>
      </c>
      <c r="E1503" s="152" t="str">
        <f>'Reported burning'!E1503</f>
        <v>Cropping, Swidden</v>
      </c>
      <c r="F1503" s="152" t="str">
        <f>'Reported burning'!F1503</f>
        <v>Secondary Vegetation</v>
      </c>
      <c r="G1503" s="152" t="str">
        <f>'Reported burning'!G1503</f>
        <v>ND</v>
      </c>
      <c r="H1503" s="152"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2" t="str">
        <f>'Reported burning'!A1504</f>
        <v>176a</v>
      </c>
      <c r="B1504" s="152" t="str">
        <f>'Reported burning'!B1504</f>
        <v>176a.1</v>
      </c>
      <c r="C1504" s="152" t="str">
        <f>'Reported burning'!C1504</f>
        <v>Human, deliberate</v>
      </c>
      <c r="D1504" s="152" t="str">
        <f>'Reported burning'!D1504</f>
        <v>Rangeland management</v>
      </c>
      <c r="E1504" s="152" t="str">
        <f>'Reported burning'!E1504</f>
        <v>Pastoralism, Migratory</v>
      </c>
      <c r="F1504" s="152" t="str">
        <f>'Reported burning'!F1504</f>
        <v>Shrubland (Mixed forest &amp; grassland)</v>
      </c>
      <c r="G1504" s="152" t="str">
        <f>'Reported burning'!G1504</f>
        <v>ND</v>
      </c>
      <c r="H1504" s="152"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2" t="str">
        <f>'Reported burning'!A1505</f>
        <v>176a</v>
      </c>
      <c r="B1505" s="152" t="str">
        <f>'Reported burning'!B1505</f>
        <v>176a.2</v>
      </c>
      <c r="C1505" s="152" t="str">
        <f>'Reported burning'!C1505</f>
        <v>Human, deliberate</v>
      </c>
      <c r="D1505" s="152" t="str">
        <f>'Reported burning'!D1505</f>
        <v>Land clearance</v>
      </c>
      <c r="E1505" s="152" t="str">
        <f>'Reported burning'!E1505</f>
        <v>Pastoralism, Migratory</v>
      </c>
      <c r="F1505" s="152" t="str">
        <f>'Reported burning'!F1505</f>
        <v>Shrubland (Mixed forest &amp; grassland)</v>
      </c>
      <c r="G1505" s="152" t="str">
        <f>'Reported burning'!G1505</f>
        <v>ND</v>
      </c>
      <c r="H1505" s="152"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3" t="s">
        <v>4480</v>
      </c>
      <c r="AB1505" s="3"/>
    </row>
    <row r="1506" spans="1:28" ht="47.5" customHeight="1">
      <c r="A1506" s="152" t="str">
        <f>'Reported burning'!A1506</f>
        <v>176a</v>
      </c>
      <c r="B1506" s="152" t="str">
        <f>'Reported burning'!B1506</f>
        <v>176a.3</v>
      </c>
      <c r="C1506" s="152" t="str">
        <f>'Reported burning'!C1506</f>
        <v>Human, deliberate</v>
      </c>
      <c r="D1506" s="152" t="str">
        <f>'Reported burning'!D1506</f>
        <v>Accessibility</v>
      </c>
      <c r="E1506" s="152" t="str">
        <f>'Reported burning'!E1506</f>
        <v>Pastoralism, Migratory</v>
      </c>
      <c r="F1506" s="152" t="str">
        <f>'Reported burning'!F1506</f>
        <v>Shrubland (Mixed forest &amp; grassland)</v>
      </c>
      <c r="G1506" s="152" t="str">
        <f>'Reported burning'!G1506</f>
        <v>ND</v>
      </c>
      <c r="H1506" s="152"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3" t="s">
        <v>4480</v>
      </c>
      <c r="AB1506" s="3"/>
    </row>
    <row r="1507" spans="1:28" ht="47.5" customHeight="1">
      <c r="A1507" s="152" t="str">
        <f>'Reported burning'!A1507</f>
        <v>176a</v>
      </c>
      <c r="B1507" s="152" t="str">
        <f>'Reported burning'!B1507</f>
        <v>176a.4</v>
      </c>
      <c r="C1507" s="152" t="str">
        <f>'Reported burning'!C1507</f>
        <v>Human, deliberate</v>
      </c>
      <c r="D1507" s="152" t="str">
        <f>'Reported burning'!D1507</f>
        <v>Land clearance</v>
      </c>
      <c r="E1507" s="152" t="str">
        <f>'Reported burning'!E1507</f>
        <v>Pastoralism, Migratory</v>
      </c>
      <c r="F1507" s="152" t="str">
        <f>'Reported burning'!F1507</f>
        <v>Forest</v>
      </c>
      <c r="G1507" s="152" t="str">
        <f>'Reported burning'!G1507</f>
        <v>ND</v>
      </c>
      <c r="H1507" s="152"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3" t="s">
        <v>4480</v>
      </c>
      <c r="AB1507" s="3"/>
    </row>
    <row r="1508" spans="1:28" ht="47.5" customHeight="1">
      <c r="A1508" s="152" t="str">
        <f>'Reported burning'!A1508</f>
        <v>176a</v>
      </c>
      <c r="B1508" s="152" t="str">
        <f>'Reported burning'!B1508</f>
        <v>176a.5</v>
      </c>
      <c r="C1508" s="152" t="str">
        <f>'Reported burning'!C1508</f>
        <v>Human, deliberate</v>
      </c>
      <c r="D1508" s="152" t="str">
        <f>'Reported burning'!D1508</f>
        <v>Accessibility</v>
      </c>
      <c r="E1508" s="152" t="str">
        <f>'Reported burning'!E1508</f>
        <v>Pastoralism, Migratory</v>
      </c>
      <c r="F1508" s="152" t="str">
        <f>'Reported burning'!F1508</f>
        <v>Forest</v>
      </c>
      <c r="G1508" s="152" t="str">
        <f>'Reported burning'!G1508</f>
        <v>ND</v>
      </c>
      <c r="H1508" s="152"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3" t="s">
        <v>4480</v>
      </c>
      <c r="AB1508" s="3"/>
    </row>
    <row r="1509" spans="1:28" ht="46.5" customHeight="1">
      <c r="A1509" s="152" t="str">
        <f>'Reported burning'!A1509</f>
        <v>176a</v>
      </c>
      <c r="B1509" s="152" t="str">
        <f>'Reported burning'!B1509</f>
        <v>176a.6</v>
      </c>
      <c r="C1509" s="152" t="str">
        <f>'Reported burning'!C1509</f>
        <v>Human, escaped</v>
      </c>
      <c r="D1509" s="152" t="str">
        <f>'Reported burning'!D1509</f>
        <v>All</v>
      </c>
      <c r="E1509" s="152" t="str">
        <f>'Reported burning'!E1509</f>
        <v>Pastoralism, Migratory</v>
      </c>
      <c r="F1509" s="152" t="str">
        <f>'Reported burning'!F1509</f>
        <v>ND</v>
      </c>
      <c r="G1509" s="152" t="str">
        <f>'Reported burning'!G1509</f>
        <v>Forest</v>
      </c>
      <c r="H1509" s="152"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2" t="str">
        <f>'Reported burning'!A1510</f>
        <v>176a</v>
      </c>
      <c r="B1510" s="152" t="str">
        <f>'Reported burning'!B1510</f>
        <v>176a.7</v>
      </c>
      <c r="C1510" s="152" t="str">
        <f>'Reported burning'!C1510</f>
        <v>Unknown</v>
      </c>
      <c r="D1510" s="152" t="str">
        <f>'Reported burning'!D1510</f>
        <v>ND</v>
      </c>
      <c r="E1510" s="152" t="str">
        <f>'Reported burning'!E1510</f>
        <v>ND</v>
      </c>
      <c r="F1510" s="152" t="str">
        <f>'Reported burning'!F1510</f>
        <v>ND</v>
      </c>
      <c r="G1510" s="152" t="str">
        <f>'Reported burning'!G1510</f>
        <v>Forest</v>
      </c>
      <c r="H1510" s="152"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2" t="str">
        <f>'Reported burning'!A1511</f>
        <v>177a</v>
      </c>
      <c r="B1511" s="152" t="str">
        <f>'Reported burning'!B1511</f>
        <v>177a.1</v>
      </c>
      <c r="C1511" s="152" t="str">
        <f>'Reported burning'!C1511</f>
        <v>Human, deliberate</v>
      </c>
      <c r="D1511" s="152" t="str">
        <f>'Reported burning'!D1511</f>
        <v>Pest management</v>
      </c>
      <c r="E1511" s="152" t="str">
        <f>'Reported burning'!E1511</f>
        <v>Pastoralism, Migratory</v>
      </c>
      <c r="F1511" s="152" t="str">
        <f>'Reported burning'!F1511</f>
        <v>Forest</v>
      </c>
      <c r="G1511" s="152" t="str">
        <f>'Reported burning'!G1511</f>
        <v>Forest</v>
      </c>
      <c r="H1511" s="152"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2" t="str">
        <f>'Reported burning'!A1512</f>
        <v>177a</v>
      </c>
      <c r="B1512" s="152" t="str">
        <f>'Reported burning'!B1512</f>
        <v>177a.2</v>
      </c>
      <c r="C1512" s="152" t="str">
        <f>'Reported burning'!C1512</f>
        <v>Human, deliberate</v>
      </c>
      <c r="D1512" s="152" t="str">
        <f>'Reported burning'!D1512</f>
        <v>Forest clearance</v>
      </c>
      <c r="E1512" s="152" t="str">
        <f>'Reported burning'!E1512</f>
        <v>Pastoralism, Migratory</v>
      </c>
      <c r="F1512" s="152" t="str">
        <f>'Reported burning'!F1512</f>
        <v>Forest</v>
      </c>
      <c r="G1512" s="152" t="str">
        <f>'Reported burning'!G1512</f>
        <v>Forest</v>
      </c>
      <c r="H1512" s="152"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2" t="str">
        <f>'Reported burning'!A1513</f>
        <v>177b</v>
      </c>
      <c r="B1513" s="152" t="str">
        <f>'Reported burning'!B1513</f>
        <v>177b.1</v>
      </c>
      <c r="C1513" s="152" t="str">
        <f>'Reported burning'!C1513</f>
        <v>Human, deliberate</v>
      </c>
      <c r="D1513" s="152" t="str">
        <f>'Reported burning'!D1513</f>
        <v>Pest management</v>
      </c>
      <c r="E1513" s="152" t="str">
        <f>'Reported burning'!E1513</f>
        <v>Pastoralism, Migratory</v>
      </c>
      <c r="F1513" s="152" t="str">
        <f>'Reported burning'!F1513</f>
        <v>Shrubland (Mixed forest &amp; grassland)</v>
      </c>
      <c r="G1513" s="152" t="str">
        <f>'Reported burning'!G1513</f>
        <v>ND</v>
      </c>
      <c r="H1513" s="152"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2" t="str">
        <f>'Reported burning'!A1514</f>
        <v>177b</v>
      </c>
      <c r="B1514" s="152" t="str">
        <f>'Reported burning'!B1514</f>
        <v>177b.2</v>
      </c>
      <c r="C1514" s="152" t="str">
        <f>'Reported burning'!C1514</f>
        <v>Human, deliberate</v>
      </c>
      <c r="D1514" s="152" t="str">
        <f>'Reported burning'!D1514</f>
        <v>Pasture renewal</v>
      </c>
      <c r="E1514" s="152" t="str">
        <f>'Reported burning'!E1514</f>
        <v>Pastoralism, Migratory</v>
      </c>
      <c r="F1514" s="152" t="str">
        <f>'Reported burning'!F1514</f>
        <v>Grassland</v>
      </c>
      <c r="G1514" s="152" t="str">
        <f>'Reported burning'!G1514</f>
        <v>ND</v>
      </c>
      <c r="H1514" s="152"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2" t="str">
        <f>'Reported burning'!A1515</f>
        <v>177c</v>
      </c>
      <c r="B1515" s="152" t="str">
        <f>'Reported burning'!B1515</f>
        <v>177c.1</v>
      </c>
      <c r="C1515" s="152" t="str">
        <f>'Reported burning'!C1515</f>
        <v>Human, deliberate</v>
      </c>
      <c r="D1515" s="152" t="str">
        <f>'Reported burning'!D1515</f>
        <v>Domestic</v>
      </c>
      <c r="E1515" s="152" t="str">
        <f>'Reported burning'!E1515</f>
        <v>Pastoralism, Migratory</v>
      </c>
      <c r="F1515" s="152" t="str">
        <f>'Reported burning'!F1515</f>
        <v>ND</v>
      </c>
      <c r="G1515" s="152" t="str">
        <f>'Reported burning'!G1515</f>
        <v>ND</v>
      </c>
      <c r="H1515" s="152"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2" t="str">
        <f>'Reported burning'!A1516</f>
        <v>177d</v>
      </c>
      <c r="B1516" s="152" t="str">
        <f>'Reported burning'!B1516</f>
        <v>177d.1</v>
      </c>
      <c r="C1516" s="152" t="str">
        <f>'Reported burning'!C1516</f>
        <v>Human, deliberate</v>
      </c>
      <c r="D1516" s="152" t="str">
        <f>'Reported burning'!D1516</f>
        <v>Domestic</v>
      </c>
      <c r="E1516" s="152" t="str">
        <f>'Reported burning'!E1516</f>
        <v>Pastoralism, Migratory</v>
      </c>
      <c r="F1516" s="152" t="str">
        <f>'Reported burning'!F1516</f>
        <v>ND</v>
      </c>
      <c r="G1516" s="152" t="str">
        <f>'Reported burning'!G1516</f>
        <v>ND</v>
      </c>
      <c r="H1516" s="152"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2" t="str">
        <f>'Reported burning'!A1517</f>
        <v>178a</v>
      </c>
      <c r="B1517" s="152" t="str">
        <f>'Reported burning'!B1517</f>
        <v>178a.1</v>
      </c>
      <c r="C1517" s="152" t="str">
        <f>'Reported burning'!C1517</f>
        <v>All</v>
      </c>
      <c r="D1517" s="152" t="str">
        <f>'Reported burning'!D1517</f>
        <v>All</v>
      </c>
      <c r="E1517" s="152" t="str">
        <f>'Reported burning'!E1517</f>
        <v>All</v>
      </c>
      <c r="F1517" s="152" t="str">
        <f>'Reported burning'!F1517</f>
        <v>All</v>
      </c>
      <c r="G1517" s="152" t="str">
        <f>'Reported burning'!G1517</f>
        <v>All</v>
      </c>
      <c r="H1517" s="152"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5" t="s">
        <v>4509</v>
      </c>
    </row>
    <row r="1518" spans="1:28" ht="47" customHeight="1">
      <c r="A1518" s="152" t="str">
        <f>'Reported burning'!A1518</f>
        <v>178b</v>
      </c>
      <c r="B1518" s="152" t="str">
        <f>'Reported burning'!B1518</f>
        <v>178b.1</v>
      </c>
      <c r="C1518" s="152" t="str">
        <f>'Reported burning'!C1518</f>
        <v>Human, deliberate</v>
      </c>
      <c r="D1518" s="152" t="str">
        <f>'Reported burning'!D1518</f>
        <v>All</v>
      </c>
      <c r="E1518" s="152" t="str">
        <f>'Reported burning'!E1518</f>
        <v>Cattle, Intensive</v>
      </c>
      <c r="F1518" s="152" t="str">
        <f>'Reported burning'!F1518</f>
        <v>All</v>
      </c>
      <c r="G1518" s="152" t="str">
        <f>'Reported burning'!G1518</f>
        <v>All</v>
      </c>
      <c r="H1518" s="152"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6" t="s">
        <v>4511</v>
      </c>
    </row>
    <row r="1519" spans="1:28" ht="47" customHeight="1">
      <c r="A1519" s="152" t="str">
        <f>'Reported burning'!A1519</f>
        <v>178b</v>
      </c>
      <c r="B1519" s="152" t="str">
        <f>'Reported burning'!B1519</f>
        <v>178b.2</v>
      </c>
      <c r="C1519" s="152" t="str">
        <f>'Reported burning'!C1519</f>
        <v>Human, deliberate</v>
      </c>
      <c r="D1519" s="152" t="str">
        <f>'Reported burning'!D1519</f>
        <v>All</v>
      </c>
      <c r="E1519" s="152" t="str">
        <f>'Reported burning'!E1519</f>
        <v>Cattle, Extensive</v>
      </c>
      <c r="F1519" s="152" t="str">
        <f>'Reported burning'!F1519</f>
        <v>All</v>
      </c>
      <c r="G1519" s="152" t="str">
        <f>'Reported burning'!G1519</f>
        <v>All</v>
      </c>
      <c r="H1519" s="152"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6" t="s">
        <v>4511</v>
      </c>
    </row>
    <row r="1520" spans="1:28" ht="55" customHeight="1">
      <c r="A1520" s="152" t="str">
        <f>'Reported burning'!A1520</f>
        <v>179a</v>
      </c>
      <c r="B1520" s="152" t="str">
        <f>'Reported burning'!B1520</f>
        <v>179a.1</v>
      </c>
      <c r="C1520" s="152" t="str">
        <f>'Reported burning'!C1520</f>
        <v>All</v>
      </c>
      <c r="D1520" s="152" t="str">
        <f>'Reported burning'!D1520</f>
        <v>All</v>
      </c>
      <c r="E1520" s="152" t="str">
        <f>'Reported burning'!E1520</f>
        <v>All</v>
      </c>
      <c r="F1520" s="152" t="str">
        <f>'Reported burning'!F1520</f>
        <v>All</v>
      </c>
      <c r="G1520" s="152" t="str">
        <f>'Reported burning'!G1520</f>
        <v>All</v>
      </c>
      <c r="H1520" s="152"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2" t="str">
        <f>'Reported burning'!A1521</f>
        <v>179b</v>
      </c>
      <c r="B1521" s="152" t="str">
        <f>'Reported burning'!B1521</f>
        <v>179b.1</v>
      </c>
      <c r="C1521" s="152" t="str">
        <f>'Reported burning'!C1521</f>
        <v>All</v>
      </c>
      <c r="D1521" s="152" t="str">
        <f>'Reported burning'!D1521</f>
        <v>All</v>
      </c>
      <c r="E1521" s="152" t="str">
        <f>'Reported burning'!E1521</f>
        <v>All</v>
      </c>
      <c r="F1521" s="152" t="str">
        <f>'Reported burning'!F1521</f>
        <v>All</v>
      </c>
      <c r="G1521" s="152" t="str">
        <f>'Reported burning'!G1521</f>
        <v>All</v>
      </c>
      <c r="H1521" s="152"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2" t="str">
        <f>'Reported burning'!A1522</f>
        <v>179c</v>
      </c>
      <c r="B1522" s="152" t="str">
        <f>'Reported burning'!B1522</f>
        <v>179c.1</v>
      </c>
      <c r="C1522" s="152" t="str">
        <f>'Reported burning'!C1522</f>
        <v>All</v>
      </c>
      <c r="D1522" s="152" t="str">
        <f>'Reported burning'!D1522</f>
        <v>All</v>
      </c>
      <c r="E1522" s="152" t="str">
        <f>'Reported burning'!E1522</f>
        <v>All</v>
      </c>
      <c r="F1522" s="152" t="str">
        <f>'Reported burning'!F1522</f>
        <v>All</v>
      </c>
      <c r="G1522" s="152" t="str">
        <f>'Reported burning'!G1522</f>
        <v>All</v>
      </c>
      <c r="H1522" s="152"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2" t="str">
        <f>'Reported burning'!A1523</f>
        <v>179d</v>
      </c>
      <c r="B1523" s="152" t="str">
        <f>'Reported burning'!B1523</f>
        <v>179d.1</v>
      </c>
      <c r="C1523" s="152" t="str">
        <f>'Reported burning'!C1523</f>
        <v>All</v>
      </c>
      <c r="D1523" s="152" t="str">
        <f>'Reported burning'!D1523</f>
        <v>All</v>
      </c>
      <c r="E1523" s="152" t="str">
        <f>'Reported burning'!E1523</f>
        <v>All</v>
      </c>
      <c r="F1523" s="152" t="str">
        <f>'Reported burning'!F1523</f>
        <v>All</v>
      </c>
      <c r="G1523" s="152" t="str">
        <f>'Reported burning'!G1523</f>
        <v>All</v>
      </c>
      <c r="H1523" s="152"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2" t="str">
        <f>'Reported burning'!A1524</f>
        <v>179e</v>
      </c>
      <c r="B1524" s="152" t="str">
        <f>'Reported burning'!B1524</f>
        <v>179e.1</v>
      </c>
      <c r="C1524" s="152" t="str">
        <f>'Reported burning'!C1524</f>
        <v>All</v>
      </c>
      <c r="D1524" s="152" t="str">
        <f>'Reported burning'!D1524</f>
        <v>All</v>
      </c>
      <c r="E1524" s="152" t="str">
        <f>'Reported burning'!E1524</f>
        <v>All</v>
      </c>
      <c r="F1524" s="152" t="str">
        <f>'Reported burning'!F1524</f>
        <v>All</v>
      </c>
      <c r="G1524" s="152" t="str">
        <f>'Reported burning'!G1524</f>
        <v>All</v>
      </c>
      <c r="H1524" s="152"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2" t="str">
        <f>'Reported burning'!A1525</f>
        <v>179b</v>
      </c>
      <c r="B1525" s="152" t="str">
        <f>'Reported burning'!B1525</f>
        <v>179b.2</v>
      </c>
      <c r="C1525" s="152" t="str">
        <f>'Reported burning'!C1525</f>
        <v>All</v>
      </c>
      <c r="D1525" s="152" t="str">
        <f>'Reported burning'!D1525</f>
        <v>All</v>
      </c>
      <c r="E1525" s="152" t="str">
        <f>'Reported burning'!E1525</f>
        <v>All</v>
      </c>
      <c r="F1525" s="152" t="str">
        <f>'Reported burning'!F1525</f>
        <v>All</v>
      </c>
      <c r="G1525" s="152" t="str">
        <f>'Reported burning'!G1525</f>
        <v>All</v>
      </c>
      <c r="H1525" s="152"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2" t="str">
        <f>'Reported burning'!A1526</f>
        <v>179c</v>
      </c>
      <c r="B1526" s="152" t="str">
        <f>'Reported burning'!B1526</f>
        <v>179c.2</v>
      </c>
      <c r="C1526" s="152" t="str">
        <f>'Reported burning'!C1526</f>
        <v>All</v>
      </c>
      <c r="D1526" s="152" t="str">
        <f>'Reported burning'!D1526</f>
        <v>All</v>
      </c>
      <c r="E1526" s="152" t="str">
        <f>'Reported burning'!E1526</f>
        <v>All</v>
      </c>
      <c r="F1526" s="152" t="str">
        <f>'Reported burning'!F1526</f>
        <v>All</v>
      </c>
      <c r="G1526" s="152" t="str">
        <f>'Reported burning'!G1526</f>
        <v>All</v>
      </c>
      <c r="H1526" s="152"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2" t="str">
        <f>'Reported burning'!A1527</f>
        <v>179d</v>
      </c>
      <c r="B1527" s="152" t="str">
        <f>'Reported burning'!B1527</f>
        <v>179d.2</v>
      </c>
      <c r="C1527" s="152" t="str">
        <f>'Reported burning'!C1527</f>
        <v>All</v>
      </c>
      <c r="D1527" s="152" t="str">
        <f>'Reported burning'!D1527</f>
        <v>All</v>
      </c>
      <c r="E1527" s="152" t="str">
        <f>'Reported burning'!E1527</f>
        <v>All</v>
      </c>
      <c r="F1527" s="152" t="str">
        <f>'Reported burning'!F1527</f>
        <v>All</v>
      </c>
      <c r="G1527" s="152" t="str">
        <f>'Reported burning'!G1527</f>
        <v>All</v>
      </c>
      <c r="H1527" s="152"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2" t="str">
        <f>'Reported burning'!A1528</f>
        <v>179e</v>
      </c>
      <c r="B1528" s="152" t="str">
        <f>'Reported burning'!B1528</f>
        <v>179e.2</v>
      </c>
      <c r="C1528" s="152" t="str">
        <f>'Reported burning'!C1528</f>
        <v>All</v>
      </c>
      <c r="D1528" s="152" t="str">
        <f>'Reported burning'!D1528</f>
        <v>All</v>
      </c>
      <c r="E1528" s="152" t="str">
        <f>'Reported burning'!E1528</f>
        <v>All</v>
      </c>
      <c r="F1528" s="152" t="str">
        <f>'Reported burning'!F1528</f>
        <v>All</v>
      </c>
      <c r="G1528" s="152" t="str">
        <f>'Reported burning'!G1528</f>
        <v>All</v>
      </c>
      <c r="H1528" s="152"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7"/>
    </row>
    <row r="1529" spans="1:29" ht="36.5" customHeight="1">
      <c r="A1529" s="152" t="str">
        <f>'Reported burning'!A1529</f>
        <v>180a</v>
      </c>
      <c r="B1529" s="152" t="str">
        <f>'Reported burning'!B1529</f>
        <v>180a.1</v>
      </c>
      <c r="C1529" s="156" t="str">
        <f>'Reported burning'!C1529</f>
        <v>Human, deliberate</v>
      </c>
      <c r="D1529" s="156" t="str">
        <f>'Reported burning'!D1529</f>
        <v>Pasture renewal</v>
      </c>
      <c r="E1529" s="156" t="str">
        <f>'Reported burning'!E1529</f>
        <v>Pastoralism, Migratory</v>
      </c>
      <c r="F1529" s="156" t="str">
        <f>'Reported burning'!F1529</f>
        <v>Shrubland (Mixed forest &amp; grassland)</v>
      </c>
      <c r="G1529" s="156" t="str">
        <f>'Reported burning'!G1529</f>
        <v>All</v>
      </c>
      <c r="H1529" s="156"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2" t="str">
        <f>'Reported burning'!A1530</f>
        <v>180a</v>
      </c>
      <c r="B1530" s="152" t="str">
        <f>'Reported burning'!B1530</f>
        <v>180a.2</v>
      </c>
      <c r="C1530" s="152" t="str">
        <f>'Reported burning'!C1530</f>
        <v>Human, deliberate</v>
      </c>
      <c r="D1530" s="152" t="str">
        <f>'Reported burning'!D1530</f>
        <v>Vegetation management</v>
      </c>
      <c r="E1530" s="152" t="str">
        <f>'Reported burning'!E1530</f>
        <v>Cropping, Swidden</v>
      </c>
      <c r="F1530" s="152" t="str">
        <f>'Reported burning'!F1530</f>
        <v>Shrubland (Mixed forest &amp; grassland)</v>
      </c>
      <c r="G1530" s="152" t="str">
        <f>'Reported burning'!G1530</f>
        <v>All</v>
      </c>
      <c r="H1530" s="152"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2" t="str">
        <f>'Reported burning'!A1531</f>
        <v>180a</v>
      </c>
      <c r="B1531" s="152" t="str">
        <f>'Reported burning'!B1531</f>
        <v>180a.3</v>
      </c>
      <c r="C1531" s="152" t="str">
        <f>'Reported burning'!C1531</f>
        <v>Human, deliberate</v>
      </c>
      <c r="D1531" s="152" t="str">
        <f>'Reported burning'!D1531</f>
        <v>Vegetation management</v>
      </c>
      <c r="E1531" s="152" t="str">
        <f>'Reported burning'!E1531</f>
        <v>Pastoralism, Migratory</v>
      </c>
      <c r="F1531" s="152" t="str">
        <f>'Reported burning'!F1531</f>
        <v>Shrubland (Mixed forest &amp; grassland)</v>
      </c>
      <c r="G1531" s="152" t="str">
        <f>'Reported burning'!G1531</f>
        <v>All</v>
      </c>
      <c r="H1531" s="152"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2" t="str">
        <f>'Reported burning'!A1532</f>
        <v>180a</v>
      </c>
      <c r="B1532" s="152" t="str">
        <f>'Reported burning'!B1532</f>
        <v>180a.4</v>
      </c>
      <c r="C1532" s="152" t="str">
        <f>'Reported burning'!C1532</f>
        <v>Human, deliberate</v>
      </c>
      <c r="D1532" s="152" t="str">
        <f>'Reported burning'!D1532</f>
        <v>Vegetation management</v>
      </c>
      <c r="E1532" s="152" t="str">
        <f>'Reported burning'!E1532</f>
        <v>Forestry, Traditional</v>
      </c>
      <c r="F1532" s="152" t="str">
        <f>'Reported burning'!F1532</f>
        <v>Shrubland (Mixed forest &amp; grassland)</v>
      </c>
      <c r="G1532" s="152" t="str">
        <f>'Reported burning'!G1532</f>
        <v>All</v>
      </c>
      <c r="H1532" s="152"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2" t="str">
        <f>'Reported burning'!A1533</f>
        <v>180a</v>
      </c>
      <c r="B1533" s="152" t="str">
        <f>'Reported burning'!B1533</f>
        <v>180a.5</v>
      </c>
      <c r="C1533" s="152" t="str">
        <f>'Reported burning'!C1533</f>
        <v>Human, deliberate</v>
      </c>
      <c r="D1533" s="152" t="str">
        <f>'Reported burning'!D1533</f>
        <v>Fishing</v>
      </c>
      <c r="E1533" s="152" t="str">
        <f>'Reported burning'!E1533</f>
        <v>Pastoralism, Migratory</v>
      </c>
      <c r="F1533" s="152" t="str">
        <f>'Reported burning'!F1533</f>
        <v>Shrubland (Mixed forest &amp; grassland)</v>
      </c>
      <c r="G1533" s="152" t="str">
        <f>'Reported burning'!G1533</f>
        <v>All</v>
      </c>
      <c r="H1533" s="152"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2" t="str">
        <f>'Reported burning'!A1534</f>
        <v>180a</v>
      </c>
      <c r="B1534" s="152" t="str">
        <f>'Reported burning'!B1534</f>
        <v>180a.6</v>
      </c>
      <c r="C1534" s="152" t="str">
        <f>'Reported burning'!C1534</f>
        <v>Human, deliberate</v>
      </c>
      <c r="D1534" s="152" t="str">
        <f>'Reported burning'!D1534</f>
        <v>Accessibility</v>
      </c>
      <c r="E1534" s="152" t="str">
        <f>'Reported burning'!E1534</f>
        <v>Forestry, Traditional</v>
      </c>
      <c r="F1534" s="152" t="str">
        <f>'Reported burning'!F1534</f>
        <v>Shrubland (Mixed forest &amp; grassland)</v>
      </c>
      <c r="G1534" s="152" t="str">
        <f>'Reported burning'!G1534</f>
        <v>All</v>
      </c>
      <c r="H1534" s="152"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2" t="str">
        <f>'Reported burning'!A1535</f>
        <v>180a</v>
      </c>
      <c r="B1535" s="152" t="str">
        <f>'Reported burning'!B1535</f>
        <v>180a.7</v>
      </c>
      <c r="C1535" s="152" t="str">
        <f>'Reported burning'!C1535</f>
        <v>Human, deliberate</v>
      </c>
      <c r="D1535" s="152" t="str">
        <f>'Reported burning'!D1535</f>
        <v>Crop field preparation</v>
      </c>
      <c r="E1535" s="152" t="str">
        <f>'Reported burning'!E1535</f>
        <v>Cropping, Swidden</v>
      </c>
      <c r="F1535" s="152" t="str">
        <f>'Reported burning'!F1535</f>
        <v>Shrubland (Mixed forest &amp; grassland)</v>
      </c>
      <c r="G1535" s="152" t="str">
        <f>'Reported burning'!G1535</f>
        <v>All</v>
      </c>
      <c r="H1535" s="152"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2" t="str">
        <f>'Reported burning'!A1536</f>
        <v>180a</v>
      </c>
      <c r="B1536" s="152" t="str">
        <f>'Reported burning'!B1536</f>
        <v>180a.8</v>
      </c>
      <c r="C1536" s="152" t="str">
        <f>'Reported burning'!C1536</f>
        <v>Human, deliberate</v>
      </c>
      <c r="D1536" s="152" t="str">
        <f>'Reported burning'!D1536</f>
        <v>Land clearance</v>
      </c>
      <c r="E1536" s="152" t="str">
        <f>'Reported burning'!E1536</f>
        <v>Cropping, Swidden</v>
      </c>
      <c r="F1536" s="152" t="str">
        <f>'Reported burning'!F1536</f>
        <v>Shrubland (Mixed forest &amp; grassland)</v>
      </c>
      <c r="G1536" s="152" t="str">
        <f>'Reported burning'!G1536</f>
        <v>All</v>
      </c>
      <c r="H1536" s="152"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2" t="str">
        <f>'Reported burning'!A1537</f>
        <v>180a</v>
      </c>
      <c r="B1537" s="152" t="str">
        <f>'Reported burning'!B1537</f>
        <v>180a.9</v>
      </c>
      <c r="C1537" s="152" t="str">
        <f>'Reported burning'!C1537</f>
        <v>Human, deliberate</v>
      </c>
      <c r="D1537" s="152" t="str">
        <f>'Reported burning'!D1537</f>
        <v>Harvesting of NTFP</v>
      </c>
      <c r="E1537" s="152" t="str">
        <f>'Reported burning'!E1537</f>
        <v>Forestry, Traditional</v>
      </c>
      <c r="F1537" s="152" t="str">
        <f>'Reported burning'!F1537</f>
        <v>Shrubland (Mixed forest &amp; grassland)</v>
      </c>
      <c r="G1537" s="152" t="str">
        <f>'Reported burning'!G1537</f>
        <v>All</v>
      </c>
      <c r="H1537" s="152"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2" t="str">
        <f>'Reported burning'!A1538</f>
        <v>180a</v>
      </c>
      <c r="B1538" s="152" t="str">
        <f>'Reported burning'!B1538</f>
        <v>180a.10</v>
      </c>
      <c r="C1538" s="152" t="str">
        <f>'Reported burning'!C1538</f>
        <v>Human, deliberate</v>
      </c>
      <c r="D1538" s="152" t="str">
        <f>'Reported burning'!D1538</f>
        <v>Pest management</v>
      </c>
      <c r="E1538" s="152" t="str">
        <f>'Reported burning'!E1538</f>
        <v>Pastoralism, Migratory</v>
      </c>
      <c r="F1538" s="152" t="str">
        <f>'Reported burning'!F1538</f>
        <v>Shrubland (Mixed forest &amp; grassland)</v>
      </c>
      <c r="G1538" s="152" t="str">
        <f>'Reported burning'!G1538</f>
        <v>All</v>
      </c>
      <c r="H1538" s="152"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2" t="str">
        <f>'Reported burning'!A1539</f>
        <v>180a</v>
      </c>
      <c r="B1539" s="152" t="str">
        <f>'Reported burning'!B1539</f>
        <v>180a.11</v>
      </c>
      <c r="C1539" s="152" t="str">
        <f>'Reported burning'!C1539</f>
        <v>Human, deliberate</v>
      </c>
      <c r="D1539" s="152" t="str">
        <f>'Reported burning'!D1539</f>
        <v>All</v>
      </c>
      <c r="E1539" s="152" t="str">
        <f>'Reported burning'!E1539</f>
        <v>Pastoralism, Migratory</v>
      </c>
      <c r="F1539" s="152" t="str">
        <f>'Reported burning'!F1539</f>
        <v>Shrubland (Mixed forest &amp; grassland)</v>
      </c>
      <c r="G1539" s="152" t="str">
        <f>'Reported burning'!G1539</f>
        <v>All</v>
      </c>
      <c r="H1539" s="152"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2" t="str">
        <f>'Reported burning'!A1540</f>
        <v>180b</v>
      </c>
      <c r="B1540" s="152" t="str">
        <f>'Reported burning'!B1540</f>
        <v>180b.1</v>
      </c>
      <c r="C1540" s="152" t="str">
        <f>'Reported burning'!C1540</f>
        <v>Human, deliberate</v>
      </c>
      <c r="D1540" s="152" t="str">
        <f>'Reported burning'!D1540</f>
        <v>Pasture renewal</v>
      </c>
      <c r="E1540" s="152" t="str">
        <f>'Reported burning'!E1540</f>
        <v>Pastoralism, Migratory</v>
      </c>
      <c r="F1540" s="152" t="str">
        <f>'Reported burning'!F1540</f>
        <v>Shrubland (Mixed forest &amp; grassland)</v>
      </c>
      <c r="G1540" s="152" t="str">
        <f>'Reported burning'!G1540</f>
        <v>All</v>
      </c>
      <c r="H1540" s="152"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2" t="str">
        <f>'Reported burning'!A1541</f>
        <v>180b</v>
      </c>
      <c r="B1541" s="152" t="str">
        <f>'Reported burning'!B1541</f>
        <v>180b.2</v>
      </c>
      <c r="C1541" s="152" t="str">
        <f>'Reported burning'!C1541</f>
        <v>Human, deliberate</v>
      </c>
      <c r="D1541" s="152" t="str">
        <f>'Reported burning'!D1541</f>
        <v>Vegetation management</v>
      </c>
      <c r="E1541" s="152" t="str">
        <f>'Reported burning'!E1541</f>
        <v>Cropping, Swidden</v>
      </c>
      <c r="F1541" s="152" t="str">
        <f>'Reported burning'!F1541</f>
        <v>Shrubland (Mixed forest &amp; grassland)</v>
      </c>
      <c r="G1541" s="152" t="str">
        <f>'Reported burning'!G1541</f>
        <v>All</v>
      </c>
      <c r="H1541" s="152"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2" t="str">
        <f>'Reported burning'!A1542</f>
        <v>180b</v>
      </c>
      <c r="B1542" s="152" t="str">
        <f>'Reported burning'!B1542</f>
        <v>180b.3</v>
      </c>
      <c r="C1542" s="152" t="str">
        <f>'Reported burning'!C1542</f>
        <v>Human, deliberate</v>
      </c>
      <c r="D1542" s="152" t="str">
        <f>'Reported burning'!D1542</f>
        <v>Vegetation management</v>
      </c>
      <c r="E1542" s="152" t="str">
        <f>'Reported burning'!E1542</f>
        <v>Pastoralism, Migratory</v>
      </c>
      <c r="F1542" s="152" t="str">
        <f>'Reported burning'!F1542</f>
        <v>Shrubland (Mixed forest &amp; grassland)</v>
      </c>
      <c r="G1542" s="152" t="str">
        <f>'Reported burning'!G1542</f>
        <v>All</v>
      </c>
      <c r="H1542" s="152"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2" t="str">
        <f>'Reported burning'!A1543</f>
        <v>180b</v>
      </c>
      <c r="B1543" s="152" t="str">
        <f>'Reported burning'!B1543</f>
        <v>180b.4</v>
      </c>
      <c r="C1543" s="152" t="str">
        <f>'Reported burning'!C1543</f>
        <v>Human, deliberate</v>
      </c>
      <c r="D1543" s="152" t="str">
        <f>'Reported burning'!D1543</f>
        <v>Vegetation management</v>
      </c>
      <c r="E1543" s="152" t="str">
        <f>'Reported burning'!E1543</f>
        <v>Forestry, Traditional</v>
      </c>
      <c r="F1543" s="152" t="str">
        <f>'Reported burning'!F1543</f>
        <v>Shrubland (Mixed forest &amp; grassland)</v>
      </c>
      <c r="G1543" s="152" t="str">
        <f>'Reported burning'!G1543</f>
        <v>All</v>
      </c>
      <c r="H1543" s="152"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2" t="str">
        <f>'Reported burning'!A1544</f>
        <v>180b</v>
      </c>
      <c r="B1544" s="152" t="str">
        <f>'Reported burning'!B1544</f>
        <v>180b.5</v>
      </c>
      <c r="C1544" s="152" t="str">
        <f>'Reported burning'!C1544</f>
        <v>Human, deliberate</v>
      </c>
      <c r="D1544" s="152" t="str">
        <f>'Reported burning'!D1544</f>
        <v>Fishing</v>
      </c>
      <c r="E1544" s="152" t="str">
        <f>'Reported burning'!E1544</f>
        <v>Pastoralism, Migratory</v>
      </c>
      <c r="F1544" s="152" t="str">
        <f>'Reported burning'!F1544</f>
        <v>Shrubland (Mixed forest &amp; grassland)</v>
      </c>
      <c r="G1544" s="152" t="str">
        <f>'Reported burning'!G1544</f>
        <v>All</v>
      </c>
      <c r="H1544" s="152"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2" t="str">
        <f>'Reported burning'!A1545</f>
        <v>180b</v>
      </c>
      <c r="B1545" s="152" t="str">
        <f>'Reported burning'!B1545</f>
        <v>180b.6</v>
      </c>
      <c r="C1545" s="152" t="str">
        <f>'Reported burning'!C1545</f>
        <v>Human, deliberate</v>
      </c>
      <c r="D1545" s="152" t="str">
        <f>'Reported burning'!D1545</f>
        <v>Accessibility</v>
      </c>
      <c r="E1545" s="152" t="str">
        <f>'Reported burning'!E1545</f>
        <v>Forestry, Traditional</v>
      </c>
      <c r="F1545" s="152" t="str">
        <f>'Reported burning'!F1545</f>
        <v>Shrubland (Mixed forest &amp; grassland)</v>
      </c>
      <c r="G1545" s="152" t="str">
        <f>'Reported burning'!G1545</f>
        <v>All</v>
      </c>
      <c r="H1545" s="152"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2" t="str">
        <f>'Reported burning'!A1546</f>
        <v>180b</v>
      </c>
      <c r="B1546" s="152" t="str">
        <f>'Reported burning'!B1546</f>
        <v>180b.7</v>
      </c>
      <c r="C1546" s="152" t="str">
        <f>'Reported burning'!C1546</f>
        <v>Human, deliberate</v>
      </c>
      <c r="D1546" s="152" t="str">
        <f>'Reported burning'!D1546</f>
        <v>Crop field preparation</v>
      </c>
      <c r="E1546" s="152" t="str">
        <f>'Reported burning'!E1546</f>
        <v>Cropping, Swidden</v>
      </c>
      <c r="F1546" s="152" t="str">
        <f>'Reported burning'!F1546</f>
        <v>Shrubland (Mixed forest &amp; grassland)</v>
      </c>
      <c r="G1546" s="152" t="str">
        <f>'Reported burning'!G1546</f>
        <v>All</v>
      </c>
      <c r="H1546" s="152"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2" t="str">
        <f>'Reported burning'!A1547</f>
        <v>180b</v>
      </c>
      <c r="B1547" s="152" t="str">
        <f>'Reported burning'!B1547</f>
        <v>180b.8</v>
      </c>
      <c r="C1547" s="152" t="str">
        <f>'Reported burning'!C1547</f>
        <v>Human, deliberate</v>
      </c>
      <c r="D1547" s="152" t="str">
        <f>'Reported burning'!D1547</f>
        <v>Land clearance</v>
      </c>
      <c r="E1547" s="152" t="str">
        <f>'Reported burning'!E1547</f>
        <v>Cropping, Swidden</v>
      </c>
      <c r="F1547" s="152" t="str">
        <f>'Reported burning'!F1547</f>
        <v>Shrubland (Mixed forest &amp; grassland)</v>
      </c>
      <c r="G1547" s="152" t="str">
        <f>'Reported burning'!G1547</f>
        <v>All</v>
      </c>
      <c r="H1547" s="152"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2" t="str">
        <f>'Reported burning'!A1548</f>
        <v>180b</v>
      </c>
      <c r="B1548" s="152" t="str">
        <f>'Reported burning'!B1548</f>
        <v>180b.9</v>
      </c>
      <c r="C1548" s="152" t="str">
        <f>'Reported burning'!C1548</f>
        <v>Human, deliberate</v>
      </c>
      <c r="D1548" s="152" t="str">
        <f>'Reported burning'!D1548</f>
        <v>Harvesting of NTFP</v>
      </c>
      <c r="E1548" s="152" t="str">
        <f>'Reported burning'!E1548</f>
        <v>Forestry, Traditional</v>
      </c>
      <c r="F1548" s="152" t="str">
        <f>'Reported burning'!F1548</f>
        <v>Shrubland (Mixed forest &amp; grassland)</v>
      </c>
      <c r="G1548" s="152" t="str">
        <f>'Reported burning'!G1548</f>
        <v>All</v>
      </c>
      <c r="H1548" s="152"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2" t="str">
        <f>'Reported burning'!A1549</f>
        <v>180b</v>
      </c>
      <c r="B1549" s="152" t="str">
        <f>'Reported burning'!B1549</f>
        <v>180b.10</v>
      </c>
      <c r="C1549" s="152" t="str">
        <f>'Reported burning'!C1549</f>
        <v>Human, deliberate</v>
      </c>
      <c r="D1549" s="152" t="str">
        <f>'Reported burning'!D1549</f>
        <v>Pest management</v>
      </c>
      <c r="E1549" s="152" t="str">
        <f>'Reported burning'!E1549</f>
        <v>Pastoralism, Migratory</v>
      </c>
      <c r="F1549" s="152" t="str">
        <f>'Reported burning'!F1549</f>
        <v>Shrubland (Mixed forest &amp; grassland)</v>
      </c>
      <c r="G1549" s="152" t="str">
        <f>'Reported burning'!G1549</f>
        <v>All</v>
      </c>
      <c r="H1549" s="152"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2" t="str">
        <f>'Reported burning'!A1550</f>
        <v>180b</v>
      </c>
      <c r="B1550" s="152" t="str">
        <f>'Reported burning'!B1550</f>
        <v>180b.11</v>
      </c>
      <c r="C1550" s="152" t="str">
        <f>'Reported burning'!C1550</f>
        <v>Human, deliberate</v>
      </c>
      <c r="D1550" s="152" t="str">
        <f>'Reported burning'!D1550</f>
        <v>All</v>
      </c>
      <c r="E1550" s="152" t="str">
        <f>'Reported burning'!E1550</f>
        <v>Pastoralism, Migratory</v>
      </c>
      <c r="F1550" s="152" t="str">
        <f>'Reported burning'!F1550</f>
        <v>Shrubland (Mixed forest &amp; grassland)</v>
      </c>
      <c r="G1550" s="152" t="str">
        <f>'Reported burning'!G1550</f>
        <v>All</v>
      </c>
      <c r="H1550" s="152"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2" t="str">
        <f>'Reported burning'!A1551</f>
        <v>180c</v>
      </c>
      <c r="B1551" s="152" t="str">
        <f>'Reported burning'!B1551</f>
        <v>180c.1</v>
      </c>
      <c r="C1551" s="152" t="str">
        <f>'Reported burning'!C1551</f>
        <v>Human, deliberate</v>
      </c>
      <c r="D1551" s="152" t="str">
        <f>'Reported burning'!D1551</f>
        <v>Conservation</v>
      </c>
      <c r="E1551" s="152" t="str">
        <f>'Reported burning'!E1551</f>
        <v>Biodiversity conservation</v>
      </c>
      <c r="F1551" s="152" t="str">
        <f>'Reported burning'!F1551</f>
        <v>Shrubland (Mixed forest &amp; grassland)</v>
      </c>
      <c r="G1551" s="152" t="str">
        <f>'Reported burning'!G1551</f>
        <v>All</v>
      </c>
      <c r="H1551" s="152"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2" t="str">
        <f>'Reported burning'!A1552</f>
        <v>180c</v>
      </c>
      <c r="B1552" s="152" t="str">
        <f>'Reported burning'!B1552</f>
        <v>180c.2</v>
      </c>
      <c r="C1552" s="152" t="str">
        <f>'Reported burning'!C1552</f>
        <v>Human, deliberate</v>
      </c>
      <c r="D1552" s="152" t="str">
        <f>'Reported burning'!D1552</f>
        <v>Hunting</v>
      </c>
      <c r="E1552" s="152" t="str">
        <f>'Reported burning'!E1552</f>
        <v>Tourism manager</v>
      </c>
      <c r="F1552" s="152" t="str">
        <f>'Reported burning'!F1552</f>
        <v>Shrubland (Mixed forest &amp; grassland)</v>
      </c>
      <c r="G1552" s="152" t="str">
        <f>'Reported burning'!G1552</f>
        <v>All</v>
      </c>
      <c r="H1552" s="152"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2" t="str">
        <f>'Reported burning'!A1553</f>
        <v>180c</v>
      </c>
      <c r="B1553" s="152" t="str">
        <f>'Reported burning'!B1553</f>
        <v>180c.3</v>
      </c>
      <c r="C1553" s="152" t="str">
        <f>'Reported burning'!C1553</f>
        <v>Human, deliberate</v>
      </c>
      <c r="D1553" s="152" t="str">
        <f>'Reported burning'!D1553</f>
        <v>All</v>
      </c>
      <c r="E1553" s="152" t="str">
        <f>'Reported burning'!E1553</f>
        <v>All</v>
      </c>
      <c r="F1553" s="152" t="str">
        <f>'Reported burning'!F1553</f>
        <v>Shrubland (Mixed forest &amp; grassland)</v>
      </c>
      <c r="G1553" s="152" t="str">
        <f>'Reported burning'!G1553</f>
        <v>All</v>
      </c>
      <c r="H1553" s="152"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2" t="str">
        <f>'Reported burning'!A1554</f>
        <v>180d</v>
      </c>
      <c r="B1554" s="152" t="str">
        <f>'Reported burning'!B1554</f>
        <v>180d.1</v>
      </c>
      <c r="C1554" s="152" t="str">
        <f>'Reported burning'!C1554</f>
        <v>Human, deliberate</v>
      </c>
      <c r="D1554" s="152" t="str">
        <f>'Reported burning'!D1554</f>
        <v>Pest management</v>
      </c>
      <c r="E1554" s="152" t="str">
        <f>'Reported burning'!E1554</f>
        <v>Pastoralism, Migratory</v>
      </c>
      <c r="F1554" s="152" t="str">
        <f>'Reported burning'!F1554</f>
        <v>Shrubland (Mixed forest &amp; grassland)</v>
      </c>
      <c r="G1554" s="152" t="str">
        <f>'Reported burning'!G1554</f>
        <v>All</v>
      </c>
      <c r="H1554" s="152"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2" t="str">
        <f>'Reported burning'!A1555</f>
        <v>180d</v>
      </c>
      <c r="B1555" s="152" t="str">
        <f>'Reported burning'!B1555</f>
        <v>180d.2</v>
      </c>
      <c r="C1555" s="152" t="str">
        <f>'Reported burning'!C1555</f>
        <v>Human, deliberate</v>
      </c>
      <c r="D1555" s="152" t="str">
        <f>'Reported burning'!D1555</f>
        <v>All</v>
      </c>
      <c r="E1555" s="152" t="str">
        <f>'Reported burning'!E1555</f>
        <v>Pastoralism, Migratory</v>
      </c>
      <c r="F1555" s="152" t="str">
        <f>'Reported burning'!F1555</f>
        <v>Shrubland (Mixed forest &amp; grassland)</v>
      </c>
      <c r="G1555" s="152" t="str">
        <f>'Reported burning'!G1555</f>
        <v>All</v>
      </c>
      <c r="H1555" s="152"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6" t="str">
        <f>'Reported burning'!A1556</f>
        <v>180e</v>
      </c>
      <c r="B1556" s="156" t="str">
        <f>'Reported burning'!B1556</f>
        <v>180e.1</v>
      </c>
      <c r="C1556" s="156" t="str">
        <f>'Reported burning'!C1556</f>
        <v>Human, deliberate</v>
      </c>
      <c r="D1556" s="156" t="str">
        <f>'Reported burning'!D1556</f>
        <v>Pyrome management</v>
      </c>
      <c r="E1556" s="156" t="str">
        <f>'Reported burning'!E1556</f>
        <v>Biodiversity conservation</v>
      </c>
      <c r="F1556" s="156" t="str">
        <f>'Reported burning'!F1556</f>
        <v>Shrubland (Mixed forest &amp; grassland)</v>
      </c>
      <c r="G1556" s="156" t="str">
        <f>'Reported burning'!G1556</f>
        <v>All</v>
      </c>
      <c r="H1556" s="156"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2" t="str">
        <f>'Reported burning'!A1557</f>
        <v>180f</v>
      </c>
      <c r="B1557" s="152" t="str">
        <f>'Reported burning'!B1557</f>
        <v>180f.1</v>
      </c>
      <c r="C1557" s="152" t="str">
        <f>'Reported burning'!C1557</f>
        <v>Human, deliberate</v>
      </c>
      <c r="D1557" s="152" t="str">
        <f>'Reported burning'!D1557</f>
        <v>Pyrome management</v>
      </c>
      <c r="E1557" s="152" t="str">
        <f>'Reported burning'!E1557</f>
        <v>Biodiversity conservation</v>
      </c>
      <c r="F1557" s="152" t="str">
        <f>'Reported burning'!F1557</f>
        <v>Shrubland (Mixed forest &amp; grassland)</v>
      </c>
      <c r="G1557" s="152" t="str">
        <f>'Reported burning'!G1557</f>
        <v>All</v>
      </c>
      <c r="H1557" s="152"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2" t="str">
        <f>'Reported burning'!A1558</f>
        <v>180e</v>
      </c>
      <c r="B1558" s="152" t="str">
        <f>'Reported burning'!B1558</f>
        <v>180e.2</v>
      </c>
      <c r="C1558" s="152" t="str">
        <f>'Reported burning'!C1558</f>
        <v>Human, deliberate</v>
      </c>
      <c r="D1558" s="152" t="str">
        <f>'Reported burning'!D1558</f>
        <v>Conservation</v>
      </c>
      <c r="E1558" s="152" t="str">
        <f>'Reported burning'!E1558</f>
        <v>Biodiversity conservation</v>
      </c>
      <c r="F1558" s="152" t="str">
        <f>'Reported burning'!F1558</f>
        <v>Shrubland (Mixed forest &amp; grassland)</v>
      </c>
      <c r="G1558" s="152" t="str">
        <f>'Reported burning'!G1558</f>
        <v>All</v>
      </c>
      <c r="H1558" s="152"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2" t="str">
        <f>'Reported burning'!A1559</f>
        <v>180f</v>
      </c>
      <c r="B1559" s="152" t="str">
        <f>'Reported burning'!B1559</f>
        <v>180f.2</v>
      </c>
      <c r="C1559" s="152" t="str">
        <f>'Reported burning'!C1559</f>
        <v>Human, deliberate</v>
      </c>
      <c r="D1559" s="152" t="str">
        <f>'Reported burning'!D1559</f>
        <v>Conservation</v>
      </c>
      <c r="E1559" s="152" t="str">
        <f>'Reported burning'!E1559</f>
        <v>Biodiversity conservation</v>
      </c>
      <c r="F1559" s="152" t="str">
        <f>'Reported burning'!F1559</f>
        <v>Shrubland (Mixed forest &amp; grassland)</v>
      </c>
      <c r="G1559" s="152" t="str">
        <f>'Reported burning'!G1559</f>
        <v>All</v>
      </c>
      <c r="H1559" s="152"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2" t="str">
        <f>'Reported burning'!A1560</f>
        <v>181a</v>
      </c>
      <c r="B1560" s="152" t="str">
        <f>'Reported burning'!B1560</f>
        <v>181a.1</v>
      </c>
      <c r="C1560" s="152" t="str">
        <f>'Reported burning'!C1560</f>
        <v>Lightning</v>
      </c>
      <c r="D1560" s="152" t="str">
        <f>'Reported burning'!D1560</f>
        <v>Pyrome management</v>
      </c>
      <c r="E1560" s="152" t="str">
        <f>'Reported burning'!E1560</f>
        <v>Biodiversity conservation</v>
      </c>
      <c r="F1560" s="152" t="str">
        <f>'Reported burning'!F1560</f>
        <v>Shrubland (Mixed forest &amp; grassland)</v>
      </c>
      <c r="G1560" s="152" t="str">
        <f>'Reported burning'!G1560</f>
        <v>Shrubland (Mixed forest &amp; grassland)</v>
      </c>
      <c r="H1560" s="152"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2" t="str">
        <f>'Reported burning'!A1561</f>
        <v>181a</v>
      </c>
      <c r="B1561" s="152" t="str">
        <f>'Reported burning'!B1561</f>
        <v>181a.2</v>
      </c>
      <c r="C1561" s="152" t="str">
        <f>'Reported burning'!C1561</f>
        <v>Human, deliberate</v>
      </c>
      <c r="D1561" s="152" t="str">
        <f>'Reported burning'!D1561</f>
        <v>All</v>
      </c>
      <c r="E1561" s="152" t="str">
        <f>'Reported burning'!E1561</f>
        <v>Biodiversity conservation</v>
      </c>
      <c r="F1561" s="152" t="str">
        <f>'Reported burning'!F1561</f>
        <v>Shrubland (Mixed forest &amp; grassland)</v>
      </c>
      <c r="G1561" s="152" t="str">
        <f>'Reported burning'!G1561</f>
        <v>Shrubland (Mixed forest &amp; grassland)</v>
      </c>
      <c r="H1561" s="152"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2" t="str">
        <f>'Reported burning'!A1562</f>
        <v>181b</v>
      </c>
      <c r="B1562" s="152" t="str">
        <f>'Reported burning'!B1562</f>
        <v>181b.1</v>
      </c>
      <c r="C1562" s="152" t="str">
        <f>'Reported burning'!C1562</f>
        <v>Human, deliberate</v>
      </c>
      <c r="D1562" s="152" t="str">
        <f>'Reported burning'!D1562</f>
        <v>Conservation</v>
      </c>
      <c r="E1562" s="152" t="str">
        <f>'Reported burning'!E1562</f>
        <v>Biodiversity conservation</v>
      </c>
      <c r="F1562" s="152" t="str">
        <f>'Reported burning'!F1562</f>
        <v>Shrubland (Mixed forest &amp; grassland)</v>
      </c>
      <c r="G1562" s="152" t="str">
        <f>'Reported burning'!G1562</f>
        <v>Shrubland (Mixed forest &amp; grassland)</v>
      </c>
      <c r="H1562" s="152"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2" t="str">
        <f>'Reported burning'!A1563</f>
        <v>181c</v>
      </c>
      <c r="B1563" s="152" t="str">
        <f>'Reported burning'!B1563</f>
        <v>181c.1</v>
      </c>
      <c r="C1563" s="152" t="str">
        <f>'Reported burning'!C1563</f>
        <v>Human, deliberate</v>
      </c>
      <c r="D1563" s="152" t="str">
        <f>'Reported burning'!D1563</f>
        <v>Conservation</v>
      </c>
      <c r="E1563" s="152" t="str">
        <f>'Reported burning'!E1563</f>
        <v>Biodiversity conservation</v>
      </c>
      <c r="F1563" s="152" t="str">
        <f>'Reported burning'!F1563</f>
        <v>Shrubland (Mixed forest &amp; grassland)</v>
      </c>
      <c r="G1563" s="152" t="str">
        <f>'Reported burning'!G1563</f>
        <v>Shrubland (Mixed forest &amp; grassland)</v>
      </c>
      <c r="H1563" s="152"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2" t="str">
        <f>'Reported burning'!A1564</f>
        <v>181d</v>
      </c>
      <c r="B1564" s="152" t="str">
        <f>'Reported burning'!B1564</f>
        <v>181d.1</v>
      </c>
      <c r="C1564" s="152" t="str">
        <f>'Reported burning'!C1564</f>
        <v>Human, deliberate</v>
      </c>
      <c r="D1564" s="152" t="str">
        <f>'Reported burning'!D1564</f>
        <v>Conservation</v>
      </c>
      <c r="E1564" s="152" t="str">
        <f>'Reported burning'!E1564</f>
        <v>Biodiversity conservation</v>
      </c>
      <c r="F1564" s="152" t="str">
        <f>'Reported burning'!F1564</f>
        <v>Shrubland (Mixed forest &amp; grassland)</v>
      </c>
      <c r="G1564" s="152" t="str">
        <f>'Reported burning'!G1564</f>
        <v>Shrubland (Mixed forest &amp; grassland)</v>
      </c>
      <c r="H1564" s="152"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2" t="str">
        <f>'Reported burning'!A1565</f>
        <v>182a</v>
      </c>
      <c r="B1565" s="152" t="str">
        <f>'Reported burning'!B1565</f>
        <v>182a.1</v>
      </c>
      <c r="C1565" s="152" t="str">
        <f>'Reported burning'!C1565</f>
        <v>Human, deliberate</v>
      </c>
      <c r="D1565" s="152" t="str">
        <f>'Reported burning'!D1565</f>
        <v>Rangeland management</v>
      </c>
      <c r="E1565" s="152" t="str">
        <f>'Reported burning'!E1565</f>
        <v>Cattle, Intensive</v>
      </c>
      <c r="F1565" s="152" t="str">
        <f>'Reported burning'!F1565</f>
        <v>Shrubland (Mixed forest &amp; grassland)</v>
      </c>
      <c r="G1565" s="152" t="str">
        <f>'Reported burning'!G1565</f>
        <v>ND</v>
      </c>
      <c r="H1565" s="152"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2" t="str">
        <f>'Reported burning'!A1566</f>
        <v>182a</v>
      </c>
      <c r="B1566" s="152" t="str">
        <f>'Reported burning'!B1566</f>
        <v>182a.2</v>
      </c>
      <c r="C1566" s="152" t="str">
        <f>'Reported burning'!C1566</f>
        <v>Human, deliberate</v>
      </c>
      <c r="D1566" s="152" t="str">
        <f>'Reported burning'!D1566</f>
        <v>Pasture renewal</v>
      </c>
      <c r="E1566" s="152" t="str">
        <f>'Reported burning'!E1566</f>
        <v>Cattle, Intensive</v>
      </c>
      <c r="F1566" s="152" t="str">
        <f>'Reported burning'!F1566</f>
        <v>Shrubland (Mixed forest &amp; grassland)</v>
      </c>
      <c r="G1566" s="152" t="str">
        <f>'Reported burning'!G1566</f>
        <v>ND</v>
      </c>
      <c r="H1566" s="152"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2" t="str">
        <f>'Reported burning'!A1567</f>
        <v>182a</v>
      </c>
      <c r="B1567" s="152" t="str">
        <f>'Reported burning'!B1567</f>
        <v>182a.3</v>
      </c>
      <c r="C1567" s="152" t="str">
        <f>'Reported burning'!C1567</f>
        <v>Human, deliberate</v>
      </c>
      <c r="D1567" s="152" t="str">
        <f>'Reported burning'!D1567</f>
        <v>Rangeland management</v>
      </c>
      <c r="E1567" s="152" t="str">
        <f>'Reported burning'!E1567</f>
        <v>Pastoralism, Migratory</v>
      </c>
      <c r="F1567" s="152" t="str">
        <f>'Reported burning'!F1567</f>
        <v>Shrubland (Mixed forest &amp; grassland)</v>
      </c>
      <c r="G1567" s="152" t="str">
        <f>'Reported burning'!G1567</f>
        <v>ND</v>
      </c>
      <c r="H1567" s="152"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2" t="str">
        <f>'Reported burning'!A1568</f>
        <v>183a</v>
      </c>
      <c r="B1568" s="152" t="str">
        <f>'Reported burning'!B1568</f>
        <v>183a.1</v>
      </c>
      <c r="C1568" s="152" t="str">
        <f>'Reported burning'!C1568</f>
        <v>Human, deliberate</v>
      </c>
      <c r="D1568" s="152" t="str">
        <f>'Reported burning'!D1568</f>
        <v>Pyrome management</v>
      </c>
      <c r="E1568" s="152" t="str">
        <f>'Reported burning'!E1568</f>
        <v>Forestry, Industrial</v>
      </c>
      <c r="F1568" s="152" t="str">
        <f>'Reported burning'!F1568</f>
        <v>Forest</v>
      </c>
      <c r="G1568" s="152" t="str">
        <f>'Reported burning'!G1568</f>
        <v>ND</v>
      </c>
      <c r="H1568" s="152"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2" t="str">
        <f>'Reported burning'!A1569</f>
        <v>183a</v>
      </c>
      <c r="B1569" s="152" t="str">
        <f>'Reported burning'!B1569</f>
        <v>183a.2</v>
      </c>
      <c r="C1569" s="152" t="str">
        <f>'Reported burning'!C1569</f>
        <v>Human, deliberate</v>
      </c>
      <c r="D1569" s="152" t="str">
        <f>'Reported burning'!D1569</f>
        <v>Domestic</v>
      </c>
      <c r="E1569" s="152" t="str">
        <f>'Reported burning'!E1569</f>
        <v>Pastoralism, Migratory</v>
      </c>
      <c r="F1569" s="152" t="str">
        <f>'Reported burning'!F1569</f>
        <v>ND</v>
      </c>
      <c r="G1569" s="152" t="str">
        <f>'Reported burning'!G1569</f>
        <v>ND</v>
      </c>
      <c r="H1569" s="152"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2" t="str">
        <f>'Reported burning'!A1570</f>
        <v>183b</v>
      </c>
      <c r="B1570" s="152" t="str">
        <f>'Reported burning'!B1570</f>
        <v>183b.1</v>
      </c>
      <c r="C1570" s="152" t="str">
        <f>'Reported burning'!C1570</f>
        <v>Human, deliberate</v>
      </c>
      <c r="D1570" s="152" t="str">
        <f>'Reported burning'!D1570</f>
        <v>Pyrome management</v>
      </c>
      <c r="E1570" s="152" t="str">
        <f>'Reported burning'!E1570</f>
        <v>Forestry, Industrial</v>
      </c>
      <c r="F1570" s="152" t="str">
        <f>'Reported burning'!F1570</f>
        <v>Forest</v>
      </c>
      <c r="G1570" s="152" t="str">
        <f>'Reported burning'!G1570</f>
        <v>ND</v>
      </c>
      <c r="H1570" s="152"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2" t="str">
        <f>'Reported burning'!A1571</f>
        <v>184a</v>
      </c>
      <c r="B1571" s="152" t="str">
        <f>'Reported burning'!B1571</f>
        <v>184a.1</v>
      </c>
      <c r="C1571" s="152" t="str">
        <f>'Reported burning'!C1571</f>
        <v>Human, deliberate</v>
      </c>
      <c r="D1571" s="152" t="str">
        <f>'Reported burning'!D1571</f>
        <v>Pasture renewal</v>
      </c>
      <c r="E1571" s="152" t="str">
        <f>'Reported burning'!E1571</f>
        <v>Pastoralism, Migratory</v>
      </c>
      <c r="F1571" s="152" t="str">
        <f>'Reported burning'!F1571</f>
        <v>Shrubland (Mixed forest &amp; grassland)</v>
      </c>
      <c r="G1571" s="152" t="str">
        <f>'Reported burning'!G1571</f>
        <v>ND</v>
      </c>
      <c r="H1571" s="152"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2" t="str">
        <f>'Reported burning'!A1572</f>
        <v>184a</v>
      </c>
      <c r="B1572" s="152" t="str">
        <f>'Reported burning'!B1572</f>
        <v>184a.2</v>
      </c>
      <c r="C1572" s="152" t="str">
        <f>'Reported burning'!C1572</f>
        <v>Human, deliberate</v>
      </c>
      <c r="D1572" s="152" t="str">
        <f>'Reported burning'!D1572</f>
        <v>Rangeland management</v>
      </c>
      <c r="E1572" s="152" t="str">
        <f>'Reported burning'!E1572</f>
        <v>Pastoralism, Migratory</v>
      </c>
      <c r="F1572" s="152" t="str">
        <f>'Reported burning'!F1572</f>
        <v>Shrubland (Mixed forest &amp; grassland)</v>
      </c>
      <c r="G1572" s="152" t="str">
        <f>'Reported burning'!G1572</f>
        <v>ND</v>
      </c>
      <c r="H1572" s="152"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2" t="str">
        <f>'Reported burning'!A1573</f>
        <v>184a</v>
      </c>
      <c r="B1573" s="152" t="str">
        <f>'Reported burning'!B1573</f>
        <v>184a.3</v>
      </c>
      <c r="C1573" s="152" t="str">
        <f>'Reported burning'!C1573</f>
        <v>Human, deliberate</v>
      </c>
      <c r="D1573" s="152" t="str">
        <f>'Reported burning'!D1573</f>
        <v>Pest management</v>
      </c>
      <c r="E1573" s="152" t="str">
        <f>'Reported burning'!E1573</f>
        <v>Pastoralism, Migratory</v>
      </c>
      <c r="F1573" s="152" t="str">
        <f>'Reported burning'!F1573</f>
        <v>Shrubland (Mixed forest &amp; grassland)</v>
      </c>
      <c r="G1573" s="152" t="str">
        <f>'Reported burning'!G1573</f>
        <v>ND</v>
      </c>
      <c r="H1573" s="152"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2" t="str">
        <f>'Reported burning'!A1574</f>
        <v>185a</v>
      </c>
      <c r="B1574" s="152" t="str">
        <f>'Reported burning'!B1574</f>
        <v>185a.1</v>
      </c>
      <c r="C1574" s="152" t="str">
        <f>'Reported burning'!C1574</f>
        <v>Human, deliberate</v>
      </c>
      <c r="D1574" s="152" t="str">
        <f>'Reported burning'!D1574</f>
        <v>Crop field preparation</v>
      </c>
      <c r="E1574" s="152" t="str">
        <f>'Reported burning'!E1574</f>
        <v>Cropping, Intensive</v>
      </c>
      <c r="F1574" s="152" t="str">
        <f>'Reported burning'!F1574</f>
        <v>Cropland</v>
      </c>
      <c r="G1574" s="152" t="str">
        <f>'Reported burning'!G1574</f>
        <v>ND</v>
      </c>
      <c r="H1574" s="152"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2" t="str">
        <f>'Reported burning'!A1575</f>
        <v>185b</v>
      </c>
      <c r="B1575" s="152" t="str">
        <f>'Reported burning'!B1575</f>
        <v>185b.1</v>
      </c>
      <c r="C1575" s="152" t="str">
        <f>'Reported burning'!C1575</f>
        <v>Human, deliberate</v>
      </c>
      <c r="D1575" s="152" t="str">
        <f>'Reported burning'!D1575</f>
        <v>Crop field preparation</v>
      </c>
      <c r="E1575" s="152" t="str">
        <f>'Reported burning'!E1575</f>
        <v>Cropping, Intensive</v>
      </c>
      <c r="F1575" s="152" t="str">
        <f>'Reported burning'!F1575</f>
        <v>Cropland</v>
      </c>
      <c r="G1575" s="152" t="str">
        <f>'Reported burning'!G1575</f>
        <v>ND</v>
      </c>
      <c r="H1575" s="152"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2" t="str">
        <f>'Reported burning'!A1576</f>
        <v>185c</v>
      </c>
      <c r="B1576" s="152" t="str">
        <f>'Reported burning'!B1576</f>
        <v>185c.1</v>
      </c>
      <c r="C1576" s="152" t="str">
        <f>'Reported burning'!C1576</f>
        <v>Human, deliberate</v>
      </c>
      <c r="D1576" s="152" t="str">
        <f>'Reported burning'!D1576</f>
        <v>Crop field preparation</v>
      </c>
      <c r="E1576" s="152" t="str">
        <f>'Reported burning'!E1576</f>
        <v>Cropping, Intensive</v>
      </c>
      <c r="F1576" s="152" t="str">
        <f>'Reported burning'!F1576</f>
        <v>Cropland</v>
      </c>
      <c r="G1576" s="152" t="str">
        <f>'Reported burning'!G1576</f>
        <v>ND</v>
      </c>
      <c r="H1576" s="152"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2" t="str">
        <f>'Reported burning'!A1577</f>
        <v>185d</v>
      </c>
      <c r="B1577" s="152" t="str">
        <f>'Reported burning'!B1577</f>
        <v>185d.1</v>
      </c>
      <c r="C1577" s="152" t="str">
        <f>'Reported burning'!C1577</f>
        <v>Human, deliberate</v>
      </c>
      <c r="D1577" s="152" t="str">
        <f>'Reported burning'!D1577</f>
        <v>Crop field preparation</v>
      </c>
      <c r="E1577" s="152" t="str">
        <f>'Reported burning'!E1577</f>
        <v>Cropping, Intensive</v>
      </c>
      <c r="F1577" s="152" t="str">
        <f>'Reported burning'!F1577</f>
        <v>Cropland</v>
      </c>
      <c r="G1577" s="152" t="str">
        <f>'Reported burning'!G1577</f>
        <v>ND</v>
      </c>
      <c r="H1577" s="152"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2" t="str">
        <f>'Reported burning'!A1578</f>
        <v>185a</v>
      </c>
      <c r="B1578" s="152" t="str">
        <f>'Reported burning'!B1578</f>
        <v>185a.2</v>
      </c>
      <c r="C1578" s="152" t="str">
        <f>'Reported burning'!C1578</f>
        <v>Human, deliberate</v>
      </c>
      <c r="D1578" s="152" t="str">
        <f>'Reported burning'!D1578</f>
        <v>Crop field preparation</v>
      </c>
      <c r="E1578" s="152" t="str">
        <f>'Reported burning'!E1578</f>
        <v>Mixed cropping-livestock small holder, Subsistence-oriented</v>
      </c>
      <c r="F1578" s="152" t="str">
        <f>'Reported burning'!F1578</f>
        <v>Cropland</v>
      </c>
      <c r="G1578" s="152" t="str">
        <f>'Reported burning'!G1578</f>
        <v>ND</v>
      </c>
      <c r="H1578" s="152"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2" t="str">
        <f>'Reported burning'!A1579</f>
        <v>185b</v>
      </c>
      <c r="B1579" s="152" t="str">
        <f>'Reported burning'!B1579</f>
        <v>185b.2</v>
      </c>
      <c r="C1579" s="152" t="str">
        <f>'Reported burning'!C1579</f>
        <v>Human, deliberate</v>
      </c>
      <c r="D1579" s="152" t="str">
        <f>'Reported burning'!D1579</f>
        <v>Crop field preparation</v>
      </c>
      <c r="E1579" s="152" t="str">
        <f>'Reported burning'!E1579</f>
        <v>Mixed cropping-livestock small holder, Subsistence-oriented</v>
      </c>
      <c r="F1579" s="152" t="str">
        <f>'Reported burning'!F1579</f>
        <v>Cropland</v>
      </c>
      <c r="G1579" s="152" t="str">
        <f>'Reported burning'!G1579</f>
        <v>ND</v>
      </c>
      <c r="H1579" s="152"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2" t="str">
        <f>'Reported burning'!A1580</f>
        <v>185c</v>
      </c>
      <c r="B1580" s="152" t="str">
        <f>'Reported burning'!B1580</f>
        <v>185c.2</v>
      </c>
      <c r="C1580" s="152" t="str">
        <f>'Reported burning'!C1580</f>
        <v>Human, deliberate</v>
      </c>
      <c r="D1580" s="152" t="str">
        <f>'Reported burning'!D1580</f>
        <v>Crop field preparation</v>
      </c>
      <c r="E1580" s="152" t="str">
        <f>'Reported burning'!E1580</f>
        <v>Mixed cropping-livestock small holder, Subsistence-oriented</v>
      </c>
      <c r="F1580" s="152" t="str">
        <f>'Reported burning'!F1580</f>
        <v>Cropland</v>
      </c>
      <c r="G1580" s="152" t="str">
        <f>'Reported burning'!G1580</f>
        <v>ND</v>
      </c>
      <c r="H1580" s="152"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2" t="str">
        <f>'Reported burning'!A1581</f>
        <v>185d</v>
      </c>
      <c r="B1581" s="152" t="str">
        <f>'Reported burning'!B1581</f>
        <v>185d.2</v>
      </c>
      <c r="C1581" s="152" t="str">
        <f>'Reported burning'!C1581</f>
        <v>Human, deliberate</v>
      </c>
      <c r="D1581" s="152" t="str">
        <f>'Reported burning'!D1581</f>
        <v>Crop field preparation</v>
      </c>
      <c r="E1581" s="152" t="str">
        <f>'Reported burning'!E1581</f>
        <v>Mixed cropping-livestock small holder, Subsistence-oriented</v>
      </c>
      <c r="F1581" s="152" t="str">
        <f>'Reported burning'!F1581</f>
        <v>Cropland</v>
      </c>
      <c r="G1581" s="152" t="str">
        <f>'Reported burning'!G1581</f>
        <v>ND</v>
      </c>
      <c r="H1581" s="152"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2" t="str">
        <f>'Reported burning'!A1582</f>
        <v>186a</v>
      </c>
      <c r="B1582" s="152" t="str">
        <f>'Reported burning'!B1582</f>
        <v>186a.1</v>
      </c>
      <c r="C1582" s="152" t="str">
        <f>'Reported burning'!C1582</f>
        <v>Human, deliberate</v>
      </c>
      <c r="D1582" s="152" t="str">
        <f>'Reported burning'!D1582</f>
        <v>Hunting</v>
      </c>
      <c r="E1582" s="152" t="str">
        <f>'Reported burning'!E1582</f>
        <v>Pastoralism, Migratory</v>
      </c>
      <c r="F1582" s="152" t="str">
        <f>'Reported burning'!F1582</f>
        <v>Shrubland (Mixed forest &amp; grassland)</v>
      </c>
      <c r="G1582" s="152" t="str">
        <f>'Reported burning'!G1582</f>
        <v>ND</v>
      </c>
      <c r="H1582" s="152"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2" t="str">
        <f>'Reported burning'!A1583</f>
        <v>186b</v>
      </c>
      <c r="B1583" s="152" t="str">
        <f>'Reported burning'!B1583</f>
        <v>186b.1</v>
      </c>
      <c r="C1583" s="152" t="str">
        <f>'Reported burning'!C1583</f>
        <v>Human, deliberate</v>
      </c>
      <c r="D1583" s="152" t="str">
        <f>'Reported burning'!D1583</f>
        <v>Hunting</v>
      </c>
      <c r="E1583" s="152" t="str">
        <f>'Reported burning'!E1583</f>
        <v>Pastoralism, Migratory</v>
      </c>
      <c r="F1583" s="152" t="str">
        <f>'Reported burning'!F1583</f>
        <v>Shrubland (Mixed forest &amp; grassland)</v>
      </c>
      <c r="G1583" s="152" t="str">
        <f>'Reported burning'!G1583</f>
        <v>ND</v>
      </c>
      <c r="H1583" s="152"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2" t="str">
        <f>'Reported burning'!A1584</f>
        <v>186c</v>
      </c>
      <c r="B1584" s="152" t="str">
        <f>'Reported burning'!B1584</f>
        <v>186c.1</v>
      </c>
      <c r="C1584" s="152" t="str">
        <f>'Reported burning'!C1584</f>
        <v>Human, deliberate</v>
      </c>
      <c r="D1584" s="152" t="str">
        <f>'Reported burning'!D1584</f>
        <v>Hunting</v>
      </c>
      <c r="E1584" s="152" t="str">
        <f>'Reported burning'!E1584</f>
        <v>Pastoralism, Migratory</v>
      </c>
      <c r="F1584" s="152" t="str">
        <f>'Reported burning'!F1584</f>
        <v>Shrubland (Mixed forest &amp; grassland)</v>
      </c>
      <c r="G1584" s="152" t="str">
        <f>'Reported burning'!G1584</f>
        <v>ND</v>
      </c>
      <c r="H1584" s="152"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2" t="str">
        <f>'Reported burning'!A1585</f>
        <v>186a</v>
      </c>
      <c r="B1585" s="152" t="str">
        <f>'Reported burning'!B1585</f>
        <v>186a.2</v>
      </c>
      <c r="C1585" s="152" t="str">
        <f>'Reported burning'!C1585</f>
        <v>Human, deliberate</v>
      </c>
      <c r="D1585" s="152" t="str">
        <f>'Reported burning'!D1585</f>
        <v>Land clearance</v>
      </c>
      <c r="E1585" s="152" t="str">
        <f>'Reported burning'!E1585</f>
        <v>Cropping, Monoculture, Subsistence-oriented</v>
      </c>
      <c r="F1585" s="152" t="str">
        <f>'Reported burning'!F1585</f>
        <v>Shrubland (Mixed forest &amp; grassland)</v>
      </c>
      <c r="G1585" s="152" t="str">
        <f>'Reported burning'!G1585</f>
        <v>ND</v>
      </c>
      <c r="H1585" s="152"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2" t="str">
        <f>'Reported burning'!A1586</f>
        <v>186b</v>
      </c>
      <c r="B1586" s="152" t="str">
        <f>'Reported burning'!B1586</f>
        <v>186b.2</v>
      </c>
      <c r="C1586" s="152" t="str">
        <f>'Reported burning'!C1586</f>
        <v>Human, deliberate</v>
      </c>
      <c r="D1586" s="152" t="str">
        <f>'Reported burning'!D1586</f>
        <v>Land clearance</v>
      </c>
      <c r="E1586" s="152" t="str">
        <f>'Reported burning'!E1586</f>
        <v>Cropping, Monoculture, Subsistence-oriented</v>
      </c>
      <c r="F1586" s="152" t="str">
        <f>'Reported burning'!F1586</f>
        <v>Shrubland (Mixed forest &amp; grassland)</v>
      </c>
      <c r="G1586" s="152" t="str">
        <f>'Reported burning'!G1586</f>
        <v>ND</v>
      </c>
      <c r="H1586" s="152"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2" t="str">
        <f>'Reported burning'!A1587</f>
        <v>186c</v>
      </c>
      <c r="B1587" s="152" t="str">
        <f>'Reported burning'!B1587</f>
        <v>186c.2</v>
      </c>
      <c r="C1587" s="152" t="str">
        <f>'Reported burning'!C1587</f>
        <v>Human, deliberate</v>
      </c>
      <c r="D1587" s="152" t="str">
        <f>'Reported burning'!D1587</f>
        <v>Land clearance</v>
      </c>
      <c r="E1587" s="152" t="str">
        <f>'Reported burning'!E1587</f>
        <v>Cropping, Monoculture, Subsistence-oriented</v>
      </c>
      <c r="F1587" s="152" t="str">
        <f>'Reported burning'!F1587</f>
        <v>Shrubland (Mixed forest &amp; grassland)</v>
      </c>
      <c r="G1587" s="152" t="str">
        <f>'Reported burning'!G1587</f>
        <v>ND</v>
      </c>
      <c r="H1587" s="152"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2" t="str">
        <f>'Reported burning'!A1588</f>
        <v>186a</v>
      </c>
      <c r="B1588" s="152" t="str">
        <f>'Reported burning'!B1588</f>
        <v>186a.3</v>
      </c>
      <c r="C1588" s="152" t="str">
        <f>'Reported burning'!C1588</f>
        <v>Human, deliberate</v>
      </c>
      <c r="D1588" s="152" t="str">
        <f>'Reported burning'!D1588</f>
        <v>Arson</v>
      </c>
      <c r="E1588" s="152" t="str">
        <f>'Reported burning'!E1588</f>
        <v>Cropping, Monoculture, Subsistence-oriented</v>
      </c>
      <c r="F1588" s="152" t="str">
        <f>'Reported burning'!F1588</f>
        <v>Pasture</v>
      </c>
      <c r="G1588" s="152" t="str">
        <f>'Reported burning'!G1588</f>
        <v>ND</v>
      </c>
      <c r="H1588" s="152"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2" t="str">
        <f>'Reported burning'!A1589</f>
        <v>186b</v>
      </c>
      <c r="B1589" s="152" t="str">
        <f>'Reported burning'!B1589</f>
        <v>186b.3</v>
      </c>
      <c r="C1589" s="152" t="str">
        <f>'Reported burning'!C1589</f>
        <v>Human, deliberate</v>
      </c>
      <c r="D1589" s="152" t="str">
        <f>'Reported burning'!D1589</f>
        <v>Arson</v>
      </c>
      <c r="E1589" s="152" t="str">
        <f>'Reported burning'!E1589</f>
        <v>Cropping, Monoculture, Subsistence-oriented</v>
      </c>
      <c r="F1589" s="152" t="str">
        <f>'Reported burning'!F1589</f>
        <v>Pasture</v>
      </c>
      <c r="G1589" s="152" t="str">
        <f>'Reported burning'!G1589</f>
        <v>ND</v>
      </c>
      <c r="H1589" s="152"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2" t="str">
        <f>'Reported burning'!A1590</f>
        <v>186c</v>
      </c>
      <c r="B1590" s="152" t="str">
        <f>'Reported burning'!B1590</f>
        <v>186c.3</v>
      </c>
      <c r="C1590" s="152" t="str">
        <f>'Reported burning'!C1590</f>
        <v>Human, deliberate</v>
      </c>
      <c r="D1590" s="152" t="str">
        <f>'Reported burning'!D1590</f>
        <v>Arson</v>
      </c>
      <c r="E1590" s="152" t="str">
        <f>'Reported burning'!E1590</f>
        <v>Cropping, Monoculture, Subsistence-oriented</v>
      </c>
      <c r="F1590" s="152" t="str">
        <f>'Reported burning'!F1590</f>
        <v>Pasture</v>
      </c>
      <c r="G1590" s="152" t="str">
        <f>'Reported burning'!G1590</f>
        <v>ND</v>
      </c>
      <c r="H1590" s="152"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2" t="str">
        <f>'Reported burning'!A1591</f>
        <v>187a</v>
      </c>
      <c r="B1591" s="152" t="str">
        <f>'Reported burning'!B1591</f>
        <v>187a.1</v>
      </c>
      <c r="C1591" s="152" t="str">
        <f>'Reported burning'!C1591</f>
        <v>Human, deliberate</v>
      </c>
      <c r="D1591" s="152" t="str">
        <f>'Reported burning'!D1591</f>
        <v>Arson</v>
      </c>
      <c r="E1591" s="152" t="str">
        <f>'Reported burning'!E1591</f>
        <v>Cropping, Intensive</v>
      </c>
      <c r="F1591" s="152" t="str">
        <f>'Reported burning'!F1591</f>
        <v>Pasture</v>
      </c>
      <c r="G1591" s="152" t="str">
        <f>'Reported burning'!G1591</f>
        <v>ND</v>
      </c>
      <c r="H1591" s="152"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2" t="str">
        <f>'Reported burning'!A1592</f>
        <v>187a</v>
      </c>
      <c r="B1592" s="152" t="str">
        <f>'Reported burning'!B1592</f>
        <v>187a.2</v>
      </c>
      <c r="C1592" s="152" t="str">
        <f>'Reported burning'!C1592</f>
        <v>Human, deliberate</v>
      </c>
      <c r="D1592" s="152" t="str">
        <f>'Reported burning'!D1592</f>
        <v>All</v>
      </c>
      <c r="E1592" s="152" t="str">
        <f>'Reported burning'!E1592</f>
        <v>Cattle, Intensive</v>
      </c>
      <c r="F1592" s="152" t="str">
        <f>'Reported burning'!F1592</f>
        <v>Cropland</v>
      </c>
      <c r="G1592" s="152" t="str">
        <f>'Reported burning'!G1592</f>
        <v>ND</v>
      </c>
      <c r="H1592" s="152"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2" t="str">
        <f>'Reported burning'!A1593</f>
        <v>187a</v>
      </c>
      <c r="B1593" s="152" t="str">
        <f>'Reported burning'!B1593</f>
        <v>187a.3</v>
      </c>
      <c r="C1593" s="152" t="str">
        <f>'Reported burning'!C1593</f>
        <v>Lightning</v>
      </c>
      <c r="D1593" s="152" t="str">
        <f>'Reported burning'!D1593</f>
        <v>ND</v>
      </c>
      <c r="E1593" s="152" t="str">
        <f>'Reported burning'!E1593</f>
        <v>ND</v>
      </c>
      <c r="F1593" s="152" t="str">
        <f>'Reported burning'!F1593</f>
        <v>ND</v>
      </c>
      <c r="G1593" s="152" t="str">
        <f>'Reported burning'!G1593</f>
        <v>Shrubland (Mixed forest &amp; grassland)</v>
      </c>
      <c r="H1593" s="152"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2" t="str">
        <f>'Reported burning'!A1594</f>
        <v>187a</v>
      </c>
      <c r="B1594" s="152" t="str">
        <f>'Reported burning'!B1594</f>
        <v>187a.4</v>
      </c>
      <c r="C1594" s="152" t="str">
        <f>'Reported burning'!C1594</f>
        <v>Lightning</v>
      </c>
      <c r="D1594" s="152" t="str">
        <f>'Reported burning'!D1594</f>
        <v>ND</v>
      </c>
      <c r="E1594" s="152" t="str">
        <f>'Reported burning'!E1594</f>
        <v>ND</v>
      </c>
      <c r="F1594" s="152" t="str">
        <f>'Reported burning'!F1594</f>
        <v>ND</v>
      </c>
      <c r="G1594" s="152" t="str">
        <f>'Reported burning'!G1594</f>
        <v>Cropland</v>
      </c>
      <c r="H1594" s="152"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2" t="str">
        <f>'Reported burning'!A1595</f>
        <v>187a</v>
      </c>
      <c r="B1595" s="152" t="str">
        <f>'Reported burning'!B1595</f>
        <v>187a.5</v>
      </c>
      <c r="C1595" s="152" t="str">
        <f>'Reported burning'!C1595</f>
        <v>Human, deliberate</v>
      </c>
      <c r="D1595" s="152" t="str">
        <f>'Reported burning'!D1595</f>
        <v>Rangeland management</v>
      </c>
      <c r="E1595" s="152" t="str">
        <f>'Reported burning'!E1595</f>
        <v>Pastoralism, Migratory</v>
      </c>
      <c r="F1595" s="152" t="str">
        <f>'Reported burning'!F1595</f>
        <v>Shrubland (Mixed forest &amp; grassland)</v>
      </c>
      <c r="G1595" s="152" t="str">
        <f>'Reported burning'!G1595</f>
        <v>ND</v>
      </c>
      <c r="H1595" s="152"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2" t="str">
        <f>'Reported burning'!A1596</f>
        <v>189a</v>
      </c>
      <c r="B1596" s="152" t="str">
        <f>'Reported burning'!B1596</f>
        <v>189a.1</v>
      </c>
      <c r="C1596" s="152" t="str">
        <f>'Reported burning'!C1596</f>
        <v>Lightning</v>
      </c>
      <c r="D1596" s="152" t="str">
        <f>'Reported burning'!D1596</f>
        <v>ND</v>
      </c>
      <c r="E1596" s="152" t="str">
        <f>'Reported burning'!E1596</f>
        <v>ND</v>
      </c>
      <c r="F1596" s="152" t="str">
        <f>'Reported burning'!F1596</f>
        <v>ND</v>
      </c>
      <c r="G1596" s="152" t="str">
        <f>'Reported burning'!G1596</f>
        <v>Shrubland (Mixed forest &amp; grassland)</v>
      </c>
      <c r="H1596" s="152"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2" t="str">
        <f>'Reported burning'!A1597</f>
        <v>189a</v>
      </c>
      <c r="B1597" s="152" t="str">
        <f>'Reported burning'!B1597</f>
        <v>189a.2</v>
      </c>
      <c r="C1597" s="152" t="str">
        <f>'Reported burning'!C1597</f>
        <v>Human, deliberate</v>
      </c>
      <c r="D1597" s="152" t="str">
        <f>'Reported burning'!D1597</f>
        <v>Conservation</v>
      </c>
      <c r="E1597" s="152" t="str">
        <f>'Reported burning'!E1597</f>
        <v>Biodiversity conservation</v>
      </c>
      <c r="F1597" s="152" t="str">
        <f>'Reported burning'!F1597</f>
        <v>Shrubland (Mixed forest &amp; grassland)</v>
      </c>
      <c r="G1597" s="152" t="str">
        <f>'Reported burning'!G1597</f>
        <v>ND</v>
      </c>
      <c r="H1597" s="152"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8"/>
    </row>
    <row r="1598" spans="1:28" ht="35" customHeight="1">
      <c r="A1598" s="152" t="str">
        <f>'Reported burning'!A1598</f>
        <v>189a</v>
      </c>
      <c r="B1598" s="152" t="str">
        <f>'Reported burning'!B1598</f>
        <v>189a.3</v>
      </c>
      <c r="C1598" s="152" t="str">
        <f>'Reported burning'!C1598</f>
        <v>Human, deliberate</v>
      </c>
      <c r="D1598" s="152" t="str">
        <f>'Reported burning'!D1598</f>
        <v>ND</v>
      </c>
      <c r="E1598" s="152" t="str">
        <f>'Reported burning'!E1598</f>
        <v>All</v>
      </c>
      <c r="F1598" s="152" t="str">
        <f>'Reported burning'!F1598</f>
        <v>Shrubland (Mixed forest &amp; grassland)</v>
      </c>
      <c r="G1598" s="152" t="str">
        <f>'Reported burning'!G1598</f>
        <v>ND</v>
      </c>
      <c r="H1598" s="152"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8" t="s">
        <v>4753</v>
      </c>
    </row>
    <row r="1599" spans="1:28" ht="35" customHeight="1">
      <c r="A1599" s="152" t="str">
        <f>'Reported burning'!A1599</f>
        <v>189b</v>
      </c>
      <c r="B1599" s="152" t="str">
        <f>'Reported burning'!B1599</f>
        <v>189b.1</v>
      </c>
      <c r="C1599" s="152" t="str">
        <f>'Reported burning'!C1599</f>
        <v>Human, deliberate</v>
      </c>
      <c r="D1599" s="152" t="str">
        <f>'Reported burning'!D1599</f>
        <v>ND</v>
      </c>
      <c r="E1599" s="152" t="str">
        <f>'Reported burning'!E1599</f>
        <v>Pastoralism, Migratory</v>
      </c>
      <c r="F1599" s="152" t="str">
        <f>'Reported burning'!F1599</f>
        <v>Shrubland (Mixed forest &amp; grassland)</v>
      </c>
      <c r="G1599" s="152" t="str">
        <f>'Reported burning'!G1599</f>
        <v>ND</v>
      </c>
      <c r="H1599" s="152"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8" t="s">
        <v>4753</v>
      </c>
    </row>
    <row r="1600" spans="1:28" ht="35" customHeight="1">
      <c r="A1600" s="152" t="str">
        <f>'Reported burning'!A1600</f>
        <v>189b</v>
      </c>
      <c r="B1600" s="152" t="str">
        <f>'Reported burning'!B1600</f>
        <v>189b.2</v>
      </c>
      <c r="C1600" s="152" t="str">
        <f>'Reported burning'!C1600</f>
        <v>Human, deliberate</v>
      </c>
      <c r="D1600" s="152" t="str">
        <f>'Reported burning'!D1600</f>
        <v>ND</v>
      </c>
      <c r="E1600" s="152" t="str">
        <f>'Reported burning'!E1600</f>
        <v>Pastoralism, Migratory</v>
      </c>
      <c r="F1600" s="152" t="str">
        <f>'Reported burning'!F1600</f>
        <v>Shrubland (Mixed forest &amp; grassland)</v>
      </c>
      <c r="G1600" s="152" t="str">
        <f>'Reported burning'!G1600</f>
        <v>ND</v>
      </c>
      <c r="H1600" s="152"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8" t="s">
        <v>4753</v>
      </c>
    </row>
    <row r="1601" spans="1:28" ht="35" customHeight="1">
      <c r="A1601" s="152" t="str">
        <f>'Reported burning'!A1601</f>
        <v>189b</v>
      </c>
      <c r="B1601" s="152" t="str">
        <f>'Reported burning'!B1601</f>
        <v>189b.3</v>
      </c>
      <c r="C1601" s="152" t="str">
        <f>'Reported burning'!C1601</f>
        <v>Human, deliberate</v>
      </c>
      <c r="D1601" s="152" t="str">
        <f>'Reported burning'!D1601</f>
        <v>ND</v>
      </c>
      <c r="E1601" s="152" t="str">
        <f>'Reported burning'!E1601</f>
        <v>Cattle, Extensive</v>
      </c>
      <c r="F1601" s="152" t="str">
        <f>'Reported burning'!F1601</f>
        <v>Shrubland (Mixed forest &amp; grassland)</v>
      </c>
      <c r="G1601" s="152" t="str">
        <f>'Reported burning'!G1601</f>
        <v>ND</v>
      </c>
      <c r="H1601" s="152"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8" t="s">
        <v>4753</v>
      </c>
    </row>
    <row r="1602" spans="1:28" ht="35" customHeight="1">
      <c r="A1602" s="152" t="str">
        <f>'Reported burning'!A1602</f>
        <v>189b</v>
      </c>
      <c r="B1602" s="152" t="str">
        <f>'Reported burning'!B1602</f>
        <v>189b.4</v>
      </c>
      <c r="C1602" s="152" t="str">
        <f>'Reported burning'!C1602</f>
        <v>Human, deliberate</v>
      </c>
      <c r="D1602" s="152" t="str">
        <f>'Reported burning'!D1602</f>
        <v>ND</v>
      </c>
      <c r="E1602" s="152" t="str">
        <f>'Reported burning'!E1602</f>
        <v>Cropping, Swidden</v>
      </c>
      <c r="F1602" s="152" t="str">
        <f>'Reported burning'!F1602</f>
        <v>Shrubland (Mixed forest &amp; grassland)</v>
      </c>
      <c r="G1602" s="152" t="str">
        <f>'Reported burning'!G1602</f>
        <v>ND</v>
      </c>
      <c r="H1602" s="152"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8" t="s">
        <v>4753</v>
      </c>
    </row>
    <row r="1603" spans="1:28" ht="35" customHeight="1">
      <c r="A1603" s="152" t="str">
        <f>'Reported burning'!A1603</f>
        <v>189c</v>
      </c>
      <c r="B1603" s="152" t="str">
        <f>'Reported burning'!B1603</f>
        <v>189c.1</v>
      </c>
      <c r="C1603" s="152" t="str">
        <f>'Reported burning'!C1603</f>
        <v>Human, deliberate</v>
      </c>
      <c r="D1603" s="152" t="str">
        <f>'Reported burning'!D1603</f>
        <v>Pasture renewal</v>
      </c>
      <c r="E1603" s="152" t="str">
        <f>'Reported burning'!E1603</f>
        <v>Cattle, Extensive</v>
      </c>
      <c r="F1603" s="152" t="str">
        <f>'Reported burning'!F1603</f>
        <v>Shrubland (Mixed forest &amp; grassland)</v>
      </c>
      <c r="G1603" s="152" t="str">
        <f>'Reported burning'!G1603</f>
        <v>ND</v>
      </c>
      <c r="H1603" s="152"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2" t="str">
        <f>'Reported burning'!A1604</f>
        <v>189c</v>
      </c>
      <c r="B1604" s="152" t="str">
        <f>'Reported burning'!B1604</f>
        <v>189c.2</v>
      </c>
      <c r="C1604" s="152" t="str">
        <f>'Reported burning'!C1604</f>
        <v>Human, deliberate</v>
      </c>
      <c r="D1604" s="152" t="str">
        <f>'Reported burning'!D1604</f>
        <v>Pasture renewal</v>
      </c>
      <c r="E1604" s="152" t="str">
        <f>'Reported burning'!E1604</f>
        <v>Cattle, Extensive</v>
      </c>
      <c r="F1604" s="152" t="str">
        <f>'Reported burning'!F1604</f>
        <v>Shrubland (Mixed forest &amp; grassland)</v>
      </c>
      <c r="G1604" s="152" t="str">
        <f>'Reported burning'!G1604</f>
        <v>ND</v>
      </c>
      <c r="H1604" s="152"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8" t="s">
        <v>4753</v>
      </c>
    </row>
    <row r="1605" spans="1:28" ht="38" customHeight="1">
      <c r="A1605" s="152" t="str">
        <f>'Reported burning'!A1605</f>
        <v>189c</v>
      </c>
      <c r="B1605" s="152" t="str">
        <f>'Reported burning'!B1605</f>
        <v>189c.3</v>
      </c>
      <c r="C1605" s="152" t="str">
        <f>'Reported burning'!C1605</f>
        <v>Human, deliberate</v>
      </c>
      <c r="D1605" s="152" t="str">
        <f>'Reported burning'!D1605</f>
        <v>Pasture renewal</v>
      </c>
      <c r="E1605" s="152" t="str">
        <f>'Reported burning'!E1605</f>
        <v>Cattle, Intensive</v>
      </c>
      <c r="F1605" s="152" t="str">
        <f>'Reported burning'!F1605</f>
        <v>Shrubland (Mixed forest &amp; grassland)</v>
      </c>
      <c r="G1605" s="152" t="str">
        <f>'Reported burning'!G1605</f>
        <v>ND</v>
      </c>
      <c r="H1605" s="152"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2" t="str">
        <f>'Reported burning'!A1606</f>
        <v>189c</v>
      </c>
      <c r="B1606" s="152" t="str">
        <f>'Reported burning'!B1606</f>
        <v>189c.4</v>
      </c>
      <c r="C1606" s="152" t="str">
        <f>'Reported burning'!C1606</f>
        <v>Human, deliberate</v>
      </c>
      <c r="D1606" s="152" t="str">
        <f>'Reported burning'!D1606</f>
        <v>Pasture renewal</v>
      </c>
      <c r="E1606" s="152" t="str">
        <f>'Reported burning'!E1606</f>
        <v>Cattle, Intensive</v>
      </c>
      <c r="F1606" s="152" t="str">
        <f>'Reported burning'!F1606</f>
        <v>Shrubland (Mixed forest &amp; grassland)</v>
      </c>
      <c r="G1606" s="152" t="str">
        <f>'Reported burning'!G1606</f>
        <v>ND</v>
      </c>
      <c r="H1606" s="152"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2" t="str">
        <f>'Reported burning'!A1607</f>
        <v>190a</v>
      </c>
      <c r="B1607" s="152" t="str">
        <f>'Reported burning'!B1607</f>
        <v>190a.1</v>
      </c>
      <c r="C1607" s="152" t="str">
        <f>'Reported burning'!C1607</f>
        <v>All</v>
      </c>
      <c r="D1607" s="152" t="str">
        <f>'Reported burning'!D1607</f>
        <v>All</v>
      </c>
      <c r="E1607" s="152" t="str">
        <f>'Reported burning'!E1607</f>
        <v>All</v>
      </c>
      <c r="F1607" s="152" t="str">
        <f>'Reported burning'!F1607</f>
        <v>ND</v>
      </c>
      <c r="G1607" s="152" t="str">
        <f>'Reported burning'!G1607</f>
        <v>Shrubland (Mixed forest &amp; grassland)</v>
      </c>
      <c r="H1607" s="152"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2" t="str">
        <f>'Reported burning'!A1608</f>
        <v>191a</v>
      </c>
      <c r="B1608" s="152" t="str">
        <f>'Reported burning'!B1608</f>
        <v>191a.1</v>
      </c>
      <c r="C1608" s="152" t="str">
        <f>'Reported burning'!C1608</f>
        <v>Human, deliberate</v>
      </c>
      <c r="D1608" s="152" t="str">
        <f>'Reported burning'!D1608</f>
        <v>Rangeland management</v>
      </c>
      <c r="E1608" s="152" t="str">
        <f>'Reported burning'!E1608</f>
        <v>Pastoralism, Migratory</v>
      </c>
      <c r="F1608" s="152" t="str">
        <f>'Reported burning'!F1608</f>
        <v>Shrubland (Mixed forest &amp; grassland)</v>
      </c>
      <c r="G1608" s="152" t="str">
        <f>'Reported burning'!G1608</f>
        <v>Shrubland (Mixed forest &amp; grassland)</v>
      </c>
      <c r="H1608" s="152"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2" t="str">
        <f>'Reported burning'!A1609</f>
        <v>191b</v>
      </c>
      <c r="B1609" s="152" t="str">
        <f>'Reported burning'!B1609</f>
        <v>191b.1</v>
      </c>
      <c r="C1609" s="152" t="str">
        <f>'Reported burning'!C1609</f>
        <v>Human, deliberate</v>
      </c>
      <c r="D1609" s="152" t="str">
        <f>'Reported burning'!D1609</f>
        <v>Rangeland management</v>
      </c>
      <c r="E1609" s="152" t="str">
        <f>'Reported burning'!E1609</f>
        <v>Pastoralism, Migratory</v>
      </c>
      <c r="F1609" s="152" t="str">
        <f>'Reported burning'!F1609</f>
        <v>Shrubland (Mixed forest &amp; grassland)</v>
      </c>
      <c r="G1609" s="152" t="str">
        <f>'Reported burning'!G1609</f>
        <v>Shrubland (Mixed forest &amp; grassland)</v>
      </c>
      <c r="H1609" s="152"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2" t="str">
        <f>'Reported burning'!A1610</f>
        <v>192a</v>
      </c>
      <c r="B1610" s="152" t="str">
        <f>'Reported burning'!B1610</f>
        <v>192a.1</v>
      </c>
      <c r="C1610" s="152" t="str">
        <f>'Reported burning'!C1610</f>
        <v>Human, deliberate</v>
      </c>
      <c r="D1610" s="152" t="str">
        <f>'Reported burning'!D1610</f>
        <v>Rangeland management</v>
      </c>
      <c r="E1610" s="152" t="str">
        <f>'Reported burning'!E1610</f>
        <v>Pastoralism, Migratory</v>
      </c>
      <c r="F1610" s="152" t="str">
        <f>'Reported burning'!F1610</f>
        <v>Shrubland (Mixed forest &amp; grassland)</v>
      </c>
      <c r="G1610" s="152" t="str">
        <f>'Reported burning'!G1610</f>
        <v>ND</v>
      </c>
      <c r="H1610" s="152"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2" t="str">
        <f>'Reported burning'!A1611</f>
        <v>192b</v>
      </c>
      <c r="B1611" s="152" t="str">
        <f>'Reported burning'!B1611</f>
        <v>192b.1</v>
      </c>
      <c r="C1611" s="152" t="str">
        <f>'Reported burning'!C1611</f>
        <v>Human, deliberate</v>
      </c>
      <c r="D1611" s="152" t="str">
        <f>'Reported burning'!D1611</f>
        <v>All</v>
      </c>
      <c r="E1611" s="152" t="str">
        <f>'Reported burning'!E1611</f>
        <v>Cropping, Swidden</v>
      </c>
      <c r="F1611" s="152" t="str">
        <f>'Reported burning'!F1611</f>
        <v>ND</v>
      </c>
      <c r="G1611" s="152" t="str">
        <f>'Reported burning'!G1611</f>
        <v>ND</v>
      </c>
      <c r="H1611" s="152"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2" t="str">
        <f>'Reported burning'!A1612</f>
        <v>192b</v>
      </c>
      <c r="B1612" s="152" t="str">
        <f>'Reported burning'!B1612</f>
        <v>192b.2</v>
      </c>
      <c r="C1612" s="152" t="str">
        <f>'Reported burning'!C1612</f>
        <v>Human, deliberate</v>
      </c>
      <c r="D1612" s="152" t="str">
        <f>'Reported burning'!D1612</f>
        <v>Rangeland management</v>
      </c>
      <c r="E1612" s="152" t="str">
        <f>'Reported burning'!E1612</f>
        <v>Pastoralism, Migratory</v>
      </c>
      <c r="F1612" s="152" t="str">
        <f>'Reported burning'!F1612</f>
        <v>Forest</v>
      </c>
      <c r="G1612" s="152" t="str">
        <f>'Reported burning'!G1612</f>
        <v>ND</v>
      </c>
      <c r="H1612" s="152"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2" t="str">
        <f>'Reported burning'!A1613</f>
        <v>193a</v>
      </c>
      <c r="B1613" s="152" t="str">
        <f>'Reported burning'!B1613</f>
        <v>193a.1</v>
      </c>
      <c r="C1613" s="152" t="str">
        <f>'Reported burning'!C1613</f>
        <v>Human, deliberate</v>
      </c>
      <c r="D1613" s="152" t="str">
        <f>'Reported burning'!D1613</f>
        <v>Rangeland management</v>
      </c>
      <c r="E1613" s="152" t="str">
        <f>'Reported burning'!E1613</f>
        <v>Pastoralism, Migratory</v>
      </c>
      <c r="F1613" s="152" t="str">
        <f>'Reported burning'!F1613</f>
        <v>Forest</v>
      </c>
      <c r="G1613" s="152" t="str">
        <f>'Reported burning'!G1613</f>
        <v>ND</v>
      </c>
      <c r="H1613" s="152"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2" t="str">
        <f>'Reported burning'!A1614</f>
        <v>193b</v>
      </c>
      <c r="B1614" s="152" t="str">
        <f>'Reported burning'!B1614</f>
        <v>193b.1</v>
      </c>
      <c r="C1614" s="152" t="str">
        <f>'Reported burning'!C1614</f>
        <v>Human, deliberate</v>
      </c>
      <c r="D1614" s="152" t="str">
        <f>'Reported burning'!D1614</f>
        <v>Rangeland management</v>
      </c>
      <c r="E1614" s="152" t="str">
        <f>'Reported burning'!E1614</f>
        <v>Pastoralism, Migratory</v>
      </c>
      <c r="F1614" s="152" t="str">
        <f>'Reported burning'!F1614</f>
        <v>Forest</v>
      </c>
      <c r="G1614" s="152" t="str">
        <f>'Reported burning'!G1614</f>
        <v>ND</v>
      </c>
      <c r="H1614" s="152"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2" t="str">
        <f>'Reported burning'!A1615</f>
        <v>193c</v>
      </c>
      <c r="B1615" s="152" t="str">
        <f>'Reported burning'!B1615</f>
        <v>193c.1</v>
      </c>
      <c r="C1615" s="152" t="str">
        <f>'Reported burning'!C1615</f>
        <v>Human, deliberate</v>
      </c>
      <c r="D1615" s="152" t="str">
        <f>'Reported burning'!D1615</f>
        <v>Rangeland management</v>
      </c>
      <c r="E1615" s="152" t="str">
        <f>'Reported burning'!E1615</f>
        <v>Pastoralism, Migratory</v>
      </c>
      <c r="F1615" s="152" t="str">
        <f>'Reported burning'!F1615</f>
        <v>Forest</v>
      </c>
      <c r="G1615" s="152" t="str">
        <f>'Reported burning'!G1615</f>
        <v>ND</v>
      </c>
      <c r="H1615" s="152"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2" t="str">
        <f>'Reported burning'!A1616</f>
        <v>193d</v>
      </c>
      <c r="B1616" s="152" t="str">
        <f>'Reported burning'!B1616</f>
        <v>193d.1</v>
      </c>
      <c r="C1616" s="152" t="str">
        <f>'Reported burning'!C1616</f>
        <v>Human, deliberate</v>
      </c>
      <c r="D1616" s="152" t="str">
        <f>'Reported burning'!D1616</f>
        <v>Rangeland management</v>
      </c>
      <c r="E1616" s="152" t="str">
        <f>'Reported burning'!E1616</f>
        <v>Pastoralism, Migratory</v>
      </c>
      <c r="F1616" s="152" t="str">
        <f>'Reported burning'!F1616</f>
        <v>Forest</v>
      </c>
      <c r="G1616" s="152" t="str">
        <f>'Reported burning'!G1616</f>
        <v>ND</v>
      </c>
      <c r="H1616" s="152"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2" t="str">
        <f>'Reported burning'!A1617</f>
        <v>193e</v>
      </c>
      <c r="B1617" s="152" t="str">
        <f>'Reported burning'!B1617</f>
        <v>193e.1</v>
      </c>
      <c r="C1617" s="152" t="str">
        <f>'Reported burning'!C1617</f>
        <v>Human, deliberate</v>
      </c>
      <c r="D1617" s="152" t="str">
        <f>'Reported burning'!D1617</f>
        <v>Rangeland management</v>
      </c>
      <c r="E1617" s="152" t="str">
        <f>'Reported burning'!E1617</f>
        <v>Pastoralism, Migratory</v>
      </c>
      <c r="F1617" s="152" t="str">
        <f>'Reported burning'!F1617</f>
        <v>Forest</v>
      </c>
      <c r="G1617" s="152" t="str">
        <f>'Reported burning'!G1617</f>
        <v>ND</v>
      </c>
      <c r="H1617" s="152"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2" t="str">
        <f>'Reported burning'!A1618</f>
        <v>193a</v>
      </c>
      <c r="B1618" s="152" t="str">
        <f>'Reported burning'!B1618</f>
        <v>193a.2</v>
      </c>
      <c r="C1618" s="152" t="str">
        <f>'Reported burning'!C1618</f>
        <v>Human, deliberate</v>
      </c>
      <c r="D1618" s="152" t="str">
        <f>'Reported burning'!D1618</f>
        <v>Land clearance</v>
      </c>
      <c r="E1618" s="152" t="str">
        <f>'Reported burning'!E1618</f>
        <v>Pastoralism, Migratory</v>
      </c>
      <c r="F1618" s="152" t="str">
        <f>'Reported burning'!F1618</f>
        <v>Forest</v>
      </c>
      <c r="G1618" s="152" t="str">
        <f>'Reported burning'!G1618</f>
        <v>ND</v>
      </c>
      <c r="H1618" s="152"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2" t="str">
        <f>'Reported burning'!A1619</f>
        <v>193b</v>
      </c>
      <c r="B1619" s="152" t="str">
        <f>'Reported burning'!B1619</f>
        <v>193b.2</v>
      </c>
      <c r="C1619" s="152" t="str">
        <f>'Reported burning'!C1619</f>
        <v>Human, deliberate</v>
      </c>
      <c r="D1619" s="152" t="str">
        <f>'Reported burning'!D1619</f>
        <v>Land clearance</v>
      </c>
      <c r="E1619" s="152" t="str">
        <f>'Reported burning'!E1619</f>
        <v>Pastoralism, Migratory</v>
      </c>
      <c r="F1619" s="152" t="str">
        <f>'Reported burning'!F1619</f>
        <v>Forest</v>
      </c>
      <c r="G1619" s="152" t="str">
        <f>'Reported burning'!G1619</f>
        <v>ND</v>
      </c>
      <c r="H1619" s="152"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2" t="str">
        <f>'Reported burning'!A1620</f>
        <v>193c</v>
      </c>
      <c r="B1620" s="152" t="str">
        <f>'Reported burning'!B1620</f>
        <v>193c.2</v>
      </c>
      <c r="C1620" s="152" t="str">
        <f>'Reported burning'!C1620</f>
        <v>Human, deliberate</v>
      </c>
      <c r="D1620" s="152" t="str">
        <f>'Reported burning'!D1620</f>
        <v>Land clearance</v>
      </c>
      <c r="E1620" s="152" t="str">
        <f>'Reported burning'!E1620</f>
        <v>Pastoralism, Migratory</v>
      </c>
      <c r="F1620" s="152" t="str">
        <f>'Reported burning'!F1620</f>
        <v>Forest</v>
      </c>
      <c r="G1620" s="152" t="str">
        <f>'Reported burning'!G1620</f>
        <v>ND</v>
      </c>
      <c r="H1620" s="152"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2" t="str">
        <f>'Reported burning'!A1621</f>
        <v>193d</v>
      </c>
      <c r="B1621" s="152" t="str">
        <f>'Reported burning'!B1621</f>
        <v>193d.2</v>
      </c>
      <c r="C1621" s="152" t="str">
        <f>'Reported burning'!C1621</f>
        <v>Human, deliberate</v>
      </c>
      <c r="D1621" s="152" t="str">
        <f>'Reported burning'!D1621</f>
        <v>Land clearance</v>
      </c>
      <c r="E1621" s="152" t="str">
        <f>'Reported burning'!E1621</f>
        <v>Pastoralism, Migratory</v>
      </c>
      <c r="F1621" s="152" t="str">
        <f>'Reported burning'!F1621</f>
        <v>Forest</v>
      </c>
      <c r="G1621" s="152" t="str">
        <f>'Reported burning'!G1621</f>
        <v>ND</v>
      </c>
      <c r="H1621" s="152"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2" t="str">
        <f>'Reported burning'!A1622</f>
        <v>193e</v>
      </c>
      <c r="B1622" s="152" t="str">
        <f>'Reported burning'!B1622</f>
        <v>193e.2</v>
      </c>
      <c r="C1622" s="152" t="str">
        <f>'Reported burning'!C1622</f>
        <v>Human, deliberate</v>
      </c>
      <c r="D1622" s="152" t="str">
        <f>'Reported burning'!D1622</f>
        <v>Land clearance</v>
      </c>
      <c r="E1622" s="152" t="str">
        <f>'Reported burning'!E1622</f>
        <v>Pastoralism, Migratory</v>
      </c>
      <c r="F1622" s="152" t="str">
        <f>'Reported burning'!F1622</f>
        <v>Forest</v>
      </c>
      <c r="G1622" s="152" t="str">
        <f>'Reported burning'!G1622</f>
        <v>ND</v>
      </c>
      <c r="H1622" s="152"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2" t="str">
        <f>'Reported burning'!A1623</f>
        <v>193b</v>
      </c>
      <c r="B1623" s="152" t="str">
        <f>'Reported burning'!B1623</f>
        <v>193b.3</v>
      </c>
      <c r="C1623" s="152" t="str">
        <f>'Reported burning'!C1623</f>
        <v>Human, accidental</v>
      </c>
      <c r="D1623" s="152" t="str">
        <f>'Reported burning'!D1623</f>
        <v>Accidental</v>
      </c>
      <c r="E1623" s="152" t="str">
        <f>'Reported burning'!E1623</f>
        <v>ND</v>
      </c>
      <c r="F1623" s="152" t="str">
        <f>'Reported burning'!F1623</f>
        <v>Forest</v>
      </c>
      <c r="G1623" s="152" t="str">
        <f>'Reported burning'!G1623</f>
        <v>ND</v>
      </c>
      <c r="H1623" s="152"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2" t="str">
        <f>'Reported burning'!A1624</f>
        <v>193c</v>
      </c>
      <c r="B1624" s="152" t="str">
        <f>'Reported burning'!B1624</f>
        <v>193c.3</v>
      </c>
      <c r="C1624" s="152" t="str">
        <f>'Reported burning'!C1624</f>
        <v>Human, accidental</v>
      </c>
      <c r="D1624" s="152" t="str">
        <f>'Reported burning'!D1624</f>
        <v>Accidental</v>
      </c>
      <c r="E1624" s="152" t="str">
        <f>'Reported burning'!E1624</f>
        <v>ND</v>
      </c>
      <c r="F1624" s="152" t="str">
        <f>'Reported burning'!F1624</f>
        <v>Forest</v>
      </c>
      <c r="G1624" s="152" t="str">
        <f>'Reported burning'!G1624</f>
        <v>ND</v>
      </c>
      <c r="H1624" s="152"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2" t="str">
        <f>'Reported burning'!A1625</f>
        <v>193d</v>
      </c>
      <c r="B1625" s="152" t="str">
        <f>'Reported burning'!B1625</f>
        <v>193d.3</v>
      </c>
      <c r="C1625" s="152" t="str">
        <f>'Reported burning'!C1625</f>
        <v>Human, accidental</v>
      </c>
      <c r="D1625" s="152" t="str">
        <f>'Reported burning'!D1625</f>
        <v>Accidental</v>
      </c>
      <c r="E1625" s="152" t="str">
        <f>'Reported burning'!E1625</f>
        <v>ND</v>
      </c>
      <c r="F1625" s="152" t="str">
        <f>'Reported burning'!F1625</f>
        <v>Forest</v>
      </c>
      <c r="G1625" s="152" t="str">
        <f>'Reported burning'!G1625</f>
        <v>ND</v>
      </c>
      <c r="H1625" s="152"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2" t="str">
        <f>'Reported burning'!A1626</f>
        <v>193e</v>
      </c>
      <c r="B1626" s="152" t="str">
        <f>'Reported burning'!B1626</f>
        <v>193e.3</v>
      </c>
      <c r="C1626" s="152" t="str">
        <f>'Reported burning'!C1626</f>
        <v>Human, accidental</v>
      </c>
      <c r="D1626" s="152" t="str">
        <f>'Reported burning'!D1626</f>
        <v>Accidental</v>
      </c>
      <c r="E1626" s="152" t="str">
        <f>'Reported burning'!E1626</f>
        <v>ND</v>
      </c>
      <c r="F1626" s="152" t="str">
        <f>'Reported burning'!F1626</f>
        <v>Forest</v>
      </c>
      <c r="G1626" s="152" t="str">
        <f>'Reported burning'!G1626</f>
        <v>ND</v>
      </c>
      <c r="H1626" s="152"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2" t="str">
        <f>'Reported burning'!A1627</f>
        <v>193c</v>
      </c>
      <c r="B1627" s="152" t="str">
        <f>'Reported burning'!B1627</f>
        <v>193c.4</v>
      </c>
      <c r="C1627" s="152" t="str">
        <f>'Reported burning'!C1627</f>
        <v>Human, deliberate</v>
      </c>
      <c r="D1627" s="152" t="str">
        <f>'Reported burning'!D1627</f>
        <v>Pyrome management</v>
      </c>
      <c r="E1627" s="152" t="str">
        <f>'Reported burning'!E1627</f>
        <v>Forestry, Industrial</v>
      </c>
      <c r="F1627" s="152" t="str">
        <f>'Reported burning'!F1627</f>
        <v>Forest</v>
      </c>
      <c r="G1627" s="152" t="str">
        <f>'Reported burning'!G1627</f>
        <v>ND</v>
      </c>
      <c r="H1627" s="152"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2" t="str">
        <f>'Reported burning'!A1628</f>
        <v>193d</v>
      </c>
      <c r="B1628" s="152" t="str">
        <f>'Reported burning'!B1628</f>
        <v>193d.4</v>
      </c>
      <c r="C1628" s="152" t="str">
        <f>'Reported burning'!C1628</f>
        <v>Human, deliberate</v>
      </c>
      <c r="D1628" s="152" t="str">
        <f>'Reported burning'!D1628</f>
        <v>Pyrome management</v>
      </c>
      <c r="E1628" s="152" t="str">
        <f>'Reported burning'!E1628</f>
        <v>Forestry, Industrial</v>
      </c>
      <c r="F1628" s="152" t="str">
        <f>'Reported burning'!F1628</f>
        <v>Forest</v>
      </c>
      <c r="G1628" s="152" t="str">
        <f>'Reported burning'!G1628</f>
        <v>ND</v>
      </c>
      <c r="H1628" s="152"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2" t="str">
        <f>'Reported burning'!A1629</f>
        <v>193e</v>
      </c>
      <c r="B1629" s="152" t="str">
        <f>'Reported burning'!B1629</f>
        <v>193e.4</v>
      </c>
      <c r="C1629" s="152" t="str">
        <f>'Reported burning'!C1629</f>
        <v>Human, deliberate</v>
      </c>
      <c r="D1629" s="152" t="str">
        <f>'Reported burning'!D1629</f>
        <v>Pyrome management</v>
      </c>
      <c r="E1629" s="152" t="str">
        <f>'Reported burning'!E1629</f>
        <v>Forestry, Industrial</v>
      </c>
      <c r="F1629" s="152" t="str">
        <f>'Reported burning'!F1629</f>
        <v>Forest</v>
      </c>
      <c r="G1629" s="152" t="str">
        <f>'Reported burning'!G1629</f>
        <v>ND</v>
      </c>
      <c r="H1629" s="152"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2" t="str">
        <f>'Reported burning'!A1630</f>
        <v>193a</v>
      </c>
      <c r="B1630" s="152" t="str">
        <f>'Reported burning'!B1630</f>
        <v>193a.5</v>
      </c>
      <c r="C1630" s="152" t="str">
        <f>'Reported burning'!C1630</f>
        <v>All</v>
      </c>
      <c r="D1630" s="152" t="str">
        <f>'Reported burning'!D1630</f>
        <v>ND</v>
      </c>
      <c r="E1630" s="152" t="str">
        <f>'Reported burning'!E1630</f>
        <v>ND</v>
      </c>
      <c r="F1630" s="152" t="str">
        <f>'Reported burning'!F1630</f>
        <v>ND</v>
      </c>
      <c r="G1630" s="152" t="str">
        <f>'Reported burning'!G1630</f>
        <v>Forest</v>
      </c>
      <c r="H1630" s="152"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2" t="str">
        <f>'Reported burning'!A1631</f>
        <v>193b</v>
      </c>
      <c r="B1631" s="152" t="str">
        <f>'Reported burning'!B1631</f>
        <v>193b.5</v>
      </c>
      <c r="C1631" s="152" t="str">
        <f>'Reported burning'!C1631</f>
        <v>All</v>
      </c>
      <c r="D1631" s="152" t="str">
        <f>'Reported burning'!D1631</f>
        <v>ND</v>
      </c>
      <c r="E1631" s="152" t="str">
        <f>'Reported burning'!E1631</f>
        <v>ND</v>
      </c>
      <c r="F1631" s="152" t="str">
        <f>'Reported burning'!F1631</f>
        <v>ND</v>
      </c>
      <c r="G1631" s="152" t="str">
        <f>'Reported burning'!G1631</f>
        <v>Forest</v>
      </c>
      <c r="H1631" s="152"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2" t="str">
        <f>'Reported burning'!A1632</f>
        <v>193c</v>
      </c>
      <c r="B1632" s="152" t="str">
        <f>'Reported burning'!B1632</f>
        <v>193c.5</v>
      </c>
      <c r="C1632" s="152" t="str">
        <f>'Reported burning'!C1632</f>
        <v>All</v>
      </c>
      <c r="D1632" s="152" t="str">
        <f>'Reported burning'!D1632</f>
        <v>ND</v>
      </c>
      <c r="E1632" s="152" t="str">
        <f>'Reported burning'!E1632</f>
        <v>ND</v>
      </c>
      <c r="F1632" s="152" t="str">
        <f>'Reported burning'!F1632</f>
        <v>ND</v>
      </c>
      <c r="G1632" s="152" t="str">
        <f>'Reported burning'!G1632</f>
        <v>Forest</v>
      </c>
      <c r="H1632" s="152"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2" t="str">
        <f>'Reported burning'!A1633</f>
        <v>193d</v>
      </c>
      <c r="B1633" s="152" t="str">
        <f>'Reported burning'!B1633</f>
        <v>193d.5</v>
      </c>
      <c r="C1633" s="152" t="str">
        <f>'Reported burning'!C1633</f>
        <v>All</v>
      </c>
      <c r="D1633" s="152" t="str">
        <f>'Reported burning'!D1633</f>
        <v>ND</v>
      </c>
      <c r="E1633" s="152" t="str">
        <f>'Reported burning'!E1633</f>
        <v>ND</v>
      </c>
      <c r="F1633" s="152" t="str">
        <f>'Reported burning'!F1633</f>
        <v>ND</v>
      </c>
      <c r="G1633" s="152" t="str">
        <f>'Reported burning'!G1633</f>
        <v>Forest</v>
      </c>
      <c r="H1633" s="152"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2" t="str">
        <f>'Reported burning'!A1634</f>
        <v>193e</v>
      </c>
      <c r="B1634" s="152" t="str">
        <f>'Reported burning'!B1634</f>
        <v>193e.5</v>
      </c>
      <c r="C1634" s="152" t="str">
        <f>'Reported burning'!C1634</f>
        <v>All</v>
      </c>
      <c r="D1634" s="152" t="str">
        <f>'Reported burning'!D1634</f>
        <v>ND</v>
      </c>
      <c r="E1634" s="152" t="str">
        <f>'Reported burning'!E1634</f>
        <v>ND</v>
      </c>
      <c r="F1634" s="152" t="str">
        <f>'Reported burning'!F1634</f>
        <v>ND</v>
      </c>
      <c r="G1634" s="152" t="str">
        <f>'Reported burning'!G1634</f>
        <v>Forest</v>
      </c>
      <c r="H1634" s="152"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2" t="str">
        <f>'Reported burning'!A1635</f>
        <v>195a</v>
      </c>
      <c r="B1635" s="152" t="str">
        <f>'Reported burning'!B1635</f>
        <v>195a.1</v>
      </c>
      <c r="C1635" s="152" t="str">
        <f>'Reported burning'!C1635</f>
        <v>Human, deliberate</v>
      </c>
      <c r="D1635" s="152" t="str">
        <f>'Reported burning'!D1635</f>
        <v>ND</v>
      </c>
      <c r="E1635" s="152" t="str">
        <f>'Reported burning'!E1635</f>
        <v>Cattle, Extensive</v>
      </c>
      <c r="F1635" s="152" t="str">
        <f>'Reported burning'!F1635</f>
        <v>ND</v>
      </c>
      <c r="G1635" s="152" t="str">
        <f>'Reported burning'!G1635</f>
        <v>Shrubland (Mixed forest &amp; grassland)</v>
      </c>
      <c r="H1635" s="152"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2" t="str">
        <f>'Reported burning'!A1636</f>
        <v>195b</v>
      </c>
      <c r="B1636" s="152" t="str">
        <f>'Reported burning'!B1636</f>
        <v>195b.1</v>
      </c>
      <c r="C1636" s="152" t="str">
        <f>'Reported burning'!C1636</f>
        <v>Human, deliberate</v>
      </c>
      <c r="D1636" s="152" t="str">
        <f>'Reported burning'!D1636</f>
        <v>ND</v>
      </c>
      <c r="E1636" s="152" t="str">
        <f>'Reported burning'!E1636</f>
        <v>Cattle, Extensive</v>
      </c>
      <c r="F1636" s="152" t="str">
        <f>'Reported burning'!F1636</f>
        <v>ND</v>
      </c>
      <c r="G1636" s="152" t="str">
        <f>'Reported burning'!G1636</f>
        <v>Shrubland (Mixed forest &amp; grassland)</v>
      </c>
      <c r="H1636" s="152"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2" t="str">
        <f>'Reported burning'!A1637</f>
        <v>195c</v>
      </c>
      <c r="B1637" s="152" t="str">
        <f>'Reported burning'!B1637</f>
        <v>195c.1</v>
      </c>
      <c r="C1637" s="152" t="str">
        <f>'Reported burning'!C1637</f>
        <v>Human, deliberate</v>
      </c>
      <c r="D1637" s="152" t="str">
        <f>'Reported burning'!D1637</f>
        <v>ND</v>
      </c>
      <c r="E1637" s="152" t="str">
        <f>'Reported burning'!E1637</f>
        <v>Cattle, Extensive</v>
      </c>
      <c r="F1637" s="152" t="str">
        <f>'Reported burning'!F1637</f>
        <v>ND</v>
      </c>
      <c r="G1637" s="152" t="str">
        <f>'Reported burning'!G1637</f>
        <v>Shrubland (Mixed forest &amp; grassland)</v>
      </c>
      <c r="H1637" s="152"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2" t="str">
        <f>'Reported burning'!A1638</f>
        <v>195d</v>
      </c>
      <c r="B1638" s="152" t="str">
        <f>'Reported burning'!B1638</f>
        <v>195d.1</v>
      </c>
      <c r="C1638" s="152" t="str">
        <f>'Reported burning'!C1638</f>
        <v>Human, deliberate</v>
      </c>
      <c r="D1638" s="152" t="str">
        <f>'Reported burning'!D1638</f>
        <v>ND</v>
      </c>
      <c r="E1638" s="152" t="str">
        <f>'Reported burning'!E1638</f>
        <v>Cattle, Extensive</v>
      </c>
      <c r="F1638" s="152" t="str">
        <f>'Reported burning'!F1638</f>
        <v>ND</v>
      </c>
      <c r="G1638" s="152" t="str">
        <f>'Reported burning'!G1638</f>
        <v>Shrubland (Mixed forest &amp; grassland)</v>
      </c>
      <c r="H1638" s="152"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2" t="str">
        <f>'Reported burning'!A1639</f>
        <v>195e</v>
      </c>
      <c r="B1639" s="152" t="str">
        <f>'Reported burning'!B1639</f>
        <v>195e.1</v>
      </c>
      <c r="C1639" s="152" t="str">
        <f>'Reported burning'!C1639</f>
        <v>Human, deliberate</v>
      </c>
      <c r="D1639" s="152" t="str">
        <f>'Reported burning'!D1639</f>
        <v>ND</v>
      </c>
      <c r="E1639" s="152" t="str">
        <f>'Reported burning'!E1639</f>
        <v>Cattle, Extensive</v>
      </c>
      <c r="F1639" s="152" t="str">
        <f>'Reported burning'!F1639</f>
        <v>ND</v>
      </c>
      <c r="G1639" s="152" t="str">
        <f>'Reported burning'!G1639</f>
        <v>Shrubland (Mixed forest &amp; grassland)</v>
      </c>
      <c r="H1639" s="152"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2" t="str">
        <f>'Reported burning'!A1640</f>
        <v>195f</v>
      </c>
      <c r="B1640" s="152" t="str">
        <f>'Reported burning'!B1640</f>
        <v>195f.1</v>
      </c>
      <c r="C1640" s="152" t="str">
        <f>'Reported burning'!C1640</f>
        <v>Human, deliberate</v>
      </c>
      <c r="D1640" s="152" t="str">
        <f>'Reported burning'!D1640</f>
        <v>ND</v>
      </c>
      <c r="E1640" s="152" t="str">
        <f>'Reported burning'!E1640</f>
        <v>Cattle, Extensive</v>
      </c>
      <c r="F1640" s="152" t="str">
        <f>'Reported burning'!F1640</f>
        <v>ND</v>
      </c>
      <c r="G1640" s="152" t="str">
        <f>'Reported burning'!G1640</f>
        <v>Shrubland (Mixed forest &amp; grassland)</v>
      </c>
      <c r="H1640" s="152"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2" t="str">
        <f>'Reported burning'!A1641</f>
        <v>195g</v>
      </c>
      <c r="B1641" s="152" t="str">
        <f>'Reported burning'!B1641</f>
        <v>195g.1</v>
      </c>
      <c r="C1641" s="152" t="str">
        <f>'Reported burning'!C1641</f>
        <v>Human, deliberate</v>
      </c>
      <c r="D1641" s="152" t="str">
        <f>'Reported burning'!D1641</f>
        <v>ND</v>
      </c>
      <c r="E1641" s="152" t="str">
        <f>'Reported burning'!E1641</f>
        <v>Cattle, Extensive</v>
      </c>
      <c r="F1641" s="152" t="str">
        <f>'Reported burning'!F1641</f>
        <v>ND</v>
      </c>
      <c r="G1641" s="152" t="str">
        <f>'Reported burning'!G1641</f>
        <v>Shrubland (Mixed forest &amp; grassland)</v>
      </c>
      <c r="H1641" s="152"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2" t="str">
        <f>'Reported burning'!A1642</f>
        <v>195h</v>
      </c>
      <c r="B1642" s="152" t="str">
        <f>'Reported burning'!B1642</f>
        <v>195h.1</v>
      </c>
      <c r="C1642" s="152" t="str">
        <f>'Reported burning'!C1642</f>
        <v>Human, deliberate</v>
      </c>
      <c r="D1642" s="152" t="str">
        <f>'Reported burning'!D1642</f>
        <v>ND</v>
      </c>
      <c r="E1642" s="152" t="str">
        <f>'Reported burning'!E1642</f>
        <v>Cattle, Extensive</v>
      </c>
      <c r="F1642" s="152" t="str">
        <f>'Reported burning'!F1642</f>
        <v>ND</v>
      </c>
      <c r="G1642" s="152" t="str">
        <f>'Reported burning'!G1642</f>
        <v>Shrubland (Mixed forest &amp; grassland)</v>
      </c>
      <c r="H1642" s="152"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2" t="str">
        <f>'Reported burning'!A1643</f>
        <v>195i</v>
      </c>
      <c r="B1643" s="152" t="str">
        <f>'Reported burning'!B1643</f>
        <v>195i.1</v>
      </c>
      <c r="C1643" s="152" t="str">
        <f>'Reported burning'!C1643</f>
        <v>Human, deliberate</v>
      </c>
      <c r="D1643" s="152" t="str">
        <f>'Reported burning'!D1643</f>
        <v>ND</v>
      </c>
      <c r="E1643" s="152" t="str">
        <f>'Reported burning'!E1643</f>
        <v>Cattle, Extensive</v>
      </c>
      <c r="F1643" s="152" t="str">
        <f>'Reported burning'!F1643</f>
        <v>ND</v>
      </c>
      <c r="G1643" s="152" t="str">
        <f>'Reported burning'!G1643</f>
        <v>Shrubland (Mixed forest &amp; grassland)</v>
      </c>
      <c r="H1643" s="152"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2" t="str">
        <f>'Reported burning'!A1644</f>
        <v>195j</v>
      </c>
      <c r="B1644" s="152" t="str">
        <f>'Reported burning'!B1644</f>
        <v>195j.1</v>
      </c>
      <c r="C1644" s="152" t="str">
        <f>'Reported burning'!C1644</f>
        <v>Human, deliberate</v>
      </c>
      <c r="D1644" s="152" t="str">
        <f>'Reported burning'!D1644</f>
        <v>ND</v>
      </c>
      <c r="E1644" s="152" t="str">
        <f>'Reported burning'!E1644</f>
        <v>Cattle, Extensive</v>
      </c>
      <c r="F1644" s="152" t="str">
        <f>'Reported burning'!F1644</f>
        <v>ND</v>
      </c>
      <c r="G1644" s="152" t="str">
        <f>'Reported burning'!G1644</f>
        <v>Shrubland (Mixed forest &amp; grassland)</v>
      </c>
      <c r="H1644" s="152"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2" t="str">
        <f>'Reported burning'!A1645</f>
        <v>195k</v>
      </c>
      <c r="B1645" s="152" t="str">
        <f>'Reported burning'!B1645</f>
        <v>195k.1</v>
      </c>
      <c r="C1645" s="152" t="str">
        <f>'Reported burning'!C1645</f>
        <v>Human, deliberate</v>
      </c>
      <c r="D1645" s="152" t="str">
        <f>'Reported burning'!D1645</f>
        <v>ND</v>
      </c>
      <c r="E1645" s="152" t="str">
        <f>'Reported burning'!E1645</f>
        <v>Cattle, Extensive</v>
      </c>
      <c r="F1645" s="152" t="str">
        <f>'Reported burning'!F1645</f>
        <v>ND</v>
      </c>
      <c r="G1645" s="152" t="str">
        <f>'Reported burning'!G1645</f>
        <v>Shrubland (Mixed forest &amp; grassland)</v>
      </c>
      <c r="H1645" s="152"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2" t="str">
        <f>'Reported burning'!A1646</f>
        <v>195l</v>
      </c>
      <c r="B1646" s="152" t="str">
        <f>'Reported burning'!B1646</f>
        <v>195l.1</v>
      </c>
      <c r="C1646" s="152" t="str">
        <f>'Reported burning'!C1646</f>
        <v>Human, deliberate</v>
      </c>
      <c r="D1646" s="152" t="str">
        <f>'Reported burning'!D1646</f>
        <v>ND</v>
      </c>
      <c r="E1646" s="152" t="str">
        <f>'Reported burning'!E1646</f>
        <v>Cattle, Extensive</v>
      </c>
      <c r="F1646" s="152" t="str">
        <f>'Reported burning'!F1646</f>
        <v>ND</v>
      </c>
      <c r="G1646" s="152" t="str">
        <f>'Reported burning'!G1646</f>
        <v>Shrubland (Mixed forest &amp; grassland)</v>
      </c>
      <c r="H1646" s="152"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2" t="str">
        <f>'Reported burning'!A1647</f>
        <v>195m</v>
      </c>
      <c r="B1647" s="152" t="str">
        <f>'Reported burning'!B1647</f>
        <v>195m.1</v>
      </c>
      <c r="C1647" s="152" t="str">
        <f>'Reported burning'!C1647</f>
        <v>Human, deliberate</v>
      </c>
      <c r="D1647" s="152" t="str">
        <f>'Reported burning'!D1647</f>
        <v>ND</v>
      </c>
      <c r="E1647" s="152" t="str">
        <f>'Reported burning'!E1647</f>
        <v>Cattle, Extensive</v>
      </c>
      <c r="F1647" s="152" t="str">
        <f>'Reported burning'!F1647</f>
        <v>ND</v>
      </c>
      <c r="G1647" s="152" t="str">
        <f>'Reported burning'!G1647</f>
        <v>Shrubland (Mixed forest &amp; grassland)</v>
      </c>
      <c r="H1647" s="152"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2" t="str">
        <f>'Reported burning'!A1648</f>
        <v>195n</v>
      </c>
      <c r="B1648" s="152" t="str">
        <f>'Reported burning'!B1648</f>
        <v>195n.1</v>
      </c>
      <c r="C1648" s="152" t="str">
        <f>'Reported burning'!C1648</f>
        <v>Human, deliberate</v>
      </c>
      <c r="D1648" s="152" t="str">
        <f>'Reported burning'!D1648</f>
        <v>ND</v>
      </c>
      <c r="E1648" s="152" t="str">
        <f>'Reported burning'!E1648</f>
        <v>Cattle, Extensive</v>
      </c>
      <c r="F1648" s="152" t="str">
        <f>'Reported burning'!F1648</f>
        <v>ND</v>
      </c>
      <c r="G1648" s="152" t="str">
        <f>'Reported burning'!G1648</f>
        <v>Shrubland (Mixed forest &amp; grassland)</v>
      </c>
      <c r="H1648" s="152"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2" t="str">
        <f>'Reported burning'!A1649</f>
        <v>195o</v>
      </c>
      <c r="B1649" s="152" t="str">
        <f>'Reported burning'!B1649</f>
        <v>195o.1</v>
      </c>
      <c r="C1649" s="152" t="str">
        <f>'Reported burning'!C1649</f>
        <v>Human, deliberate</v>
      </c>
      <c r="D1649" s="152" t="str">
        <f>'Reported burning'!D1649</f>
        <v>ND</v>
      </c>
      <c r="E1649" s="152" t="str">
        <f>'Reported burning'!E1649</f>
        <v>Cattle, Extensive</v>
      </c>
      <c r="F1649" s="152" t="str">
        <f>'Reported burning'!F1649</f>
        <v>ND</v>
      </c>
      <c r="G1649" s="152" t="str">
        <f>'Reported burning'!G1649</f>
        <v>Shrubland (Mixed forest &amp; grassland)</v>
      </c>
      <c r="H1649" s="152"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2" t="str">
        <f>'Reported burning'!A1650</f>
        <v>195p</v>
      </c>
      <c r="B1650" s="152" t="str">
        <f>'Reported burning'!B1650</f>
        <v>195p.1</v>
      </c>
      <c r="C1650" s="152" t="str">
        <f>'Reported burning'!C1650</f>
        <v>Human, deliberate</v>
      </c>
      <c r="D1650" s="152" t="str">
        <f>'Reported burning'!D1650</f>
        <v>ND</v>
      </c>
      <c r="E1650" s="152" t="str">
        <f>'Reported burning'!E1650</f>
        <v>Cattle, Extensive</v>
      </c>
      <c r="F1650" s="152" t="str">
        <f>'Reported burning'!F1650</f>
        <v>ND</v>
      </c>
      <c r="G1650" s="152" t="str">
        <f>'Reported burning'!G1650</f>
        <v>Shrubland (Mixed forest &amp; grassland)</v>
      </c>
      <c r="H1650" s="152"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2" t="str">
        <f>'Reported burning'!A1651</f>
        <v>195q</v>
      </c>
      <c r="B1651" s="152" t="str">
        <f>'Reported burning'!B1651</f>
        <v>195q.1</v>
      </c>
      <c r="C1651" s="152" t="str">
        <f>'Reported burning'!C1651</f>
        <v>Human, deliberate</v>
      </c>
      <c r="D1651" s="152" t="str">
        <f>'Reported burning'!D1651</f>
        <v>ND</v>
      </c>
      <c r="E1651" s="152" t="str">
        <f>'Reported burning'!E1651</f>
        <v>Cattle, Extensive</v>
      </c>
      <c r="F1651" s="152" t="str">
        <f>'Reported burning'!F1651</f>
        <v>ND</v>
      </c>
      <c r="G1651" s="152" t="str">
        <f>'Reported burning'!G1651</f>
        <v>Shrubland (Mixed forest &amp; grassland)</v>
      </c>
      <c r="H1651" s="152"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2" t="str">
        <f>'Reported burning'!A1652</f>
        <v>195r</v>
      </c>
      <c r="B1652" s="152" t="str">
        <f>'Reported burning'!B1652</f>
        <v>195r.1</v>
      </c>
      <c r="C1652" s="152" t="str">
        <f>'Reported burning'!C1652</f>
        <v>Human, deliberate</v>
      </c>
      <c r="D1652" s="152" t="str">
        <f>'Reported burning'!D1652</f>
        <v>ND</v>
      </c>
      <c r="E1652" s="152" t="str">
        <f>'Reported burning'!E1652</f>
        <v>Cattle, Extensive</v>
      </c>
      <c r="F1652" s="152" t="str">
        <f>'Reported burning'!F1652</f>
        <v>ND</v>
      </c>
      <c r="G1652" s="152" t="str">
        <f>'Reported burning'!G1652</f>
        <v>Shrubland (Mixed forest &amp; grassland)</v>
      </c>
      <c r="H1652" s="152"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2" t="str">
        <f>'Reported burning'!A1653</f>
        <v>195s</v>
      </c>
      <c r="B1653" s="152" t="str">
        <f>'Reported burning'!B1653</f>
        <v>195s.1</v>
      </c>
      <c r="C1653" s="152" t="str">
        <f>'Reported burning'!C1653</f>
        <v>Human, deliberate</v>
      </c>
      <c r="D1653" s="152" t="str">
        <f>'Reported burning'!D1653</f>
        <v>ND</v>
      </c>
      <c r="E1653" s="152" t="str">
        <f>'Reported burning'!E1653</f>
        <v>Cattle, Extensive</v>
      </c>
      <c r="F1653" s="152" t="str">
        <f>'Reported burning'!F1653</f>
        <v>ND</v>
      </c>
      <c r="G1653" s="152" t="str">
        <f>'Reported burning'!G1653</f>
        <v>Shrubland (Mixed forest &amp; grassland)</v>
      </c>
      <c r="H1653" s="152"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2" t="str">
        <f>'Reported burning'!A1654</f>
        <v>195t</v>
      </c>
      <c r="B1654" s="152" t="str">
        <f>'Reported burning'!B1654</f>
        <v>195t.1</v>
      </c>
      <c r="C1654" s="152" t="str">
        <f>'Reported burning'!C1654</f>
        <v>Human, deliberate</v>
      </c>
      <c r="D1654" s="152" t="str">
        <f>'Reported burning'!D1654</f>
        <v>ND</v>
      </c>
      <c r="E1654" s="152" t="str">
        <f>'Reported burning'!E1654</f>
        <v>Cattle, Extensive</v>
      </c>
      <c r="F1654" s="152" t="str">
        <f>'Reported burning'!F1654</f>
        <v>ND</v>
      </c>
      <c r="G1654" s="152" t="str">
        <f>'Reported burning'!G1654</f>
        <v>Shrubland (Mixed forest &amp; grassland)</v>
      </c>
      <c r="H1654" s="152"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2" t="str">
        <f>'Reported burning'!A1655</f>
        <v>195u</v>
      </c>
      <c r="B1655" s="152" t="str">
        <f>'Reported burning'!B1655</f>
        <v>195u.1</v>
      </c>
      <c r="C1655" s="152" t="str">
        <f>'Reported burning'!C1655</f>
        <v>Human, deliberate</v>
      </c>
      <c r="D1655" s="152" t="str">
        <f>'Reported burning'!D1655</f>
        <v>ND</v>
      </c>
      <c r="E1655" s="152" t="str">
        <f>'Reported burning'!E1655</f>
        <v>Cattle, Extensive</v>
      </c>
      <c r="F1655" s="152" t="str">
        <f>'Reported burning'!F1655</f>
        <v>ND</v>
      </c>
      <c r="G1655" s="152" t="str">
        <f>'Reported burning'!G1655</f>
        <v>Shrubland (Mixed forest &amp; grassland)</v>
      </c>
      <c r="H1655" s="152"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2" t="str">
        <f>'Reported burning'!A1656</f>
        <v>195v</v>
      </c>
      <c r="B1656" s="152" t="str">
        <f>'Reported burning'!B1656</f>
        <v>195v.1</v>
      </c>
      <c r="C1656" s="152" t="str">
        <f>'Reported burning'!C1656</f>
        <v>Human, deliberate</v>
      </c>
      <c r="D1656" s="152" t="str">
        <f>'Reported burning'!D1656</f>
        <v>ND</v>
      </c>
      <c r="E1656" s="152" t="str">
        <f>'Reported burning'!E1656</f>
        <v>Cattle, Extensive</v>
      </c>
      <c r="F1656" s="152" t="str">
        <f>'Reported burning'!F1656</f>
        <v>ND</v>
      </c>
      <c r="G1656" s="152" t="str">
        <f>'Reported burning'!G1656</f>
        <v>Shrubland (Mixed forest &amp; grassland)</v>
      </c>
      <c r="H1656" s="152"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2" t="str">
        <f>'Reported burning'!A1657</f>
        <v>195w</v>
      </c>
      <c r="B1657" s="152" t="str">
        <f>'Reported burning'!B1657</f>
        <v>195w.1</v>
      </c>
      <c r="C1657" s="152" t="str">
        <f>'Reported burning'!C1657</f>
        <v>Human, deliberate</v>
      </c>
      <c r="D1657" s="152" t="str">
        <f>'Reported burning'!D1657</f>
        <v>ND</v>
      </c>
      <c r="E1657" s="152" t="str">
        <f>'Reported burning'!E1657</f>
        <v>Cattle, Extensive</v>
      </c>
      <c r="F1657" s="152" t="str">
        <f>'Reported burning'!F1657</f>
        <v>ND</v>
      </c>
      <c r="G1657" s="152" t="str">
        <f>'Reported burning'!G1657</f>
        <v>Shrubland (Mixed forest &amp; grassland)</v>
      </c>
      <c r="H1657" s="152"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2" t="str">
        <f>'Reported burning'!A1658</f>
        <v>195x</v>
      </c>
      <c r="B1658" s="152" t="str">
        <f>'Reported burning'!B1658</f>
        <v>195x.1</v>
      </c>
      <c r="C1658" s="152" t="str">
        <f>'Reported burning'!C1658</f>
        <v>Human, deliberate</v>
      </c>
      <c r="D1658" s="152" t="str">
        <f>'Reported burning'!D1658</f>
        <v>ND</v>
      </c>
      <c r="E1658" s="152" t="str">
        <f>'Reported burning'!E1658</f>
        <v>Cattle, Extensive</v>
      </c>
      <c r="F1658" s="152" t="str">
        <f>'Reported burning'!F1658</f>
        <v>ND</v>
      </c>
      <c r="G1658" s="152" t="str">
        <f>'Reported burning'!G1658</f>
        <v>Shrubland (Mixed forest &amp; grassland)</v>
      </c>
      <c r="H1658" s="152"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2" t="str">
        <f>'Reported burning'!A1659</f>
        <v>195y</v>
      </c>
      <c r="B1659" s="152" t="str">
        <f>'Reported burning'!B1659</f>
        <v>195y.1</v>
      </c>
      <c r="C1659" s="152" t="str">
        <f>'Reported burning'!C1659</f>
        <v>Human, deliberate</v>
      </c>
      <c r="D1659" s="152" t="str">
        <f>'Reported burning'!D1659</f>
        <v>ND</v>
      </c>
      <c r="E1659" s="152" t="str">
        <f>'Reported burning'!E1659</f>
        <v>Cattle, Extensive</v>
      </c>
      <c r="F1659" s="152" t="str">
        <f>'Reported burning'!F1659</f>
        <v>ND</v>
      </c>
      <c r="G1659" s="152" t="str">
        <f>'Reported burning'!G1659</f>
        <v>Shrubland (Mixed forest &amp; grassland)</v>
      </c>
      <c r="H1659" s="152"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2" t="str">
        <f>'Reported burning'!A1660</f>
        <v>197a</v>
      </c>
      <c r="B1660" s="152" t="str">
        <f>'Reported burning'!B1660</f>
        <v>197a.1</v>
      </c>
      <c r="C1660" s="152" t="str">
        <f>'Reported burning'!C1660</f>
        <v>All</v>
      </c>
      <c r="D1660" s="152" t="str">
        <f>'Reported burning'!D1660</f>
        <v>All</v>
      </c>
      <c r="E1660" s="152" t="str">
        <f>'Reported burning'!E1660</f>
        <v>All</v>
      </c>
      <c r="F1660" s="152" t="str">
        <f>'Reported burning'!F1660</f>
        <v>All</v>
      </c>
      <c r="G1660" s="152" t="str">
        <f>'Reported burning'!G1660</f>
        <v>All</v>
      </c>
      <c r="H1660" s="152"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2" t="str">
        <f>'Reported burning'!A1661</f>
        <v>197a</v>
      </c>
      <c r="B1661" s="152" t="str">
        <f>'Reported burning'!B1661</f>
        <v>197a.2</v>
      </c>
      <c r="C1661" s="152" t="str">
        <f>'Reported burning'!C1661</f>
        <v>All</v>
      </c>
      <c r="D1661" s="152" t="str">
        <f>'Reported burning'!D1661</f>
        <v>ND</v>
      </c>
      <c r="E1661" s="152" t="str">
        <f>'Reported burning'!E1661</f>
        <v>Cropping, Monoculture, Market-oriented</v>
      </c>
      <c r="F1661" s="152" t="str">
        <f>'Reported burning'!F1661</f>
        <v>Cropland</v>
      </c>
      <c r="G1661" s="152" t="str">
        <f>'Reported burning'!G1661</f>
        <v>Cropland</v>
      </c>
      <c r="H1661" s="152"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2" t="str">
        <f>'Reported burning'!A1662</f>
        <v>197a</v>
      </c>
      <c r="B1662" s="152" t="str">
        <f>'Reported burning'!B1662</f>
        <v>197a.3</v>
      </c>
      <c r="C1662" s="152" t="str">
        <f>'Reported burning'!C1662</f>
        <v>Human, deliberate</v>
      </c>
      <c r="D1662" s="152" t="str">
        <f>'Reported burning'!D1662</f>
        <v>Crop residue burning</v>
      </c>
      <c r="E1662" s="152" t="str">
        <f>'Reported burning'!E1662</f>
        <v>Cropping, Monoculture, Market-oriented</v>
      </c>
      <c r="F1662" s="152" t="str">
        <f>'Reported burning'!F1662</f>
        <v>Cropland</v>
      </c>
      <c r="G1662" s="152" t="str">
        <f>'Reported burning'!G1662</f>
        <v>ND</v>
      </c>
      <c r="H1662" s="152"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2" t="str">
        <f>'Reported burning'!A1663</f>
        <v>197a</v>
      </c>
      <c r="B1663" s="152" t="str">
        <f>'Reported burning'!B1663</f>
        <v>197a.4</v>
      </c>
      <c r="C1663" s="152" t="str">
        <f>'Reported burning'!C1663</f>
        <v>All</v>
      </c>
      <c r="D1663" s="152" t="str">
        <f>'Reported burning'!D1663</f>
        <v>All</v>
      </c>
      <c r="E1663" s="152" t="str">
        <f>'Reported burning'!E1663</f>
        <v>Agroforestry, Market-oriented</v>
      </c>
      <c r="F1663" s="152" t="str">
        <f>'Reported burning'!F1663</f>
        <v>ND</v>
      </c>
      <c r="G1663" s="152" t="str">
        <f>'Reported burning'!G1663</f>
        <v>Cropland</v>
      </c>
      <c r="H1663" s="152"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2" t="str">
        <f>'Reported burning'!A1664</f>
        <v>197a</v>
      </c>
      <c r="B1664" s="152" t="str">
        <f>'Reported burning'!B1664</f>
        <v>197a.5</v>
      </c>
      <c r="C1664" s="152" t="str">
        <f>'Reported burning'!C1664</f>
        <v>All</v>
      </c>
      <c r="D1664" s="152" t="str">
        <f>'Reported burning'!D1664</f>
        <v>All</v>
      </c>
      <c r="E1664" s="152" t="str">
        <f>'Reported burning'!E1664</f>
        <v>Cattle, Extensive</v>
      </c>
      <c r="F1664" s="152" t="str">
        <f>'Reported burning'!F1664</f>
        <v>ND</v>
      </c>
      <c r="G1664" s="152" t="str">
        <f>'Reported burning'!G1664</f>
        <v>Pasture</v>
      </c>
      <c r="H1664" s="152"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2" t="str">
        <f>'Reported burning'!A1665</f>
        <v>197a</v>
      </c>
      <c r="B1665" s="152" t="str">
        <f>'Reported burning'!B1665</f>
        <v>197a.6</v>
      </c>
      <c r="C1665" s="152" t="str">
        <f>'Reported burning'!C1665</f>
        <v>All</v>
      </c>
      <c r="D1665" s="152" t="str">
        <f>'Reported burning'!D1665</f>
        <v>All</v>
      </c>
      <c r="E1665" s="152" t="str">
        <f>'Reported burning'!E1665</f>
        <v>ND</v>
      </c>
      <c r="F1665" s="152" t="str">
        <f>'Reported burning'!F1665</f>
        <v>ND</v>
      </c>
      <c r="G1665" s="152" t="str">
        <f>'Reported burning'!G1665</f>
        <v>Forest</v>
      </c>
      <c r="H1665" s="152"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2" t="str">
        <f>'Reported burning'!A1666</f>
        <v>197a</v>
      </c>
      <c r="B1666" s="152" t="str">
        <f>'Reported burning'!B1666</f>
        <v>197a.7</v>
      </c>
      <c r="C1666" s="152" t="str">
        <f>'Reported burning'!C1666</f>
        <v>All</v>
      </c>
      <c r="D1666" s="152" t="str">
        <f>'Reported burning'!D1666</f>
        <v>All</v>
      </c>
      <c r="E1666" s="152" t="str">
        <f>'Reported burning'!E1666</f>
        <v>ND</v>
      </c>
      <c r="F1666" s="152" t="str">
        <f>'Reported burning'!F1666</f>
        <v>ND</v>
      </c>
      <c r="G1666" s="152" t="str">
        <f>'Reported burning'!G1666</f>
        <v>Forest</v>
      </c>
      <c r="H1666" s="152"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2" t="str">
        <f>'Reported burning'!A1667</f>
        <v>198a</v>
      </c>
      <c r="B1667" s="152" t="str">
        <f>'Reported burning'!B1667</f>
        <v>198a.1</v>
      </c>
      <c r="C1667" s="152" t="str">
        <f>'Reported burning'!C1667</f>
        <v>Human, deliberate</v>
      </c>
      <c r="D1667" s="152" t="str">
        <f>'Reported burning'!D1667</f>
        <v>Charcoal production</v>
      </c>
      <c r="E1667" s="152" t="str">
        <f>'Reported burning'!E1667</f>
        <v>Forestry, Small-scale</v>
      </c>
      <c r="F1667" s="152" t="str">
        <f>'Reported burning'!F1667</f>
        <v>Forest</v>
      </c>
      <c r="G1667" s="152" t="str">
        <f>'Reported burning'!G1667</f>
        <v>ND</v>
      </c>
      <c r="H1667" s="152"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2" t="str">
        <f>'Reported burning'!A1668</f>
        <v>198b</v>
      </c>
      <c r="B1668" s="152" t="str">
        <f>'Reported burning'!B1668</f>
        <v>198b.1</v>
      </c>
      <c r="C1668" s="152" t="str">
        <f>'Reported burning'!C1668</f>
        <v>Human, deliberate</v>
      </c>
      <c r="D1668" s="152" t="str">
        <f>'Reported burning'!D1668</f>
        <v>Pasture renewal</v>
      </c>
      <c r="E1668" s="152" t="str">
        <f>'Reported burning'!E1668</f>
        <v>Pastoralism, Migratory</v>
      </c>
      <c r="F1668" s="152" t="str">
        <f>'Reported burning'!F1668</f>
        <v>Shrubland (Mixed forest &amp; grassland)</v>
      </c>
      <c r="G1668" s="152" t="str">
        <f>'Reported burning'!G1668</f>
        <v>ND</v>
      </c>
      <c r="H1668" s="152"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6" t="str">
        <f>'Reported burning'!A1669</f>
        <v>199a</v>
      </c>
      <c r="B1669" s="156" t="str">
        <f>'Reported burning'!B1669</f>
        <v>199a.1</v>
      </c>
      <c r="C1669" s="156" t="str">
        <f>'Reported burning'!C1669</f>
        <v>Human, deliberate</v>
      </c>
      <c r="D1669" s="156" t="str">
        <f>'Reported burning'!D1669</f>
        <v>Pasture renewal</v>
      </c>
      <c r="E1669" s="156" t="str">
        <f>'Reported burning'!E1669</f>
        <v>Pastoralism, Migratory</v>
      </c>
      <c r="F1669" s="156" t="str">
        <f>'Reported burning'!F1669</f>
        <v>Shrubland (Mixed forest &amp; grassland)</v>
      </c>
      <c r="G1669" s="156" t="str">
        <f>'Reported burning'!G1669</f>
        <v>ND</v>
      </c>
      <c r="H1669" s="156"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2" t="str">
        <f>'Reported burning'!A1670</f>
        <v>199a</v>
      </c>
      <c r="B1670" s="152" t="str">
        <f>'Reported burning'!B1670</f>
        <v>199a.2</v>
      </c>
      <c r="C1670" s="152" t="str">
        <f>'Reported burning'!C1670</f>
        <v>Human, deliberate</v>
      </c>
      <c r="D1670" s="152" t="str">
        <f>'Reported burning'!D1670</f>
        <v>Pest management</v>
      </c>
      <c r="E1670" s="152" t="str">
        <f>'Reported burning'!E1670</f>
        <v>Pastoralism, Migratory</v>
      </c>
      <c r="F1670" s="152" t="str">
        <f>'Reported burning'!F1670</f>
        <v>Shrubland (Mixed forest &amp; grassland)</v>
      </c>
      <c r="G1670" s="152" t="str">
        <f>'Reported burning'!G1670</f>
        <v>ND</v>
      </c>
      <c r="H1670" s="152"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2" t="str">
        <f>'Reported burning'!A1671</f>
        <v>199a</v>
      </c>
      <c r="B1671" s="152" t="str">
        <f>'Reported burning'!B1671</f>
        <v>199a.3</v>
      </c>
      <c r="C1671" s="152" t="str">
        <f>'Reported burning'!C1671</f>
        <v>Human, deliberate</v>
      </c>
      <c r="D1671" s="152" t="str">
        <f>'Reported burning'!D1671</f>
        <v>Hunting</v>
      </c>
      <c r="E1671" s="152" t="str">
        <f>'Reported burning'!E1671</f>
        <v>Forestry, Traditional</v>
      </c>
      <c r="F1671" s="152" t="str">
        <f>'Reported burning'!F1671</f>
        <v>Shrubland (Mixed forest &amp; grassland)</v>
      </c>
      <c r="G1671" s="152" t="str">
        <f>'Reported burning'!G1671</f>
        <v>ND</v>
      </c>
      <c r="H1671" s="152"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2" t="str">
        <f>'Reported burning'!A1672</f>
        <v>199a</v>
      </c>
      <c r="B1672" s="152" t="str">
        <f>'Reported burning'!B1672</f>
        <v>199a.4</v>
      </c>
      <c r="C1672" s="152" t="str">
        <f>'Reported burning'!C1672</f>
        <v>Human, deliberate</v>
      </c>
      <c r="D1672" s="152" t="str">
        <f>'Reported burning'!D1672</f>
        <v>Pasture renewal</v>
      </c>
      <c r="E1672" s="152" t="str">
        <f>'Reported burning'!E1672</f>
        <v>Pastoralism, Migratory</v>
      </c>
      <c r="F1672" s="152" t="str">
        <f>'Reported burning'!F1672</f>
        <v>Shrubland (Mixed forest &amp; grassland)</v>
      </c>
      <c r="G1672" s="152" t="str">
        <f>'Reported burning'!G1672</f>
        <v>ND</v>
      </c>
      <c r="H1672" s="152"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2" t="str">
        <f>'Reported burning'!A1673</f>
        <v>199a</v>
      </c>
      <c r="B1673" s="152" t="str">
        <f>'Reported burning'!B1673</f>
        <v>199a.5</v>
      </c>
      <c r="C1673" s="152" t="str">
        <f>'Reported burning'!C1673</f>
        <v>Human, deliberate</v>
      </c>
      <c r="D1673" s="152" t="str">
        <f>'Reported burning'!D1673</f>
        <v>Pest management</v>
      </c>
      <c r="E1673" s="152" t="str">
        <f>'Reported burning'!E1673</f>
        <v>Pastoralism, Migratory</v>
      </c>
      <c r="F1673" s="152" t="str">
        <f>'Reported burning'!F1673</f>
        <v>Shrubland (Mixed forest &amp; grassland)</v>
      </c>
      <c r="G1673" s="152" t="str">
        <f>'Reported burning'!G1673</f>
        <v>ND</v>
      </c>
      <c r="H1673" s="152"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2" t="str">
        <f>'Reported burning'!A1674</f>
        <v>199a</v>
      </c>
      <c r="B1674" s="152" t="str">
        <f>'Reported burning'!B1674</f>
        <v>199a.6</v>
      </c>
      <c r="C1674" s="152" t="str">
        <f>'Reported burning'!C1674</f>
        <v>Human, deliberate</v>
      </c>
      <c r="D1674" s="152" t="str">
        <f>'Reported burning'!D1674</f>
        <v>Hunting</v>
      </c>
      <c r="E1674" s="152" t="str">
        <f>'Reported burning'!E1674</f>
        <v>Forestry, Traditional</v>
      </c>
      <c r="F1674" s="152" t="str">
        <f>'Reported burning'!F1674</f>
        <v>Shrubland (Mixed forest &amp; grassland)</v>
      </c>
      <c r="G1674" s="152" t="str">
        <f>'Reported burning'!G1674</f>
        <v>ND</v>
      </c>
      <c r="H1674" s="152"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2" t="str">
        <f>'Reported burning'!A1675</f>
        <v>199a</v>
      </c>
      <c r="B1675" s="152" t="str">
        <f>'Reported burning'!B1675</f>
        <v>199a.7</v>
      </c>
      <c r="C1675" s="152" t="str">
        <f>'Reported burning'!C1675</f>
        <v>Human, deliberate</v>
      </c>
      <c r="D1675" s="152" t="str">
        <f>'Reported burning'!D1675</f>
        <v>ND</v>
      </c>
      <c r="E1675" s="152" t="str">
        <f>'Reported burning'!E1675</f>
        <v>Pastoralism, Migratory</v>
      </c>
      <c r="F1675" s="152" t="str">
        <f>'Reported burning'!F1675</f>
        <v>Shrubland (Mixed forest &amp; grassland)</v>
      </c>
      <c r="G1675" s="152" t="str">
        <f>'Reported burning'!G1675</f>
        <v>ND</v>
      </c>
      <c r="H1675" s="152"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2" t="str">
        <f>'Reported burning'!A1676</f>
        <v>199a</v>
      </c>
      <c r="B1676" s="152" t="str">
        <f>'Reported burning'!B1676</f>
        <v>199a.8</v>
      </c>
      <c r="C1676" s="152" t="str">
        <f>'Reported burning'!C1676</f>
        <v>Human, deliberate</v>
      </c>
      <c r="D1676" s="152" t="str">
        <f>'Reported burning'!D1676</f>
        <v>ND</v>
      </c>
      <c r="E1676" s="152" t="str">
        <f>'Reported burning'!E1676</f>
        <v>Forestry, Traditional</v>
      </c>
      <c r="F1676" s="152" t="str">
        <f>'Reported burning'!F1676</f>
        <v>Shrubland (Mixed forest &amp; grassland)</v>
      </c>
      <c r="G1676" s="152" t="str">
        <f>'Reported burning'!G1676</f>
        <v>ND</v>
      </c>
      <c r="H1676" s="152"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2" t="str">
        <f>'Reported burning'!A1677</f>
        <v>200a</v>
      </c>
      <c r="B1677" s="152" t="str">
        <f>'Reported burning'!B1677</f>
        <v>200a.1</v>
      </c>
      <c r="C1677" s="152" t="str">
        <f>'Reported burning'!C1677</f>
        <v>Human, deliberate</v>
      </c>
      <c r="D1677" s="152" t="str">
        <f>'Reported burning'!D1677</f>
        <v>Pasture renewal</v>
      </c>
      <c r="E1677" s="152" t="str">
        <f>'Reported burning'!E1677</f>
        <v>Pastoralism, Migratory</v>
      </c>
      <c r="F1677" s="152" t="str">
        <f>'Reported burning'!F1677</f>
        <v>Shrubland (Mixed forest &amp; grassland)</v>
      </c>
      <c r="G1677" s="152" t="str">
        <f>'Reported burning'!G1677</f>
        <v>ND</v>
      </c>
      <c r="H1677" s="152"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2" t="str">
        <f>'Reported burning'!A1678</f>
        <v>200a</v>
      </c>
      <c r="B1678" s="152" t="str">
        <f>'Reported burning'!B1678</f>
        <v>200a.2</v>
      </c>
      <c r="C1678" s="152" t="str">
        <f>'Reported burning'!C1678</f>
        <v>Human, deliberate</v>
      </c>
      <c r="D1678" s="152" t="str">
        <f>'Reported burning'!D1678</f>
        <v>Hunting</v>
      </c>
      <c r="E1678" s="152" t="str">
        <f>'Reported burning'!E1678</f>
        <v>Forestry, Traditional</v>
      </c>
      <c r="F1678" s="152" t="str">
        <f>'Reported burning'!F1678</f>
        <v>Shrubland (Mixed forest &amp; grassland)</v>
      </c>
      <c r="G1678" s="152" t="str">
        <f>'Reported burning'!G1678</f>
        <v>ND</v>
      </c>
      <c r="H1678" s="152"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2" t="str">
        <f>'Reported burning'!A1679</f>
        <v>200a</v>
      </c>
      <c r="B1679" s="152" t="str">
        <f>'Reported burning'!B1679</f>
        <v>200a.3</v>
      </c>
      <c r="C1679" s="152" t="str">
        <f>'Reported burning'!C1679</f>
        <v>Human, deliberate</v>
      </c>
      <c r="D1679" s="152" t="str">
        <f>'Reported burning'!D1679</f>
        <v>Vegetation management</v>
      </c>
      <c r="E1679" s="152" t="str">
        <f>'Reported burning'!E1679</f>
        <v>Pastoralism, Migratory</v>
      </c>
      <c r="F1679" s="152" t="str">
        <f>'Reported burning'!F1679</f>
        <v>Shrubland (Mixed forest &amp; grassland)</v>
      </c>
      <c r="G1679" s="152" t="str">
        <f>'Reported burning'!G1679</f>
        <v>ND</v>
      </c>
      <c r="H1679" s="152"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2" t="str">
        <f>'Reported burning'!A1680</f>
        <v>200a</v>
      </c>
      <c r="B1680" s="152" t="str">
        <f>'Reported burning'!B1680</f>
        <v>200a.4</v>
      </c>
      <c r="C1680" s="152" t="str">
        <f>'Reported burning'!C1680</f>
        <v>Human, deliberate</v>
      </c>
      <c r="D1680" s="152" t="str">
        <f>'Reported burning'!D1680</f>
        <v>Vegetation management</v>
      </c>
      <c r="E1680" s="152" t="str">
        <f>'Reported burning'!E1680</f>
        <v>Forestry, Traditional</v>
      </c>
      <c r="F1680" s="152" t="str">
        <f>'Reported burning'!F1680</f>
        <v>Shrubland (Mixed forest &amp; grassland)</v>
      </c>
      <c r="G1680" s="152" t="str">
        <f>'Reported burning'!G1680</f>
        <v>ND</v>
      </c>
      <c r="H1680" s="152"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2" t="str">
        <f>'Reported burning'!A1681</f>
        <v>201a</v>
      </c>
      <c r="B1681" s="152" t="str">
        <f>'Reported burning'!B1681</f>
        <v>201a.1</v>
      </c>
      <c r="C1681" s="152" t="str">
        <f>'Reported burning'!C1681</f>
        <v>Human, deliberate</v>
      </c>
      <c r="D1681" s="152" t="str">
        <f>'Reported burning'!D1681</f>
        <v>Pasture renewal</v>
      </c>
      <c r="E1681" s="152" t="str">
        <f>'Reported burning'!E1681</f>
        <v>Pastoralism, Migratory</v>
      </c>
      <c r="F1681" s="152" t="str">
        <f>'Reported burning'!F1681</f>
        <v>Forest</v>
      </c>
      <c r="G1681" s="152" t="str">
        <f>'Reported burning'!G1681</f>
        <v>ND</v>
      </c>
      <c r="H1681" s="152"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5098</v>
      </c>
      <c r="AB1681" s="3"/>
    </row>
    <row r="1682" spans="1:28" ht="50" customHeight="1">
      <c r="A1682" s="152" t="str">
        <f>'Reported burning'!A1682</f>
        <v>201a</v>
      </c>
      <c r="B1682" s="152" t="str">
        <f>'Reported burning'!B1682</f>
        <v>201a.2</v>
      </c>
      <c r="C1682" s="152" t="str">
        <f>'Reported burning'!C1682</f>
        <v>Human, deliberate</v>
      </c>
      <c r="D1682" s="152" t="str">
        <f>'Reported burning'!D1682</f>
        <v>Forest management</v>
      </c>
      <c r="E1682" s="152" t="str">
        <f>'Reported burning'!E1682</f>
        <v>Pastoralism, Migratory</v>
      </c>
      <c r="F1682" s="152" t="str">
        <f>'Reported burning'!F1682</f>
        <v>Forest</v>
      </c>
      <c r="G1682" s="152" t="str">
        <f>'Reported burning'!G1682</f>
        <v>ND</v>
      </c>
      <c r="H1682" s="152"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5098</v>
      </c>
      <c r="AB1682" s="3"/>
    </row>
    <row r="1683" spans="1:28" ht="50" customHeight="1">
      <c r="A1683" s="152" t="str">
        <f>'Reported burning'!A1683</f>
        <v>201a</v>
      </c>
      <c r="B1683" s="152" t="str">
        <f>'Reported burning'!B1683</f>
        <v>201a.3</v>
      </c>
      <c r="C1683" s="152" t="str">
        <f>'Reported burning'!C1683</f>
        <v>Human, deliberate</v>
      </c>
      <c r="D1683" s="152" t="str">
        <f>'Reported burning'!D1683</f>
        <v>Conservation</v>
      </c>
      <c r="E1683" s="152" t="str">
        <f>'Reported burning'!E1683</f>
        <v>Biodiversity conservation</v>
      </c>
      <c r="F1683" s="152" t="str">
        <f>'Reported burning'!F1683</f>
        <v>Forest</v>
      </c>
      <c r="G1683" s="152" t="str">
        <f>'Reported burning'!G1683</f>
        <v>ND</v>
      </c>
      <c r="H1683" s="152"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5097</v>
      </c>
      <c r="AB1683" s="3"/>
    </row>
    <row r="1684" spans="1:28" ht="46.5" customHeight="1">
      <c r="A1684" s="152" t="str">
        <f>'Reported burning'!A1684</f>
        <v>202a</v>
      </c>
      <c r="B1684" s="152" t="str">
        <f>'Reported burning'!B1684</f>
        <v>202a.1</v>
      </c>
      <c r="C1684" s="152" t="str">
        <f>'Reported burning'!C1684</f>
        <v>Human, deliberate</v>
      </c>
      <c r="D1684" s="152" t="str">
        <f>'Reported burning'!D1684</f>
        <v>Rangeland management</v>
      </c>
      <c r="E1684" s="152" t="str">
        <f>'Reported burning'!E1684</f>
        <v>Pastoralism, Migratory</v>
      </c>
      <c r="F1684" s="152" t="str">
        <f>'Reported burning'!F1684</f>
        <v>Shrubland (Mixed forest &amp; grassland)</v>
      </c>
      <c r="G1684" s="152" t="str">
        <f>'Reported burning'!G1684</f>
        <v>ND</v>
      </c>
      <c r="H1684" s="152"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2" t="str">
        <f>'Reported burning'!A1685</f>
        <v>203a</v>
      </c>
      <c r="B1685" s="152" t="str">
        <f>'Reported burning'!B1685</f>
        <v>203a.1</v>
      </c>
      <c r="C1685" s="152" t="str">
        <f>'Reported burning'!C1685</f>
        <v>Human, deliberate</v>
      </c>
      <c r="D1685" s="152" t="str">
        <f>'Reported burning'!D1685</f>
        <v>Pest management</v>
      </c>
      <c r="E1685" s="152" t="str">
        <f>'Reported burning'!E1685</f>
        <v>Pastoralism, Migratory</v>
      </c>
      <c r="F1685" s="152" t="str">
        <f>'Reported burning'!F1685</f>
        <v>Shrubland (Mixed forest &amp; grassland)</v>
      </c>
      <c r="G1685" s="152" t="str">
        <f>'Reported burning'!G1685</f>
        <v>ND</v>
      </c>
      <c r="H1685" s="152"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5113</v>
      </c>
      <c r="AB1685" s="3"/>
    </row>
    <row r="1686" spans="1:28" ht="51.5" customHeight="1">
      <c r="A1686" s="152" t="str">
        <f>'Reported burning'!A1686</f>
        <v>203a</v>
      </c>
      <c r="B1686" s="152" t="str">
        <f>'Reported burning'!B1686</f>
        <v>203a.2</v>
      </c>
      <c r="C1686" s="152" t="str">
        <f>'Reported burning'!C1686</f>
        <v>Human, deliberate</v>
      </c>
      <c r="D1686" s="152" t="str">
        <f>'Reported burning'!D1686</f>
        <v>Pest management</v>
      </c>
      <c r="E1686" s="152" t="str">
        <f>'Reported burning'!E1686</f>
        <v>Cattle, Extensive</v>
      </c>
      <c r="F1686" s="152" t="str">
        <f>'Reported burning'!F1686</f>
        <v>Shrubland (Mixed forest &amp; grassland)</v>
      </c>
      <c r="G1686" s="152" t="str">
        <f>'Reported burning'!G1686</f>
        <v>ND</v>
      </c>
      <c r="H1686" s="152"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5114</v>
      </c>
      <c r="AB1686" s="3"/>
    </row>
    <row r="1687" spans="1:28" ht="31" customHeight="1">
      <c r="A1687" s="152" t="str">
        <f>'Reported burning'!A1687</f>
        <v>204a</v>
      </c>
      <c r="B1687" s="152" t="str">
        <f>'Reported burning'!B1687</f>
        <v>204a.1</v>
      </c>
      <c r="C1687" s="152" t="str">
        <f>'Reported burning'!C1687</f>
        <v>Human, deliberate</v>
      </c>
      <c r="D1687" s="152" t="str">
        <f>'Reported burning'!D1687</f>
        <v>Rangeland management</v>
      </c>
      <c r="E1687" s="152" t="str">
        <f>'Reported burning'!E1687</f>
        <v>Pastoralism, Migratory</v>
      </c>
      <c r="F1687" s="152" t="str">
        <f>'Reported burning'!F1687</f>
        <v>Shrubland (Mixed forest &amp; grassland)</v>
      </c>
      <c r="G1687" s="152" t="str">
        <f>'Reported burning'!G1687</f>
        <v>ND</v>
      </c>
      <c r="H1687" s="152"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2" t="str">
        <f>'Reported burning'!A1688</f>
        <v>205a</v>
      </c>
      <c r="B1688" s="152" t="str">
        <f>'Reported burning'!B1688</f>
        <v>205a.1</v>
      </c>
      <c r="C1688" s="152" t="str">
        <f>'Reported burning'!C1688</f>
        <v>Human, deliberate</v>
      </c>
      <c r="D1688" s="152" t="str">
        <f>'Reported burning'!D1688</f>
        <v>Pyrome management</v>
      </c>
      <c r="E1688" s="152" t="str">
        <f>'Reported burning'!E1688</f>
        <v>Biodiversity conservation</v>
      </c>
      <c r="F1688" s="152" t="str">
        <f>'Reported burning'!F1688</f>
        <v>Shrubland (Mixed forest &amp; grassland)</v>
      </c>
      <c r="G1688" s="152" t="str">
        <f>'Reported burning'!G1688</f>
        <v>Shrubland (Mixed forest &amp; grassland)</v>
      </c>
      <c r="H1688" s="152"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2" t="str">
        <f>'Reported burning'!A1689</f>
        <v>205b</v>
      </c>
      <c r="B1689" s="152" t="str">
        <f>'Reported burning'!B1689</f>
        <v>205b.1</v>
      </c>
      <c r="C1689" s="152" t="str">
        <f>'Reported burning'!C1689</f>
        <v>Human, deliberate</v>
      </c>
      <c r="D1689" s="152" t="str">
        <f>'Reported burning'!D1689</f>
        <v>Pyrome management</v>
      </c>
      <c r="E1689" s="152" t="str">
        <f>'Reported burning'!E1689</f>
        <v>Biodiversity conservation</v>
      </c>
      <c r="F1689" s="152" t="str">
        <f>'Reported burning'!F1689</f>
        <v>Shrubland (Mixed forest &amp; grassland)</v>
      </c>
      <c r="G1689" s="152" t="str">
        <f>'Reported burning'!G1689</f>
        <v>Shrubland (Mixed forest &amp; grassland)</v>
      </c>
      <c r="H1689" s="152"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2" t="str">
        <f>'Reported burning'!A1690</f>
        <v>205c</v>
      </c>
      <c r="B1690" s="152" t="str">
        <f>'Reported burning'!B1690</f>
        <v>205c.1</v>
      </c>
      <c r="C1690" s="152" t="str">
        <f>'Reported burning'!C1690</f>
        <v>Human, deliberate</v>
      </c>
      <c r="D1690" s="152" t="str">
        <f>'Reported burning'!D1690</f>
        <v>Pyrome management</v>
      </c>
      <c r="E1690" s="152" t="str">
        <f>'Reported burning'!E1690</f>
        <v>Biodiversity conservation</v>
      </c>
      <c r="F1690" s="152" t="str">
        <f>'Reported burning'!F1690</f>
        <v>Shrubland (Mixed forest &amp; grassland)</v>
      </c>
      <c r="G1690" s="152" t="str">
        <f>'Reported burning'!G1690</f>
        <v>Shrubland (Mixed forest &amp; grassland)</v>
      </c>
      <c r="H1690" s="152"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2" t="str">
        <f>'Reported burning'!A1691</f>
        <v>205d</v>
      </c>
      <c r="B1691" s="152" t="str">
        <f>'Reported burning'!B1691</f>
        <v>205d.1</v>
      </c>
      <c r="C1691" s="152" t="str">
        <f>'Reported burning'!C1691</f>
        <v>Human, deliberate</v>
      </c>
      <c r="D1691" s="152" t="str">
        <f>'Reported burning'!D1691</f>
        <v>Pyrome management</v>
      </c>
      <c r="E1691" s="152" t="str">
        <f>'Reported burning'!E1691</f>
        <v>Biodiversity conservation</v>
      </c>
      <c r="F1691" s="152" t="str">
        <f>'Reported burning'!F1691</f>
        <v>Shrubland (Mixed forest &amp; grassland)</v>
      </c>
      <c r="G1691" s="152" t="str">
        <f>'Reported burning'!G1691</f>
        <v>Shrubland (Mixed forest &amp; grassland)</v>
      </c>
      <c r="H1691" s="152"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2" t="str">
        <f>'Reported burning'!A1692</f>
        <v>205e</v>
      </c>
      <c r="B1692" s="152" t="str">
        <f>'Reported burning'!B1692</f>
        <v>205e.1</v>
      </c>
      <c r="C1692" s="152" t="str">
        <f>'Reported burning'!C1692</f>
        <v>Human, deliberate</v>
      </c>
      <c r="D1692" s="152" t="str">
        <f>'Reported burning'!D1692</f>
        <v>Pyrome management</v>
      </c>
      <c r="E1692" s="152" t="str">
        <f>'Reported burning'!E1692</f>
        <v>Biodiversity conservation</v>
      </c>
      <c r="F1692" s="152" t="str">
        <f>'Reported burning'!F1692</f>
        <v>Shrubland (Mixed forest &amp; grassland)</v>
      </c>
      <c r="G1692" s="152" t="str">
        <f>'Reported burning'!G1692</f>
        <v>Shrubland (Mixed forest &amp; grassland)</v>
      </c>
      <c r="H1692" s="152"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2" t="str">
        <f>'Reported burning'!A1693</f>
        <v>205f</v>
      </c>
      <c r="B1693" s="152" t="str">
        <f>'Reported burning'!B1693</f>
        <v>205f.1</v>
      </c>
      <c r="C1693" s="152" t="str">
        <f>'Reported burning'!C1693</f>
        <v>Human, deliberate</v>
      </c>
      <c r="D1693" s="152" t="str">
        <f>'Reported burning'!D1693</f>
        <v>Pyrome management</v>
      </c>
      <c r="E1693" s="152" t="str">
        <f>'Reported burning'!E1693</f>
        <v>Biodiversity conservation</v>
      </c>
      <c r="F1693" s="152" t="str">
        <f>'Reported burning'!F1693</f>
        <v>Shrubland (Mixed forest &amp; grassland)</v>
      </c>
      <c r="G1693" s="152" t="str">
        <f>'Reported burning'!G1693</f>
        <v>Shrubland (Mixed forest &amp; grassland)</v>
      </c>
      <c r="H1693" s="152"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5165</v>
      </c>
      <c r="AB1693" s="4" t="s">
        <v>5184</v>
      </c>
    </row>
    <row r="1694" spans="1:28" ht="85.5" customHeight="1">
      <c r="A1694" s="152" t="str">
        <f>'Reported burning'!A1694</f>
        <v>205g</v>
      </c>
      <c r="B1694" s="152" t="str">
        <f>'Reported burning'!B1694</f>
        <v>205g.1</v>
      </c>
      <c r="C1694" s="152" t="str">
        <f>'Reported burning'!C1694</f>
        <v>Human, deliberate</v>
      </c>
      <c r="D1694" s="152" t="str">
        <f>'Reported burning'!D1694</f>
        <v>Pyrome management</v>
      </c>
      <c r="E1694" s="152" t="str">
        <f>'Reported burning'!E1694</f>
        <v>Biodiversity conservation</v>
      </c>
      <c r="F1694" s="152" t="str">
        <f>'Reported burning'!F1694</f>
        <v>Shrubland (Mixed forest &amp; grassland)</v>
      </c>
      <c r="G1694" s="152" t="str">
        <f>'Reported burning'!G1694</f>
        <v>Shrubland (Mixed forest &amp; grassland)</v>
      </c>
      <c r="H1694" s="152"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5165</v>
      </c>
      <c r="AB1694" s="4" t="s">
        <v>5184</v>
      </c>
    </row>
    <row r="1695" spans="1:28" ht="85.5" customHeight="1">
      <c r="A1695" s="152" t="str">
        <f>'Reported burning'!A1695</f>
        <v>205h</v>
      </c>
      <c r="B1695" s="152" t="str">
        <f>'Reported burning'!B1695</f>
        <v>205h.1</v>
      </c>
      <c r="C1695" s="152" t="str">
        <f>'Reported burning'!C1695</f>
        <v>Human, deliberate</v>
      </c>
      <c r="D1695" s="152" t="str">
        <f>'Reported burning'!D1695</f>
        <v>Pyrome management</v>
      </c>
      <c r="E1695" s="152" t="str">
        <f>'Reported burning'!E1695</f>
        <v>Biodiversity conservation</v>
      </c>
      <c r="F1695" s="152" t="str">
        <f>'Reported burning'!F1695</f>
        <v>Shrubland (Mixed forest &amp; grassland)</v>
      </c>
      <c r="G1695" s="152" t="str">
        <f>'Reported burning'!G1695</f>
        <v>Shrubland (Mixed forest &amp; grassland)</v>
      </c>
      <c r="H1695" s="152"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5165</v>
      </c>
      <c r="AB1695" s="4" t="s">
        <v>5184</v>
      </c>
    </row>
    <row r="1696" spans="1:28" ht="85.5" customHeight="1">
      <c r="A1696" s="152" t="str">
        <f>'Reported burning'!A1696</f>
        <v>205i</v>
      </c>
      <c r="B1696" s="152" t="str">
        <f>'Reported burning'!B1696</f>
        <v>205i.1</v>
      </c>
      <c r="C1696" s="152" t="str">
        <f>'Reported burning'!C1696</f>
        <v>Human, deliberate</v>
      </c>
      <c r="D1696" s="152" t="str">
        <f>'Reported burning'!D1696</f>
        <v>Pyrome management</v>
      </c>
      <c r="E1696" s="152" t="str">
        <f>'Reported burning'!E1696</f>
        <v>Biodiversity conservation</v>
      </c>
      <c r="F1696" s="152" t="str">
        <f>'Reported burning'!F1696</f>
        <v>Shrubland (Mixed forest &amp; grassland)</v>
      </c>
      <c r="G1696" s="152" t="str">
        <f>'Reported burning'!G1696</f>
        <v>Shrubland (Mixed forest &amp; grassland)</v>
      </c>
      <c r="H1696" s="152"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5165</v>
      </c>
      <c r="AB1696" s="4" t="s">
        <v>5184</v>
      </c>
    </row>
    <row r="1697" spans="1:28" ht="85.5" customHeight="1">
      <c r="A1697" s="152" t="str">
        <f>'Reported burning'!A1697</f>
        <v>205j</v>
      </c>
      <c r="B1697" s="152" t="str">
        <f>'Reported burning'!B1697</f>
        <v>205j.1</v>
      </c>
      <c r="C1697" s="152" t="str">
        <f>'Reported burning'!C1697</f>
        <v>Human, deliberate</v>
      </c>
      <c r="D1697" s="152" t="str">
        <f>'Reported burning'!D1697</f>
        <v>Pyrome management</v>
      </c>
      <c r="E1697" s="152" t="str">
        <f>'Reported burning'!E1697</f>
        <v>Biodiversity conservation</v>
      </c>
      <c r="F1697" s="152" t="str">
        <f>'Reported burning'!F1697</f>
        <v>Shrubland (Mixed forest &amp; grassland)</v>
      </c>
      <c r="G1697" s="152" t="str">
        <f>'Reported burning'!G1697</f>
        <v>Shrubland (Mixed forest &amp; grassland)</v>
      </c>
      <c r="H1697" s="152"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5165</v>
      </c>
      <c r="AB1697" s="4" t="s">
        <v>5184</v>
      </c>
    </row>
    <row r="1698" spans="1:28" ht="36.5" customHeight="1">
      <c r="A1698" s="152" t="str">
        <f>'Reported burning'!A1698</f>
        <v>205a</v>
      </c>
      <c r="B1698" s="152" t="str">
        <f>'Reported burning'!B1698</f>
        <v>205a.2</v>
      </c>
      <c r="C1698" s="152" t="str">
        <f>'Reported burning'!C1698</f>
        <v>All</v>
      </c>
      <c r="D1698" s="152" t="str">
        <f>'Reported burning'!D1698</f>
        <v>All</v>
      </c>
      <c r="E1698" s="152" t="str">
        <f>'Reported burning'!E1698</f>
        <v>All</v>
      </c>
      <c r="F1698" s="152" t="str">
        <f>'Reported burning'!F1698</f>
        <v>ND</v>
      </c>
      <c r="G1698" s="152" t="str">
        <f>'Reported burning'!G1698</f>
        <v>Shrubland (Mixed forest &amp; grassland)</v>
      </c>
      <c r="H1698" s="152"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2" t="str">
        <f>'Reported burning'!A1699</f>
        <v>205b</v>
      </c>
      <c r="B1699" s="152" t="str">
        <f>'Reported burning'!B1699</f>
        <v>205b.2</v>
      </c>
      <c r="C1699" s="152" t="str">
        <f>'Reported burning'!C1699</f>
        <v>All</v>
      </c>
      <c r="D1699" s="152" t="str">
        <f>'Reported burning'!D1699</f>
        <v>All</v>
      </c>
      <c r="E1699" s="152" t="str">
        <f>'Reported burning'!E1699</f>
        <v>All</v>
      </c>
      <c r="F1699" s="152" t="str">
        <f>'Reported burning'!F1699</f>
        <v>ND</v>
      </c>
      <c r="G1699" s="152" t="str">
        <f>'Reported burning'!G1699</f>
        <v>Shrubland (Mixed forest &amp; grassland)</v>
      </c>
      <c r="H1699" s="152"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2" t="str">
        <f>'Reported burning'!A1700</f>
        <v>205c</v>
      </c>
      <c r="B1700" s="152" t="str">
        <f>'Reported burning'!B1700</f>
        <v>205c.2</v>
      </c>
      <c r="C1700" s="152" t="str">
        <f>'Reported burning'!C1700</f>
        <v>All</v>
      </c>
      <c r="D1700" s="152" t="str">
        <f>'Reported burning'!D1700</f>
        <v>All</v>
      </c>
      <c r="E1700" s="152" t="str">
        <f>'Reported burning'!E1700</f>
        <v>All</v>
      </c>
      <c r="F1700" s="152" t="str">
        <f>'Reported burning'!F1700</f>
        <v>ND</v>
      </c>
      <c r="G1700" s="152" t="str">
        <f>'Reported burning'!G1700</f>
        <v>Shrubland (Mixed forest &amp; grassland)</v>
      </c>
      <c r="H1700" s="152"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2" t="str">
        <f>'Reported burning'!A1701</f>
        <v>205d</v>
      </c>
      <c r="B1701" s="152" t="str">
        <f>'Reported burning'!B1701</f>
        <v>205d.2</v>
      </c>
      <c r="C1701" s="152" t="str">
        <f>'Reported burning'!C1701</f>
        <v>All</v>
      </c>
      <c r="D1701" s="152" t="str">
        <f>'Reported burning'!D1701</f>
        <v>All</v>
      </c>
      <c r="E1701" s="152" t="str">
        <f>'Reported burning'!E1701</f>
        <v>All</v>
      </c>
      <c r="F1701" s="152" t="str">
        <f>'Reported burning'!F1701</f>
        <v>ND</v>
      </c>
      <c r="G1701" s="152" t="str">
        <f>'Reported burning'!G1701</f>
        <v>Shrubland (Mixed forest &amp; grassland)</v>
      </c>
      <c r="H1701" s="152"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2" t="str">
        <f>'Reported burning'!A1702</f>
        <v>205e</v>
      </c>
      <c r="B1702" s="152" t="str">
        <f>'Reported burning'!B1702</f>
        <v>205e.2</v>
      </c>
      <c r="C1702" s="152" t="str">
        <f>'Reported burning'!C1702</f>
        <v>All</v>
      </c>
      <c r="D1702" s="152" t="str">
        <f>'Reported burning'!D1702</f>
        <v>All</v>
      </c>
      <c r="E1702" s="152" t="str">
        <f>'Reported burning'!E1702</f>
        <v>All</v>
      </c>
      <c r="F1702" s="152" t="str">
        <f>'Reported burning'!F1702</f>
        <v>ND</v>
      </c>
      <c r="G1702" s="152" t="str">
        <f>'Reported burning'!G1702</f>
        <v>Shrubland (Mixed forest &amp; grassland)</v>
      </c>
      <c r="H1702" s="152"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2" t="str">
        <f>'Reported burning'!A1703</f>
        <v>205f</v>
      </c>
      <c r="B1703" s="152" t="str">
        <f>'Reported burning'!B1703</f>
        <v>205f.2</v>
      </c>
      <c r="C1703" s="152" t="str">
        <f>'Reported burning'!C1703</f>
        <v>All</v>
      </c>
      <c r="D1703" s="152" t="str">
        <f>'Reported burning'!D1703</f>
        <v>All</v>
      </c>
      <c r="E1703" s="152" t="str">
        <f>'Reported burning'!E1703</f>
        <v>All</v>
      </c>
      <c r="F1703" s="152" t="str">
        <f>'Reported burning'!F1703</f>
        <v>ND</v>
      </c>
      <c r="G1703" s="152" t="str">
        <f>'Reported burning'!G1703</f>
        <v>Shrubland (Mixed forest &amp; grassland)</v>
      </c>
      <c r="H1703" s="152"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2" t="str">
        <f>'Reported burning'!A1704</f>
        <v>205g</v>
      </c>
      <c r="B1704" s="152" t="str">
        <f>'Reported burning'!B1704</f>
        <v>205g.2</v>
      </c>
      <c r="C1704" s="152" t="str">
        <f>'Reported burning'!C1704</f>
        <v>All</v>
      </c>
      <c r="D1704" s="152" t="str">
        <f>'Reported burning'!D1704</f>
        <v>All</v>
      </c>
      <c r="E1704" s="152" t="str">
        <f>'Reported burning'!E1704</f>
        <v>All</v>
      </c>
      <c r="F1704" s="152" t="str">
        <f>'Reported burning'!F1704</f>
        <v>ND</v>
      </c>
      <c r="G1704" s="152" t="str">
        <f>'Reported burning'!G1704</f>
        <v>Shrubland (Mixed forest &amp; grassland)</v>
      </c>
      <c r="H1704" s="152"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2" t="str">
        <f>'Reported burning'!A1705</f>
        <v>205h</v>
      </c>
      <c r="B1705" s="152" t="str">
        <f>'Reported burning'!B1705</f>
        <v>205h.2</v>
      </c>
      <c r="C1705" s="152" t="str">
        <f>'Reported burning'!C1705</f>
        <v>All</v>
      </c>
      <c r="D1705" s="152" t="str">
        <f>'Reported burning'!D1705</f>
        <v>All</v>
      </c>
      <c r="E1705" s="152" t="str">
        <f>'Reported burning'!E1705</f>
        <v>All</v>
      </c>
      <c r="F1705" s="152" t="str">
        <f>'Reported burning'!F1705</f>
        <v>ND</v>
      </c>
      <c r="G1705" s="152" t="str">
        <f>'Reported burning'!G1705</f>
        <v>Shrubland (Mixed forest &amp; grassland)</v>
      </c>
      <c r="H1705" s="152"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2" t="str">
        <f>'Reported burning'!A1706</f>
        <v>205i</v>
      </c>
      <c r="B1706" s="152" t="str">
        <f>'Reported burning'!B1706</f>
        <v>205i.2</v>
      </c>
      <c r="C1706" s="152" t="str">
        <f>'Reported burning'!C1706</f>
        <v>All</v>
      </c>
      <c r="D1706" s="152" t="str">
        <f>'Reported burning'!D1706</f>
        <v>All</v>
      </c>
      <c r="E1706" s="152" t="str">
        <f>'Reported burning'!E1706</f>
        <v>All</v>
      </c>
      <c r="F1706" s="152" t="str">
        <f>'Reported burning'!F1706</f>
        <v>ND</v>
      </c>
      <c r="G1706" s="152" t="str">
        <f>'Reported burning'!G1706</f>
        <v>Shrubland (Mixed forest &amp; grassland)</v>
      </c>
      <c r="H1706" s="152"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2" t="str">
        <f>'Reported burning'!A1707</f>
        <v>205j</v>
      </c>
      <c r="B1707" s="152" t="str">
        <f>'Reported burning'!B1707</f>
        <v>205j.2</v>
      </c>
      <c r="C1707" s="152" t="str">
        <f>'Reported burning'!C1707</f>
        <v>All</v>
      </c>
      <c r="D1707" s="152" t="str">
        <f>'Reported burning'!D1707</f>
        <v>All</v>
      </c>
      <c r="E1707" s="152" t="str">
        <f>'Reported burning'!E1707</f>
        <v>All</v>
      </c>
      <c r="F1707" s="152" t="str">
        <f>'Reported burning'!F1707</f>
        <v>ND</v>
      </c>
      <c r="G1707" s="152" t="str">
        <f>'Reported burning'!G1707</f>
        <v>Shrubland (Mixed forest &amp; grassland)</v>
      </c>
      <c r="H1707" s="152"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2" t="str">
        <f>'Reported burning'!A1708</f>
        <v>205a</v>
      </c>
      <c r="B1708" s="152" t="str">
        <f>'Reported burning'!B1708</f>
        <v>205a.3</v>
      </c>
      <c r="C1708" s="152" t="str">
        <f>'Reported burning'!C1708</f>
        <v>All</v>
      </c>
      <c r="D1708" s="152" t="str">
        <f>'Reported burning'!D1708</f>
        <v>All</v>
      </c>
      <c r="E1708" s="152" t="str">
        <f>'Reported burning'!E1708</f>
        <v>All</v>
      </c>
      <c r="F1708" s="152" t="str">
        <f>'Reported burning'!F1708</f>
        <v>ND</v>
      </c>
      <c r="G1708" s="152" t="str">
        <f>'Reported burning'!G1708</f>
        <v>Shrubland (Mixed forest &amp; grassland)</v>
      </c>
      <c r="H1708" s="152"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2" t="str">
        <f>'Reported burning'!A1709</f>
        <v>205b</v>
      </c>
      <c r="B1709" s="152" t="str">
        <f>'Reported burning'!B1709</f>
        <v>205b.3</v>
      </c>
      <c r="C1709" s="152" t="str">
        <f>'Reported burning'!C1709</f>
        <v>All</v>
      </c>
      <c r="D1709" s="152" t="str">
        <f>'Reported burning'!D1709</f>
        <v>All</v>
      </c>
      <c r="E1709" s="152" t="str">
        <f>'Reported burning'!E1709</f>
        <v>All</v>
      </c>
      <c r="F1709" s="152" t="str">
        <f>'Reported burning'!F1709</f>
        <v>ND</v>
      </c>
      <c r="G1709" s="152" t="str">
        <f>'Reported burning'!G1709</f>
        <v>Shrubland (Mixed forest &amp; grassland)</v>
      </c>
      <c r="H1709" s="152"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2" t="str">
        <f>'Reported burning'!A1710</f>
        <v>205c</v>
      </c>
      <c r="B1710" s="152" t="str">
        <f>'Reported burning'!B1710</f>
        <v>205c.3</v>
      </c>
      <c r="C1710" s="152" t="str">
        <f>'Reported burning'!C1710</f>
        <v>All</v>
      </c>
      <c r="D1710" s="152" t="str">
        <f>'Reported burning'!D1710</f>
        <v>All</v>
      </c>
      <c r="E1710" s="152" t="str">
        <f>'Reported burning'!E1710</f>
        <v>All</v>
      </c>
      <c r="F1710" s="152" t="str">
        <f>'Reported burning'!F1710</f>
        <v>ND</v>
      </c>
      <c r="G1710" s="152" t="str">
        <f>'Reported burning'!G1710</f>
        <v>Shrubland (Mixed forest &amp; grassland)</v>
      </c>
      <c r="H1710" s="152"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2" t="str">
        <f>'Reported burning'!A1711</f>
        <v>205d</v>
      </c>
      <c r="B1711" s="152" t="str">
        <f>'Reported burning'!B1711</f>
        <v>205d.3</v>
      </c>
      <c r="C1711" s="152" t="str">
        <f>'Reported burning'!C1711</f>
        <v>All</v>
      </c>
      <c r="D1711" s="152" t="str">
        <f>'Reported burning'!D1711</f>
        <v>All</v>
      </c>
      <c r="E1711" s="152" t="str">
        <f>'Reported burning'!E1711</f>
        <v>All</v>
      </c>
      <c r="F1711" s="152" t="str">
        <f>'Reported burning'!F1711</f>
        <v>ND</v>
      </c>
      <c r="G1711" s="152" t="str">
        <f>'Reported burning'!G1711</f>
        <v>Shrubland (Mixed forest &amp; grassland)</v>
      </c>
      <c r="H1711" s="152"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2" t="str">
        <f>'Reported burning'!A1712</f>
        <v>205e</v>
      </c>
      <c r="B1712" s="152" t="str">
        <f>'Reported burning'!B1712</f>
        <v>205e.3</v>
      </c>
      <c r="C1712" s="152" t="str">
        <f>'Reported burning'!C1712</f>
        <v>All</v>
      </c>
      <c r="D1712" s="152" t="str">
        <f>'Reported burning'!D1712</f>
        <v>All</v>
      </c>
      <c r="E1712" s="152" t="str">
        <f>'Reported burning'!E1712</f>
        <v>All</v>
      </c>
      <c r="F1712" s="152" t="str">
        <f>'Reported burning'!F1712</f>
        <v>ND</v>
      </c>
      <c r="G1712" s="152" t="str">
        <f>'Reported burning'!G1712</f>
        <v>Shrubland (Mixed forest &amp; grassland)</v>
      </c>
      <c r="H1712" s="152"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2" t="str">
        <f>'Reported burning'!A1713</f>
        <v>205f</v>
      </c>
      <c r="B1713" s="152" t="str">
        <f>'Reported burning'!B1713</f>
        <v>205f.3</v>
      </c>
      <c r="C1713" s="152" t="str">
        <f>'Reported burning'!C1713</f>
        <v>Human, escaped</v>
      </c>
      <c r="D1713" s="152" t="str">
        <f>'Reported burning'!D1713</f>
        <v>Pyrome management</v>
      </c>
      <c r="E1713" s="152" t="str">
        <f>'Reported burning'!E1713</f>
        <v>Biodiversity conservation</v>
      </c>
      <c r="F1713" s="152" t="str">
        <f>'Reported burning'!F1713</f>
        <v>Shrubland (Mixed forest &amp; grassland)</v>
      </c>
      <c r="G1713" s="152" t="str">
        <f>'Reported burning'!G1713</f>
        <v>Shrubland (Mixed forest &amp; grassland)</v>
      </c>
      <c r="H1713" s="152"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5185</v>
      </c>
      <c r="AB1713" s="3"/>
    </row>
    <row r="1714" spans="1:28" ht="36.5" customHeight="1">
      <c r="A1714" s="152" t="str">
        <f>'Reported burning'!A1714</f>
        <v>205g</v>
      </c>
      <c r="B1714" s="152" t="str">
        <f>'Reported burning'!B1714</f>
        <v>205g.3</v>
      </c>
      <c r="C1714" s="152" t="str">
        <f>'Reported burning'!C1714</f>
        <v>Human, escaped</v>
      </c>
      <c r="D1714" s="152" t="str">
        <f>'Reported burning'!D1714</f>
        <v>Pyrome management</v>
      </c>
      <c r="E1714" s="152" t="str">
        <f>'Reported burning'!E1714</f>
        <v>Biodiversity conservation</v>
      </c>
      <c r="F1714" s="152" t="str">
        <f>'Reported burning'!F1714</f>
        <v>Shrubland (Mixed forest &amp; grassland)</v>
      </c>
      <c r="G1714" s="152" t="str">
        <f>'Reported burning'!G1714</f>
        <v>Shrubland (Mixed forest &amp; grassland)</v>
      </c>
      <c r="H1714" s="152"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5185</v>
      </c>
      <c r="AB1714" s="3"/>
    </row>
    <row r="1715" spans="1:28" ht="36.5" customHeight="1">
      <c r="A1715" s="152" t="str">
        <f>'Reported burning'!A1715</f>
        <v>205f</v>
      </c>
      <c r="B1715" s="152" t="str">
        <f>'Reported burning'!B1715</f>
        <v>205f.4</v>
      </c>
      <c r="C1715" s="152" t="str">
        <f>'Reported burning'!C1715</f>
        <v>Human, accidental</v>
      </c>
      <c r="D1715" s="152" t="str">
        <f>'Reported burning'!D1715</f>
        <v>Accidental</v>
      </c>
      <c r="E1715" s="152" t="str">
        <f>'Reported burning'!E1715</f>
        <v>Tourism manager</v>
      </c>
      <c r="F1715" s="152" t="str">
        <f>'Reported burning'!F1715</f>
        <v>ND</v>
      </c>
      <c r="G1715" s="152" t="str">
        <f>'Reported burning'!G1715</f>
        <v>Shrubland (Mixed forest &amp; grassland)</v>
      </c>
      <c r="H1715" s="152"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5185</v>
      </c>
      <c r="AB1715" s="3"/>
    </row>
    <row r="1716" spans="1:28" ht="36.5" customHeight="1">
      <c r="A1716" s="152" t="str">
        <f>'Reported burning'!A1716</f>
        <v>205g</v>
      </c>
      <c r="B1716" s="152" t="str">
        <f>'Reported burning'!B1716</f>
        <v>205g.4</v>
      </c>
      <c r="C1716" s="152" t="str">
        <f>'Reported burning'!C1716</f>
        <v>Human, accidental</v>
      </c>
      <c r="D1716" s="152" t="str">
        <f>'Reported burning'!D1716</f>
        <v>Accidental</v>
      </c>
      <c r="E1716" s="152" t="str">
        <f>'Reported burning'!E1716</f>
        <v>Tourism manager</v>
      </c>
      <c r="F1716" s="152" t="str">
        <f>'Reported burning'!F1716</f>
        <v>ND</v>
      </c>
      <c r="G1716" s="152" t="str">
        <f>'Reported burning'!G1716</f>
        <v>Shrubland (Mixed forest &amp; grassland)</v>
      </c>
      <c r="H1716" s="152"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5185</v>
      </c>
      <c r="AB1716" s="3"/>
    </row>
    <row r="1717" spans="1:28" ht="36.5" customHeight="1">
      <c r="A1717" s="152" t="str">
        <f>'Reported burning'!A1717</f>
        <v>205f</v>
      </c>
      <c r="B1717" s="152" t="str">
        <f>'Reported burning'!B1717</f>
        <v>205f.5</v>
      </c>
      <c r="C1717" s="152" t="str">
        <f>'Reported burning'!C1717</f>
        <v>Human, accidental</v>
      </c>
      <c r="D1717" s="152" t="str">
        <f>'Reported burning'!D1717</f>
        <v>Accidental</v>
      </c>
      <c r="E1717" s="152" t="str">
        <f>'Reported burning'!E1717</f>
        <v>Urban planner</v>
      </c>
      <c r="F1717" s="152" t="str">
        <f>'Reported burning'!F1717</f>
        <v>ND</v>
      </c>
      <c r="G1717" s="152" t="str">
        <f>'Reported burning'!G1717</f>
        <v>Shrubland (Mixed forest &amp; grassland)</v>
      </c>
      <c r="H1717" s="152"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5185</v>
      </c>
      <c r="AB1717" s="3"/>
    </row>
    <row r="1718" spans="1:28" ht="36.5" customHeight="1">
      <c r="A1718" s="152" t="str">
        <f>'Reported burning'!A1718</f>
        <v>205g</v>
      </c>
      <c r="B1718" s="152" t="str">
        <f>'Reported burning'!B1718</f>
        <v>205g.5</v>
      </c>
      <c r="C1718" s="152" t="str">
        <f>'Reported burning'!C1718</f>
        <v>Human, accidental</v>
      </c>
      <c r="D1718" s="152" t="str">
        <f>'Reported burning'!D1718</f>
        <v>Accidental</v>
      </c>
      <c r="E1718" s="152" t="str">
        <f>'Reported burning'!E1718</f>
        <v>Urban planner</v>
      </c>
      <c r="F1718" s="152" t="str">
        <f>'Reported burning'!F1718</f>
        <v>ND</v>
      </c>
      <c r="G1718" s="152" t="str">
        <f>'Reported burning'!G1718</f>
        <v>Shrubland (Mixed forest &amp; grassland)</v>
      </c>
      <c r="H1718" s="152"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5185</v>
      </c>
      <c r="AB1718" s="3"/>
    </row>
    <row r="1719" spans="1:28" ht="36.5" customHeight="1">
      <c r="A1719" s="152" t="str">
        <f>'Reported burning'!A1719</f>
        <v>205f</v>
      </c>
      <c r="B1719" s="152" t="str">
        <f>'Reported burning'!B1719</f>
        <v>205f.6</v>
      </c>
      <c r="C1719" s="152" t="str">
        <f>'Reported burning'!C1719</f>
        <v>Human, deliberate</v>
      </c>
      <c r="D1719" s="152" t="str">
        <f>'Reported burning'!D1719</f>
        <v>Hunting</v>
      </c>
      <c r="E1719" s="152" t="str">
        <f>'Reported burning'!E1719</f>
        <v>Forestry, Traditional</v>
      </c>
      <c r="F1719" s="152" t="str">
        <f>'Reported burning'!F1719</f>
        <v>ND</v>
      </c>
      <c r="G1719" s="152" t="str">
        <f>'Reported burning'!G1719</f>
        <v>Shrubland (Mixed forest &amp; grassland)</v>
      </c>
      <c r="H1719" s="152"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5185</v>
      </c>
      <c r="AB1719" s="3"/>
    </row>
    <row r="1720" spans="1:28" ht="36.5" customHeight="1">
      <c r="A1720" s="152" t="str">
        <f>'Reported burning'!A1720</f>
        <v>205g</v>
      </c>
      <c r="B1720" s="152" t="str">
        <f>'Reported burning'!B1720</f>
        <v>205g.6</v>
      </c>
      <c r="C1720" s="152" t="str">
        <f>'Reported burning'!C1720</f>
        <v>Human, deliberate</v>
      </c>
      <c r="D1720" s="152" t="str">
        <f>'Reported burning'!D1720</f>
        <v>Hunting</v>
      </c>
      <c r="E1720" s="152" t="str">
        <f>'Reported burning'!E1720</f>
        <v>Forestry, Traditional</v>
      </c>
      <c r="F1720" s="152" t="str">
        <f>'Reported burning'!F1720</f>
        <v>ND</v>
      </c>
      <c r="G1720" s="152" t="str">
        <f>'Reported burning'!G1720</f>
        <v>Shrubland (Mixed forest &amp; grassland)</v>
      </c>
      <c r="H1720" s="152"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5185</v>
      </c>
      <c r="AB1720" s="3"/>
    </row>
    <row r="1721" spans="1:28" ht="29">
      <c r="A1721" s="152" t="str">
        <f>'Reported burning'!A1721</f>
        <v>205f</v>
      </c>
      <c r="B1721" s="152" t="str">
        <f>'Reported burning'!B1721</f>
        <v>205f.7</v>
      </c>
      <c r="C1721" s="152" t="str">
        <f>'Reported burning'!C1721</f>
        <v>Lightning</v>
      </c>
      <c r="D1721" s="152" t="str">
        <f>'Reported burning'!D1721</f>
        <v>ND</v>
      </c>
      <c r="E1721" s="152" t="str">
        <f>'Reported burning'!E1721</f>
        <v>ND</v>
      </c>
      <c r="F1721" s="152" t="str">
        <f>'Reported burning'!F1721</f>
        <v>ND</v>
      </c>
      <c r="G1721" s="152" t="str">
        <f>'Reported burning'!G1721</f>
        <v>Shrubland (Mixed forest &amp; grassland)</v>
      </c>
      <c r="H1721" s="152"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5185</v>
      </c>
      <c r="AB1721" s="3"/>
    </row>
    <row r="1722" spans="1:28" ht="29">
      <c r="A1722" s="152" t="str">
        <f>'Reported burning'!A1722</f>
        <v>205g</v>
      </c>
      <c r="B1722" s="152" t="str">
        <f>'Reported burning'!B1722</f>
        <v>205g.7</v>
      </c>
      <c r="C1722" s="152" t="str">
        <f>'Reported burning'!C1722</f>
        <v>Lightning</v>
      </c>
      <c r="D1722" s="152" t="str">
        <f>'Reported burning'!D1722</f>
        <v>ND</v>
      </c>
      <c r="E1722" s="152" t="str">
        <f>'Reported burning'!E1722</f>
        <v>ND</v>
      </c>
      <c r="F1722" s="152" t="str">
        <f>'Reported burning'!F1722</f>
        <v>ND</v>
      </c>
      <c r="G1722" s="152" t="str">
        <f>'Reported burning'!G1722</f>
        <v>Shrubland (Mixed forest &amp; grassland)</v>
      </c>
      <c r="H1722" s="152"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5185</v>
      </c>
      <c r="AB1722" s="3"/>
    </row>
    <row r="1723" spans="1:28" ht="37" customHeight="1">
      <c r="A1723" s="152" t="str">
        <f>'Reported burning'!A1723</f>
        <v>206a</v>
      </c>
      <c r="B1723" s="152" t="str">
        <f>'Reported burning'!B1723</f>
        <v>206a.1</v>
      </c>
      <c r="C1723" s="152" t="str">
        <f>'Reported burning'!C1723</f>
        <v>Human, deliberate</v>
      </c>
      <c r="D1723" s="152" t="str">
        <f>'Reported burning'!D1723</f>
        <v>Land clearance</v>
      </c>
      <c r="E1723" s="152" t="str">
        <f>'Reported burning'!E1723</f>
        <v>Cropping, Monoculture, Market-oriented</v>
      </c>
      <c r="F1723" s="152" t="str">
        <f>'Reported burning'!F1723</f>
        <v>Forest</v>
      </c>
      <c r="G1723" s="152" t="str">
        <f>'Reported burning'!G1723</f>
        <v>ND</v>
      </c>
      <c r="H1723" s="152"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2" t="str">
        <f>'Reported burning'!A1724</f>
        <v>206a</v>
      </c>
      <c r="B1724" s="152" t="str">
        <f>'Reported burning'!B1724</f>
        <v>206a.3</v>
      </c>
      <c r="C1724" s="152" t="str">
        <f>'Reported burning'!C1724</f>
        <v>Human, deliberate</v>
      </c>
      <c r="D1724" s="152" t="str">
        <f>'Reported burning'!D1724</f>
        <v>Harvesting of Timber</v>
      </c>
      <c r="E1724" s="152" t="str">
        <f>'Reported burning'!E1724</f>
        <v>Forestry, Small-scale</v>
      </c>
      <c r="F1724" s="152" t="str">
        <f>'Reported burning'!F1724</f>
        <v>Forest</v>
      </c>
      <c r="G1724" s="152" t="str">
        <f>'Reported burning'!G1724</f>
        <v>ND</v>
      </c>
      <c r="H1724" s="152"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2" t="str">
        <f>'Reported burning'!A1725</f>
        <v>206a</v>
      </c>
      <c r="B1725" s="152" t="str">
        <f>'Reported burning'!B1725</f>
        <v>206a.4</v>
      </c>
      <c r="C1725" s="152" t="str">
        <f>'Reported burning'!C1725</f>
        <v>Human, deliberate</v>
      </c>
      <c r="D1725" s="152" t="str">
        <f>'Reported burning'!D1725</f>
        <v>Charcoal production</v>
      </c>
      <c r="E1725" s="152" t="str">
        <f>'Reported burning'!E1725</f>
        <v>Forestry, Small-scale</v>
      </c>
      <c r="F1725" s="152" t="str">
        <f>'Reported burning'!F1725</f>
        <v>Forest</v>
      </c>
      <c r="G1725" s="152" t="str">
        <f>'Reported burning'!G1725</f>
        <v>ND</v>
      </c>
      <c r="H1725" s="152"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2" t="str">
        <f>'Reported burning'!A1726</f>
        <v>206a</v>
      </c>
      <c r="B1726" s="152" t="str">
        <f>'Reported burning'!B1726</f>
        <v>206a.5</v>
      </c>
      <c r="C1726" s="152" t="str">
        <f>'Reported burning'!C1726</f>
        <v>Human, deliberate</v>
      </c>
      <c r="D1726" s="152" t="str">
        <f>'Reported burning'!D1726</f>
        <v>Crop field preparation</v>
      </c>
      <c r="E1726" s="152" t="str">
        <f>'Reported burning'!E1726</f>
        <v>Cropping, Swidden</v>
      </c>
      <c r="F1726" s="152" t="str">
        <f>'Reported burning'!F1726</f>
        <v>Secondary vegetation</v>
      </c>
      <c r="G1726" s="152" t="str">
        <f>'Reported burning'!G1726</f>
        <v>ND</v>
      </c>
      <c r="H1726" s="152"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2" t="str">
        <f>'Reported burning'!A1727</f>
        <v>206a</v>
      </c>
      <c r="B1727" s="152" t="str">
        <f>'Reported burning'!B1727</f>
        <v>206a.6</v>
      </c>
      <c r="C1727" s="152" t="str">
        <f>'Reported burning'!C1727</f>
        <v>Human, deliberate</v>
      </c>
      <c r="D1727" s="152" t="str">
        <f>'Reported burning'!D1727</f>
        <v>Hunting</v>
      </c>
      <c r="E1727" s="152" t="str">
        <f>'Reported burning'!E1727</f>
        <v>Forestry, Small-scale</v>
      </c>
      <c r="F1727" s="152" t="str">
        <f>'Reported burning'!F1727</f>
        <v>Forest</v>
      </c>
      <c r="G1727" s="152" t="str">
        <f>'Reported burning'!G1727</f>
        <v>ND</v>
      </c>
      <c r="H1727" s="152"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2" t="str">
        <f>'Reported burning'!A1728</f>
        <v>206a</v>
      </c>
      <c r="B1728" s="152" t="str">
        <f>'Reported burning'!B1728</f>
        <v>206a.7</v>
      </c>
      <c r="C1728" s="152" t="str">
        <f>'Reported burning'!C1728</f>
        <v>Human, deliberate</v>
      </c>
      <c r="D1728" s="152" t="str">
        <f>'Reported burning'!D1728</f>
        <v>Fishing</v>
      </c>
      <c r="E1728" s="152" t="str">
        <f>'Reported burning'!E1728</f>
        <v>Forestry, Small-scale</v>
      </c>
      <c r="F1728" s="152" t="str">
        <f>'Reported burning'!F1728</f>
        <v>Forest</v>
      </c>
      <c r="G1728" s="152" t="str">
        <f>'Reported burning'!G1728</f>
        <v>ND</v>
      </c>
      <c r="H1728" s="152"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2" t="str">
        <f>'Reported burning'!A1729</f>
        <v>206a</v>
      </c>
      <c r="B1729" s="152" t="str">
        <f>'Reported burning'!B1729</f>
        <v>206a.8</v>
      </c>
      <c r="C1729" s="152" t="str">
        <f>'Reported burning'!C1729</f>
        <v>Human, deliberate</v>
      </c>
      <c r="D1729" s="152" t="str">
        <f>'Reported burning'!D1729</f>
        <v>Harvesting of NTFP</v>
      </c>
      <c r="E1729" s="152" t="str">
        <f>'Reported burning'!E1729</f>
        <v>Forestry, Small-scale</v>
      </c>
      <c r="F1729" s="152" t="str">
        <f>'Reported burning'!F1729</f>
        <v>Forest</v>
      </c>
      <c r="G1729" s="152" t="str">
        <f>'Reported burning'!G1729</f>
        <v>ND</v>
      </c>
      <c r="H1729" s="152"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2" t="str">
        <f>'Reported burning'!A1730</f>
        <v>206a</v>
      </c>
      <c r="B1730" s="152" t="str">
        <f>'Reported burning'!B1730</f>
        <v>206a.9</v>
      </c>
      <c r="C1730" s="152" t="str">
        <f>'Reported burning'!C1730</f>
        <v>Human, deliberate</v>
      </c>
      <c r="D1730" s="152" t="str">
        <f>'Reported burning'!D1730</f>
        <v>Accessibility</v>
      </c>
      <c r="E1730" s="152" t="str">
        <f>'Reported burning'!E1730</f>
        <v>Forestry, Small-scale</v>
      </c>
      <c r="F1730" s="152" t="str">
        <f>'Reported burning'!F1730</f>
        <v>Forest</v>
      </c>
      <c r="G1730" s="152" t="str">
        <f>'Reported burning'!G1730</f>
        <v>ND</v>
      </c>
      <c r="H1730" s="152"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6" t="str">
        <f>'Reported burning'!A1731</f>
        <v>206a</v>
      </c>
      <c r="B1731" s="156" t="str">
        <f>'Reported burning'!B1731</f>
        <v>206a.10</v>
      </c>
      <c r="C1731" s="156" t="str">
        <f>'Reported burning'!C1731</f>
        <v>Unknown</v>
      </c>
      <c r="D1731" s="156" t="str">
        <f>'Reported burning'!D1731</f>
        <v>All</v>
      </c>
      <c r="E1731" s="156" t="str">
        <f>'Reported burning'!E1731</f>
        <v>All</v>
      </c>
      <c r="F1731" s="156" t="str">
        <f>'Reported burning'!F1731</f>
        <v>ND</v>
      </c>
      <c r="G1731" s="156" t="str">
        <f>'Reported burning'!G1731</f>
        <v>ND</v>
      </c>
      <c r="H1731" s="156"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5205</v>
      </c>
    </row>
    <row r="1732" spans="1:28" ht="58">
      <c r="A1732" s="156" t="str">
        <f>'Reported burning'!A1732</f>
        <v>207a</v>
      </c>
      <c r="B1732" s="156" t="str">
        <f>'Reported burning'!B1732</f>
        <v>207a.1</v>
      </c>
      <c r="C1732" s="156" t="str">
        <f>'Reported burning'!C1732</f>
        <v>Human, deliberate</v>
      </c>
      <c r="D1732" s="156" t="str">
        <f>'Reported burning'!D1732</f>
        <v>Conservation</v>
      </c>
      <c r="E1732" s="156" t="str">
        <f>'Reported burning'!E1732</f>
        <v>Biodiversity conservation</v>
      </c>
      <c r="F1732" s="156" t="str">
        <f>'Reported burning'!F1732</f>
        <v>Grassland</v>
      </c>
      <c r="G1732" s="156" t="str">
        <f>'Reported burning'!G1732</f>
        <v>Grassland</v>
      </c>
      <c r="H1732" s="156"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5218</v>
      </c>
      <c r="AB1732" s="3"/>
    </row>
    <row r="1733" spans="1:28" ht="58">
      <c r="A1733" s="156" t="str">
        <f>'Reported burning'!A1733</f>
        <v>207a</v>
      </c>
      <c r="B1733" s="156" t="str">
        <f>'Reported burning'!B1733</f>
        <v>207a.2</v>
      </c>
      <c r="C1733" s="156" t="str">
        <f>'Reported burning'!C1733</f>
        <v>Human, deliberate</v>
      </c>
      <c r="D1733" s="156" t="str">
        <f>'Reported burning'!D1733</f>
        <v>Cultural &amp; Spiritual</v>
      </c>
      <c r="E1733" s="156" t="str">
        <f>'Reported burning'!E1733</f>
        <v>Biodiversity conservation</v>
      </c>
      <c r="F1733" s="156" t="str">
        <f>'Reported burning'!F1733</f>
        <v>Grassland</v>
      </c>
      <c r="G1733" s="156" t="str">
        <f>'Reported burning'!G1733</f>
        <v>Grassland</v>
      </c>
      <c r="H1733" s="156"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5218</v>
      </c>
      <c r="AB1733" s="3"/>
    </row>
    <row r="1734" spans="1:28" ht="35.5" customHeight="1">
      <c r="A1734" s="156" t="str">
        <f>'Reported burning'!A1734</f>
        <v>208a</v>
      </c>
      <c r="B1734" s="156" t="str">
        <f>'Reported burning'!B1734</f>
        <v>208a.1</v>
      </c>
      <c r="C1734" s="156" t="str">
        <f>'Reported burning'!C1734</f>
        <v>Human, deliberate</v>
      </c>
      <c r="D1734" s="156" t="str">
        <f>'Reported burning'!D1734</f>
        <v>Pasture renewal</v>
      </c>
      <c r="E1734" s="156" t="str">
        <f>'Reported burning'!E1734</f>
        <v>Pastoralism, Migratory</v>
      </c>
      <c r="F1734" s="156" t="str">
        <f>'Reported burning'!F1734</f>
        <v>Grassland</v>
      </c>
      <c r="G1734" s="156" t="str">
        <f>'Reported burning'!G1734</f>
        <v>ND</v>
      </c>
      <c r="H1734" s="156"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6" t="str">
        <f>'Reported burning'!A1735</f>
        <v>208a</v>
      </c>
      <c r="B1735" s="156" t="str">
        <f>'Reported burning'!B1735</f>
        <v>208a.2</v>
      </c>
      <c r="C1735" s="156" t="str">
        <f>'Reported burning'!C1735</f>
        <v>Human, deliberate</v>
      </c>
      <c r="D1735" s="156" t="str">
        <f>'Reported burning'!D1735</f>
        <v>Land clearance</v>
      </c>
      <c r="E1735" s="156" t="str">
        <f>'Reported burning'!E1735</f>
        <v>Cropping, Monoculture, Subsistence-oriented</v>
      </c>
      <c r="F1735" s="156" t="str">
        <f>'Reported burning'!F1735</f>
        <v>Shrubland (Mixed forest &amp; grassland)</v>
      </c>
      <c r="G1735" s="156" t="str">
        <f>'Reported burning'!G1735</f>
        <v>ND</v>
      </c>
      <c r="H1735" s="156"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6" t="str">
        <f>'Reported burning'!A1736</f>
        <v>208a</v>
      </c>
      <c r="B1736" s="156" t="str">
        <f>'Reported burning'!B1736</f>
        <v>208a.3</v>
      </c>
      <c r="C1736" s="156" t="str">
        <f>'Reported burning'!C1736</f>
        <v>Human, deliberate</v>
      </c>
      <c r="D1736" s="156" t="str">
        <f>'Reported burning'!D1736</f>
        <v>Hunting</v>
      </c>
      <c r="E1736" s="156" t="str">
        <f>'Reported burning'!E1736</f>
        <v>Forestry, Traditional</v>
      </c>
      <c r="F1736" s="156" t="str">
        <f>'Reported burning'!F1736</f>
        <v>Grassland</v>
      </c>
      <c r="G1736" s="156" t="str">
        <f>'Reported burning'!G1736</f>
        <v>ND</v>
      </c>
      <c r="H1736" s="156"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6" t="str">
        <f>'Reported burning'!A1737</f>
        <v>208a</v>
      </c>
      <c r="B1737" s="156" t="str">
        <f>'Reported burning'!B1737</f>
        <v>208a.4</v>
      </c>
      <c r="C1737" s="156" t="str">
        <f>'Reported burning'!C1737</f>
        <v>Human, deliberate</v>
      </c>
      <c r="D1737" s="156" t="str">
        <f>'Reported burning'!D1737</f>
        <v>Harvesting of NTFP</v>
      </c>
      <c r="E1737" s="156" t="str">
        <f>'Reported burning'!E1737</f>
        <v>Forestry, Traditional</v>
      </c>
      <c r="F1737" s="156" t="str">
        <f>'Reported burning'!F1737</f>
        <v>Forest</v>
      </c>
      <c r="G1737" s="156" t="str">
        <f>'Reported burning'!G1737</f>
        <v>ND</v>
      </c>
      <c r="H1737" s="156"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6" t="str">
        <f>'Reported burning'!A1738</f>
        <v>208a</v>
      </c>
      <c r="B1738" s="156" t="str">
        <f>'Reported burning'!B1738</f>
        <v>208a.5</v>
      </c>
      <c r="C1738" s="156" t="str">
        <f>'Reported burning'!C1738</f>
        <v>Human, deliberate</v>
      </c>
      <c r="D1738" s="156" t="str">
        <f>'Reported burning'!D1738</f>
        <v>Harvesting of Timber</v>
      </c>
      <c r="E1738" s="156" t="str">
        <f>'Reported burning'!E1738</f>
        <v>Forestry, Small-scale</v>
      </c>
      <c r="F1738" s="156" t="str">
        <f>'Reported burning'!F1738</f>
        <v>Forest</v>
      </c>
      <c r="G1738" s="156" t="str">
        <f>'Reported burning'!G1738</f>
        <v>ND</v>
      </c>
      <c r="H1738" s="156"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6" t="str">
        <f>'Reported burning'!A1739</f>
        <v>209a</v>
      </c>
      <c r="B1739" s="156" t="str">
        <f>'Reported burning'!B1739</f>
        <v>209a.1</v>
      </c>
      <c r="C1739" s="156" t="str">
        <f>'Reported burning'!C1739</f>
        <v>Human, deliberate</v>
      </c>
      <c r="D1739" s="156" t="str">
        <f>'Reported burning'!D1739</f>
        <v>Pasture renewal</v>
      </c>
      <c r="E1739" s="156" t="str">
        <f>'Reported burning'!E1739</f>
        <v>Pastoralism, Migratory</v>
      </c>
      <c r="F1739" s="156" t="str">
        <f>'Reported burning'!F1739</f>
        <v>Forest</v>
      </c>
      <c r="G1739" s="156" t="str">
        <f>'Reported burning'!G1739</f>
        <v>Forest</v>
      </c>
      <c r="H1739" s="156"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5336</v>
      </c>
    </row>
    <row r="1740" spans="1:28" ht="35.5" customHeight="1">
      <c r="A1740" s="156" t="str">
        <f>'Reported burning'!A1740</f>
        <v>209a</v>
      </c>
      <c r="B1740" s="156" t="str">
        <f>'Reported burning'!B1740</f>
        <v>209a.2</v>
      </c>
      <c r="C1740" s="156" t="str">
        <f>'Reported burning'!C1740</f>
        <v>Human, deliberate</v>
      </c>
      <c r="D1740" s="156" t="str">
        <f>'Reported burning'!D1740</f>
        <v>Harvesting of NTFP</v>
      </c>
      <c r="E1740" s="156" t="str">
        <f>'Reported burning'!E1740</f>
        <v>Forestry, Traditional</v>
      </c>
      <c r="F1740" s="156" t="str">
        <f>'Reported burning'!F1740</f>
        <v>Forest</v>
      </c>
      <c r="G1740" s="156" t="str">
        <f>'Reported burning'!G1740</f>
        <v>Forest</v>
      </c>
      <c r="H1740" s="156"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6" t="str">
        <f>'Reported burning'!A1741</f>
        <v>209a</v>
      </c>
      <c r="B1741" s="156" t="str">
        <f>'Reported burning'!B1741</f>
        <v>209a.3</v>
      </c>
      <c r="C1741" s="156" t="str">
        <f>'Reported burning'!C1741</f>
        <v>Human, deliberate</v>
      </c>
      <c r="D1741" s="156" t="str">
        <f>'Reported burning'!D1741</f>
        <v>Hunting</v>
      </c>
      <c r="E1741" s="156" t="str">
        <f>'Reported burning'!E1741</f>
        <v>Forestry, Traditional</v>
      </c>
      <c r="F1741" s="156" t="str">
        <f>'Reported burning'!F1741</f>
        <v>Forest</v>
      </c>
      <c r="G1741" s="156" t="str">
        <f>'Reported burning'!G1741</f>
        <v>Forest</v>
      </c>
      <c r="H1741" s="156"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6" t="str">
        <f>'Reported burning'!A1742</f>
        <v>209a</v>
      </c>
      <c r="B1742" s="156" t="str">
        <f>'Reported burning'!B1742</f>
        <v>209a.4</v>
      </c>
      <c r="C1742" s="156" t="str">
        <f>'Reported burning'!C1742</f>
        <v>Human, deliberate</v>
      </c>
      <c r="D1742" s="156" t="str">
        <f>'Reported burning'!D1742</f>
        <v>Harvesting of Timber</v>
      </c>
      <c r="E1742" s="156" t="str">
        <f>'Reported burning'!E1742</f>
        <v>Forestry, Small-scale</v>
      </c>
      <c r="F1742" s="156" t="str">
        <f>'Reported burning'!F1742</f>
        <v>Forest</v>
      </c>
      <c r="G1742" s="156" t="str">
        <f>'Reported burning'!G1742</f>
        <v>Forest</v>
      </c>
      <c r="H1742" s="156"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6" t="str">
        <f>'Reported burning'!A1743</f>
        <v>209a</v>
      </c>
      <c r="B1743" s="156" t="str">
        <f>'Reported burning'!B1743</f>
        <v>209a.5</v>
      </c>
      <c r="C1743" s="156" t="str">
        <f>'Reported burning'!C1743</f>
        <v>Human, deliberate</v>
      </c>
      <c r="D1743" s="156" t="str">
        <f>'Reported burning'!D1743</f>
        <v>Arson</v>
      </c>
      <c r="E1743" s="156" t="str">
        <f>'Reported burning'!E1743</f>
        <v>ND</v>
      </c>
      <c r="F1743" s="156" t="str">
        <f>'Reported burning'!F1743</f>
        <v>ND</v>
      </c>
      <c r="G1743" s="156" t="str">
        <f>'Reported burning'!G1743</f>
        <v>Forest</v>
      </c>
      <c r="H1743" s="156"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6" t="str">
        <f>'Reported burning'!A1744</f>
        <v>209a</v>
      </c>
      <c r="B1744" s="156" t="str">
        <f>'Reported burning'!B1744</f>
        <v>209a.6</v>
      </c>
      <c r="C1744" s="156" t="str">
        <f>'Reported burning'!C1744</f>
        <v>Human, deliberate</v>
      </c>
      <c r="D1744" s="156" t="str">
        <f>'Reported burning'!D1744</f>
        <v>Crop field preparation</v>
      </c>
      <c r="E1744" s="156" t="str">
        <f>'Reported burning'!E1744</f>
        <v>Cropping, Swidden</v>
      </c>
      <c r="F1744" s="156" t="str">
        <f>'Reported burning'!F1744</f>
        <v>Forest</v>
      </c>
      <c r="G1744" s="156" t="str">
        <f>'Reported burning'!G1744</f>
        <v>ND</v>
      </c>
      <c r="H1744" s="156"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6" t="str">
        <f>'Reported burning'!A1745</f>
        <v>209a</v>
      </c>
      <c r="B1745" s="156" t="str">
        <f>'Reported burning'!B1745</f>
        <v>209a.7</v>
      </c>
      <c r="C1745" s="156" t="str">
        <f>'Reported burning'!C1745</f>
        <v>Human, escaped</v>
      </c>
      <c r="D1745" s="156" t="str">
        <f>'Reported burning'!D1745</f>
        <v>Charcoal production</v>
      </c>
      <c r="E1745" s="156" t="str">
        <f>'Reported burning'!E1745</f>
        <v>ND</v>
      </c>
      <c r="F1745" s="156" t="str">
        <f>'Reported burning'!F1745</f>
        <v>ND</v>
      </c>
      <c r="G1745" s="156" t="str">
        <f>'Reported burning'!G1745</f>
        <v>Forest</v>
      </c>
      <c r="H1745" s="156"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6" t="str">
        <f>'Reported burning'!A1746</f>
        <v>209a</v>
      </c>
      <c r="B1746" s="156" t="str">
        <f>'Reported burning'!B1746</f>
        <v>209a.8</v>
      </c>
      <c r="C1746" s="156" t="str">
        <f>'Reported burning'!C1746</f>
        <v>Human, accidental</v>
      </c>
      <c r="D1746" s="156" t="str">
        <f>'Reported burning'!D1746</f>
        <v>ND</v>
      </c>
      <c r="E1746" s="156" t="str">
        <f>'Reported burning'!E1746</f>
        <v>All</v>
      </c>
      <c r="F1746" s="156" t="str">
        <f>'Reported burning'!F1746</f>
        <v>ND</v>
      </c>
      <c r="G1746" s="156" t="str">
        <f>'Reported burning'!G1746</f>
        <v>Forest</v>
      </c>
      <c r="H1746" s="156"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6" t="str">
        <f>'Reported burning'!A1747</f>
        <v>209a</v>
      </c>
      <c r="B1747" s="156" t="str">
        <f>'Reported burning'!B1747</f>
        <v>209a.9</v>
      </c>
      <c r="C1747" s="156" t="str">
        <f>'Reported burning'!C1747</f>
        <v>Human, escaped</v>
      </c>
      <c r="D1747" s="156" t="str">
        <f>'Reported burning'!D1747</f>
        <v>Cultural &amp; Spiritual</v>
      </c>
      <c r="E1747" s="156" t="str">
        <f>'Reported burning'!E1747</f>
        <v>All</v>
      </c>
      <c r="F1747" s="156" t="str">
        <f>'Reported burning'!F1747</f>
        <v>ND</v>
      </c>
      <c r="G1747" s="156" t="str">
        <f>'Reported burning'!G1747</f>
        <v>Forest</v>
      </c>
      <c r="H1747" s="156"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6" t="str">
        <f>'Reported burning'!A1748</f>
        <v>209a</v>
      </c>
      <c r="B1748" s="156" t="str">
        <f>'Reported burning'!B1748</f>
        <v>209a.10</v>
      </c>
      <c r="C1748" s="156" t="str">
        <f>'Reported burning'!C1748</f>
        <v>Human, escaped</v>
      </c>
      <c r="D1748" s="156" t="str">
        <f>'Reported burning'!D1748</f>
        <v>Domestic</v>
      </c>
      <c r="E1748" s="156" t="str">
        <f>'Reported burning'!E1748</f>
        <v>All</v>
      </c>
      <c r="F1748" s="156" t="str">
        <f>'Reported burning'!F1748</f>
        <v>ND</v>
      </c>
      <c r="G1748" s="156" t="str">
        <f>'Reported burning'!G1748</f>
        <v>Forest</v>
      </c>
      <c r="H1748" s="156"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6" t="str">
        <f>'Reported burning'!A1749</f>
        <v>209b</v>
      </c>
      <c r="B1749" s="156" t="str">
        <f>'Reported burning'!B1749</f>
        <v>209b.1</v>
      </c>
      <c r="C1749" s="156" t="str">
        <f>'Reported burning'!C1749</f>
        <v>Human, deliberate</v>
      </c>
      <c r="D1749" s="156" t="str">
        <f>'Reported burning'!D1749</f>
        <v>Pasture renewal</v>
      </c>
      <c r="E1749" s="156" t="str">
        <f>'Reported burning'!E1749</f>
        <v>Pastoralism, Migratory</v>
      </c>
      <c r="F1749" s="156" t="str">
        <f>'Reported burning'!F1749</f>
        <v>Forest</v>
      </c>
      <c r="G1749" s="156" t="str">
        <f>'Reported burning'!G1749</f>
        <v>Forest</v>
      </c>
      <c r="H1749" s="156"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5336</v>
      </c>
    </row>
    <row r="1750" spans="1:28" ht="35.5" customHeight="1">
      <c r="A1750" s="156" t="str">
        <f>'Reported burning'!A1750</f>
        <v>209b</v>
      </c>
      <c r="B1750" s="156" t="str">
        <f>'Reported burning'!B1750</f>
        <v>209b.2</v>
      </c>
      <c r="C1750" s="156" t="str">
        <f>'Reported burning'!C1750</f>
        <v>Human, deliberate</v>
      </c>
      <c r="D1750" s="156" t="str">
        <f>'Reported burning'!D1750</f>
        <v>Harvesting of NTFP</v>
      </c>
      <c r="E1750" s="156" t="str">
        <f>'Reported burning'!E1750</f>
        <v>Forestry, Traditional</v>
      </c>
      <c r="F1750" s="156" t="str">
        <f>'Reported burning'!F1750</f>
        <v>Forest</v>
      </c>
      <c r="G1750" s="156" t="str">
        <f>'Reported burning'!G1750</f>
        <v>Forest</v>
      </c>
      <c r="H1750" s="156"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6" t="str">
        <f>'Reported burning'!A1751</f>
        <v>209b</v>
      </c>
      <c r="B1751" s="156" t="str">
        <f>'Reported burning'!B1751</f>
        <v>209b.3</v>
      </c>
      <c r="C1751" s="156" t="str">
        <f>'Reported burning'!C1751</f>
        <v>Human, deliberate</v>
      </c>
      <c r="D1751" s="156" t="str">
        <f>'Reported burning'!D1751</f>
        <v>Hunting</v>
      </c>
      <c r="E1751" s="156" t="str">
        <f>'Reported burning'!E1751</f>
        <v>Forestry, Traditional</v>
      </c>
      <c r="F1751" s="156" t="str">
        <f>'Reported burning'!F1751</f>
        <v>Forest</v>
      </c>
      <c r="G1751" s="156" t="str">
        <f>'Reported burning'!G1751</f>
        <v>Forest</v>
      </c>
      <c r="H1751" s="156"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6" t="str">
        <f>'Reported burning'!A1752</f>
        <v>209b</v>
      </c>
      <c r="B1752" s="156" t="str">
        <f>'Reported burning'!B1752</f>
        <v>209b.4</v>
      </c>
      <c r="C1752" s="156" t="str">
        <f>'Reported burning'!C1752</f>
        <v>Human, deliberate</v>
      </c>
      <c r="D1752" s="156" t="str">
        <f>'Reported burning'!D1752</f>
        <v>Harvesting of Timber</v>
      </c>
      <c r="E1752" s="156" t="str">
        <f>'Reported burning'!E1752</f>
        <v>Forestry, Small-scale</v>
      </c>
      <c r="F1752" s="156" t="str">
        <f>'Reported burning'!F1752</f>
        <v>Forest</v>
      </c>
      <c r="G1752" s="156" t="str">
        <f>'Reported burning'!G1752</f>
        <v>Forest</v>
      </c>
      <c r="H1752" s="156"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6" t="str">
        <f>'Reported burning'!A1753</f>
        <v>209b</v>
      </c>
      <c r="B1753" s="156" t="str">
        <f>'Reported burning'!B1753</f>
        <v>209b.5</v>
      </c>
      <c r="C1753" s="156" t="str">
        <f>'Reported burning'!C1753</f>
        <v>Human, deliberate</v>
      </c>
      <c r="D1753" s="156" t="str">
        <f>'Reported burning'!D1753</f>
        <v>Arson</v>
      </c>
      <c r="E1753" s="156" t="str">
        <f>'Reported burning'!E1753</f>
        <v>ND</v>
      </c>
      <c r="F1753" s="156" t="str">
        <f>'Reported burning'!F1753</f>
        <v>ND</v>
      </c>
      <c r="G1753" s="156" t="str">
        <f>'Reported burning'!G1753</f>
        <v>Forest</v>
      </c>
      <c r="H1753" s="156"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6" t="str">
        <f>'Reported burning'!A1754</f>
        <v>209b</v>
      </c>
      <c r="B1754" s="156" t="str">
        <f>'Reported burning'!B1754</f>
        <v>209b.6</v>
      </c>
      <c r="C1754" s="156" t="str">
        <f>'Reported burning'!C1754</f>
        <v>Human, deliberate</v>
      </c>
      <c r="D1754" s="156" t="str">
        <f>'Reported burning'!D1754</f>
        <v>Crop field preparation</v>
      </c>
      <c r="E1754" s="156" t="str">
        <f>'Reported burning'!E1754</f>
        <v>Cropping, Swidden</v>
      </c>
      <c r="F1754" s="156" t="str">
        <f>'Reported burning'!F1754</f>
        <v>Forest</v>
      </c>
      <c r="G1754" s="156" t="str">
        <f>'Reported burning'!G1754</f>
        <v>ND</v>
      </c>
      <c r="H1754" s="156"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6" t="str">
        <f>'Reported burning'!A1755</f>
        <v>209b</v>
      </c>
      <c r="B1755" s="156" t="str">
        <f>'Reported burning'!B1755</f>
        <v>209b.7</v>
      </c>
      <c r="C1755" s="156" t="str">
        <f>'Reported burning'!C1755</f>
        <v>Human, escaped</v>
      </c>
      <c r="D1755" s="156" t="str">
        <f>'Reported burning'!D1755</f>
        <v>Charcoal production</v>
      </c>
      <c r="E1755" s="156" t="str">
        <f>'Reported burning'!E1755</f>
        <v>ND</v>
      </c>
      <c r="F1755" s="156" t="str">
        <f>'Reported burning'!F1755</f>
        <v>ND</v>
      </c>
      <c r="G1755" s="156" t="str">
        <f>'Reported burning'!G1755</f>
        <v>Forest</v>
      </c>
      <c r="H1755" s="156"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6" t="str">
        <f>'Reported burning'!A1756</f>
        <v>209b</v>
      </c>
      <c r="B1756" s="156" t="str">
        <f>'Reported burning'!B1756</f>
        <v>209b.8</v>
      </c>
      <c r="C1756" s="156" t="str">
        <f>'Reported burning'!C1756</f>
        <v>Human, accidental</v>
      </c>
      <c r="D1756" s="156" t="str">
        <f>'Reported burning'!D1756</f>
        <v>ND</v>
      </c>
      <c r="E1756" s="156" t="str">
        <f>'Reported burning'!E1756</f>
        <v>All</v>
      </c>
      <c r="F1756" s="156" t="str">
        <f>'Reported burning'!F1756</f>
        <v>ND</v>
      </c>
      <c r="G1756" s="156" t="str">
        <f>'Reported burning'!G1756</f>
        <v>Forest</v>
      </c>
      <c r="H1756" s="156"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6" t="str">
        <f>'Reported burning'!A1757</f>
        <v>209b</v>
      </c>
      <c r="B1757" s="156" t="str">
        <f>'Reported burning'!B1757</f>
        <v>209b.9</v>
      </c>
      <c r="C1757" s="156" t="str">
        <f>'Reported burning'!C1757</f>
        <v>Human, escaped</v>
      </c>
      <c r="D1757" s="156" t="str">
        <f>'Reported burning'!D1757</f>
        <v>Cultural &amp; Spiritual</v>
      </c>
      <c r="E1757" s="156" t="str">
        <f>'Reported burning'!E1757</f>
        <v>All</v>
      </c>
      <c r="F1757" s="156" t="str">
        <f>'Reported burning'!F1757</f>
        <v>ND</v>
      </c>
      <c r="G1757" s="156" t="str">
        <f>'Reported burning'!G1757</f>
        <v>Forest</v>
      </c>
      <c r="H1757" s="156"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6" t="str">
        <f>'Reported burning'!A1758</f>
        <v>209b</v>
      </c>
      <c r="B1758" s="156" t="str">
        <f>'Reported burning'!B1758</f>
        <v>209b.10</v>
      </c>
      <c r="C1758" s="156" t="str">
        <f>'Reported burning'!C1758</f>
        <v>Human, escaped</v>
      </c>
      <c r="D1758" s="156" t="str">
        <f>'Reported burning'!D1758</f>
        <v>Domestic</v>
      </c>
      <c r="E1758" s="156" t="str">
        <f>'Reported burning'!E1758</f>
        <v>All</v>
      </c>
      <c r="F1758" s="156" t="str">
        <f>'Reported burning'!F1758</f>
        <v>ND</v>
      </c>
      <c r="G1758" s="156" t="str">
        <f>'Reported burning'!G1758</f>
        <v>Forest</v>
      </c>
      <c r="H1758" s="156"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6" t="str">
        <f>'Reported burning'!A1759</f>
        <v>209c</v>
      </c>
      <c r="B1759" s="156" t="str">
        <f>'Reported burning'!B1759</f>
        <v>209c.1</v>
      </c>
      <c r="C1759" s="156" t="str">
        <f>'Reported burning'!C1759</f>
        <v>Human, deliberate</v>
      </c>
      <c r="D1759" s="156" t="str">
        <f>'Reported burning'!D1759</f>
        <v>Pasture renewal</v>
      </c>
      <c r="E1759" s="156" t="str">
        <f>'Reported burning'!E1759</f>
        <v>Pastoralism, Migratory</v>
      </c>
      <c r="F1759" s="156" t="str">
        <f>'Reported burning'!F1759</f>
        <v>Forest</v>
      </c>
      <c r="G1759" s="156" t="str">
        <f>'Reported burning'!G1759</f>
        <v>Forest</v>
      </c>
      <c r="H1759" s="156"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5336</v>
      </c>
    </row>
    <row r="1760" spans="1:28" ht="35.5" customHeight="1">
      <c r="A1760" s="156" t="str">
        <f>'Reported burning'!A1760</f>
        <v>209c</v>
      </c>
      <c r="B1760" s="156" t="str">
        <f>'Reported burning'!B1760</f>
        <v>209c.2</v>
      </c>
      <c r="C1760" s="156" t="str">
        <f>'Reported burning'!C1760</f>
        <v>Human, deliberate</v>
      </c>
      <c r="D1760" s="156" t="str">
        <f>'Reported burning'!D1760</f>
        <v>Harvesting of NTFP</v>
      </c>
      <c r="E1760" s="156" t="str">
        <f>'Reported burning'!E1760</f>
        <v>Forestry, Traditional</v>
      </c>
      <c r="F1760" s="156" t="str">
        <f>'Reported burning'!F1760</f>
        <v>Forest</v>
      </c>
      <c r="G1760" s="156" t="str">
        <f>'Reported burning'!G1760</f>
        <v>Forest</v>
      </c>
      <c r="H1760" s="156"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6" t="str">
        <f>'Reported burning'!A1761</f>
        <v>209c</v>
      </c>
      <c r="B1761" s="156" t="str">
        <f>'Reported burning'!B1761</f>
        <v>209c.3</v>
      </c>
      <c r="C1761" s="156" t="str">
        <f>'Reported burning'!C1761</f>
        <v>Human, deliberate</v>
      </c>
      <c r="D1761" s="156" t="str">
        <f>'Reported burning'!D1761</f>
        <v>Hunting</v>
      </c>
      <c r="E1761" s="156" t="str">
        <f>'Reported burning'!E1761</f>
        <v>Forestry, Traditional</v>
      </c>
      <c r="F1761" s="156" t="str">
        <f>'Reported burning'!F1761</f>
        <v>Forest</v>
      </c>
      <c r="G1761" s="156" t="str">
        <f>'Reported burning'!G1761</f>
        <v>Forest</v>
      </c>
      <c r="H1761" s="156"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6" t="str">
        <f>'Reported burning'!A1762</f>
        <v>209c</v>
      </c>
      <c r="B1762" s="156" t="str">
        <f>'Reported burning'!B1762</f>
        <v>209c.4</v>
      </c>
      <c r="C1762" s="156" t="str">
        <f>'Reported burning'!C1762</f>
        <v>Human, deliberate</v>
      </c>
      <c r="D1762" s="156" t="str">
        <f>'Reported burning'!D1762</f>
        <v>Harvesting of Timber</v>
      </c>
      <c r="E1762" s="156" t="str">
        <f>'Reported burning'!E1762</f>
        <v>Forestry, Small-scale</v>
      </c>
      <c r="F1762" s="156" t="str">
        <f>'Reported burning'!F1762</f>
        <v>Forest</v>
      </c>
      <c r="G1762" s="156" t="str">
        <f>'Reported burning'!G1762</f>
        <v>Forest</v>
      </c>
      <c r="H1762" s="156"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6" t="str">
        <f>'Reported burning'!A1763</f>
        <v>209c</v>
      </c>
      <c r="B1763" s="156" t="str">
        <f>'Reported burning'!B1763</f>
        <v>209c.5</v>
      </c>
      <c r="C1763" s="156" t="str">
        <f>'Reported burning'!C1763</f>
        <v>Human, deliberate</v>
      </c>
      <c r="D1763" s="156" t="str">
        <f>'Reported burning'!D1763</f>
        <v>Arson</v>
      </c>
      <c r="E1763" s="156" t="str">
        <f>'Reported burning'!E1763</f>
        <v>ND</v>
      </c>
      <c r="F1763" s="156" t="str">
        <f>'Reported burning'!F1763</f>
        <v>ND</v>
      </c>
      <c r="G1763" s="156" t="str">
        <f>'Reported burning'!G1763</f>
        <v>Forest</v>
      </c>
      <c r="H1763" s="156"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6" t="str">
        <f>'Reported burning'!A1764</f>
        <v>209c</v>
      </c>
      <c r="B1764" s="156" t="str">
        <f>'Reported burning'!B1764</f>
        <v>209c.6</v>
      </c>
      <c r="C1764" s="156" t="str">
        <f>'Reported burning'!C1764</f>
        <v>Human, deliberate</v>
      </c>
      <c r="D1764" s="156" t="str">
        <f>'Reported burning'!D1764</f>
        <v>Crop field preparation</v>
      </c>
      <c r="E1764" s="156" t="str">
        <f>'Reported burning'!E1764</f>
        <v>Cropping, Swidden</v>
      </c>
      <c r="F1764" s="156" t="str">
        <f>'Reported burning'!F1764</f>
        <v>Forest</v>
      </c>
      <c r="G1764" s="156" t="str">
        <f>'Reported burning'!G1764</f>
        <v>ND</v>
      </c>
      <c r="H1764" s="156"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6" t="str">
        <f>'Reported burning'!A1765</f>
        <v>209c</v>
      </c>
      <c r="B1765" s="156" t="str">
        <f>'Reported burning'!B1765</f>
        <v>209c.7</v>
      </c>
      <c r="C1765" s="156" t="str">
        <f>'Reported burning'!C1765</f>
        <v>Human, escaped</v>
      </c>
      <c r="D1765" s="156" t="str">
        <f>'Reported burning'!D1765</f>
        <v>Charcoal production</v>
      </c>
      <c r="E1765" s="156" t="str">
        <f>'Reported burning'!E1765</f>
        <v>ND</v>
      </c>
      <c r="F1765" s="156" t="str">
        <f>'Reported burning'!F1765</f>
        <v>ND</v>
      </c>
      <c r="G1765" s="156" t="str">
        <f>'Reported burning'!G1765</f>
        <v>Forest</v>
      </c>
      <c r="H1765" s="156"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6" t="str">
        <f>'Reported burning'!A1766</f>
        <v>209c</v>
      </c>
      <c r="B1766" s="156" t="str">
        <f>'Reported burning'!B1766</f>
        <v>209c.8</v>
      </c>
      <c r="C1766" s="156" t="str">
        <f>'Reported burning'!C1766</f>
        <v>Human, accidental</v>
      </c>
      <c r="D1766" s="156" t="str">
        <f>'Reported burning'!D1766</f>
        <v>ND</v>
      </c>
      <c r="E1766" s="156" t="str">
        <f>'Reported burning'!E1766</f>
        <v>All</v>
      </c>
      <c r="F1766" s="156" t="str">
        <f>'Reported burning'!F1766</f>
        <v>ND</v>
      </c>
      <c r="G1766" s="156" t="str">
        <f>'Reported burning'!G1766</f>
        <v>Forest</v>
      </c>
      <c r="H1766" s="156"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6" t="str">
        <f>'Reported burning'!A1767</f>
        <v>209c</v>
      </c>
      <c r="B1767" s="156" t="str">
        <f>'Reported burning'!B1767</f>
        <v>209c.9</v>
      </c>
      <c r="C1767" s="156" t="str">
        <f>'Reported burning'!C1767</f>
        <v>Human, escaped</v>
      </c>
      <c r="D1767" s="156" t="str">
        <f>'Reported burning'!D1767</f>
        <v>Cultural &amp; Spiritual</v>
      </c>
      <c r="E1767" s="156" t="str">
        <f>'Reported burning'!E1767</f>
        <v>All</v>
      </c>
      <c r="F1767" s="156" t="str">
        <f>'Reported burning'!F1767</f>
        <v>ND</v>
      </c>
      <c r="G1767" s="156" t="str">
        <f>'Reported burning'!G1767</f>
        <v>Forest</v>
      </c>
      <c r="H1767" s="156"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6" t="str">
        <f>'Reported burning'!A1768</f>
        <v>209c</v>
      </c>
      <c r="B1768" s="156" t="str">
        <f>'Reported burning'!B1768</f>
        <v>209c.10</v>
      </c>
      <c r="C1768" s="156" t="str">
        <f>'Reported burning'!C1768</f>
        <v>Human, escaped</v>
      </c>
      <c r="D1768" s="156" t="str">
        <f>'Reported burning'!D1768</f>
        <v>Domestic</v>
      </c>
      <c r="E1768" s="156" t="str">
        <f>'Reported burning'!E1768</f>
        <v>All</v>
      </c>
      <c r="F1768" s="156" t="str">
        <f>'Reported burning'!F1768</f>
        <v>ND</v>
      </c>
      <c r="G1768" s="156" t="str">
        <f>'Reported burning'!G1768</f>
        <v>Forest</v>
      </c>
      <c r="H1768" s="156"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6" t="str">
        <f>'Reported burning'!A1769</f>
        <v>209d</v>
      </c>
      <c r="B1769" s="156" t="str">
        <f>'Reported burning'!B1769</f>
        <v>209d.1</v>
      </c>
      <c r="C1769" s="156" t="str">
        <f>'Reported burning'!C1769</f>
        <v>Human, deliberate</v>
      </c>
      <c r="D1769" s="156" t="str">
        <f>'Reported burning'!D1769</f>
        <v>Pasture renewal</v>
      </c>
      <c r="E1769" s="156" t="str">
        <f>'Reported burning'!E1769</f>
        <v>Pastoralism, Migratory</v>
      </c>
      <c r="F1769" s="156" t="str">
        <f>'Reported burning'!F1769</f>
        <v>Forest</v>
      </c>
      <c r="G1769" s="156" t="str">
        <f>'Reported burning'!G1769</f>
        <v>Forest</v>
      </c>
      <c r="H1769" s="156"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5336</v>
      </c>
    </row>
    <row r="1770" spans="1:28" ht="35.5" customHeight="1">
      <c r="A1770" s="156" t="str">
        <f>'Reported burning'!A1770</f>
        <v>209d</v>
      </c>
      <c r="B1770" s="156" t="str">
        <f>'Reported burning'!B1770</f>
        <v>209d.2</v>
      </c>
      <c r="C1770" s="156" t="str">
        <f>'Reported burning'!C1770</f>
        <v>Human, deliberate</v>
      </c>
      <c r="D1770" s="156" t="str">
        <f>'Reported burning'!D1770</f>
        <v>Harvesting of NTFP</v>
      </c>
      <c r="E1770" s="156" t="str">
        <f>'Reported burning'!E1770</f>
        <v>Forestry, Traditional</v>
      </c>
      <c r="F1770" s="156" t="str">
        <f>'Reported burning'!F1770</f>
        <v>Forest</v>
      </c>
      <c r="G1770" s="156" t="str">
        <f>'Reported burning'!G1770</f>
        <v>Forest</v>
      </c>
      <c r="H1770" s="156"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6" t="str">
        <f>'Reported burning'!A1771</f>
        <v>209d</v>
      </c>
      <c r="B1771" s="156" t="str">
        <f>'Reported burning'!B1771</f>
        <v>209d.3</v>
      </c>
      <c r="C1771" s="156" t="str">
        <f>'Reported burning'!C1771</f>
        <v>Human, deliberate</v>
      </c>
      <c r="D1771" s="156" t="str">
        <f>'Reported burning'!D1771</f>
        <v>Hunting</v>
      </c>
      <c r="E1771" s="156" t="str">
        <f>'Reported burning'!E1771</f>
        <v>Forestry, Traditional</v>
      </c>
      <c r="F1771" s="156" t="str">
        <f>'Reported burning'!F1771</f>
        <v>Forest</v>
      </c>
      <c r="G1771" s="156" t="str">
        <f>'Reported burning'!G1771</f>
        <v>Forest</v>
      </c>
      <c r="H1771" s="156"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6" t="str">
        <f>'Reported burning'!A1772</f>
        <v>209d</v>
      </c>
      <c r="B1772" s="156" t="str">
        <f>'Reported burning'!B1772</f>
        <v>209d.4</v>
      </c>
      <c r="C1772" s="156" t="str">
        <f>'Reported burning'!C1772</f>
        <v>Human, deliberate</v>
      </c>
      <c r="D1772" s="156" t="str">
        <f>'Reported burning'!D1772</f>
        <v>Harvesting of Timber</v>
      </c>
      <c r="E1772" s="156" t="str">
        <f>'Reported burning'!E1772</f>
        <v>Forestry, Small-scale</v>
      </c>
      <c r="F1772" s="156" t="str">
        <f>'Reported burning'!F1772</f>
        <v>Forest</v>
      </c>
      <c r="G1772" s="156" t="str">
        <f>'Reported burning'!G1772</f>
        <v>Forest</v>
      </c>
      <c r="H1772" s="156"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6" t="str">
        <f>'Reported burning'!A1773</f>
        <v>209d</v>
      </c>
      <c r="B1773" s="156" t="str">
        <f>'Reported burning'!B1773</f>
        <v>209d.5</v>
      </c>
      <c r="C1773" s="156" t="str">
        <f>'Reported burning'!C1773</f>
        <v>Human, deliberate</v>
      </c>
      <c r="D1773" s="156" t="str">
        <f>'Reported burning'!D1773</f>
        <v>Arson</v>
      </c>
      <c r="E1773" s="156" t="str">
        <f>'Reported burning'!E1773</f>
        <v>ND</v>
      </c>
      <c r="F1773" s="156" t="str">
        <f>'Reported burning'!F1773</f>
        <v>ND</v>
      </c>
      <c r="G1773" s="156" t="str">
        <f>'Reported burning'!G1773</f>
        <v>Forest</v>
      </c>
      <c r="H1773" s="156"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6" t="str">
        <f>'Reported burning'!A1774</f>
        <v>209d</v>
      </c>
      <c r="B1774" s="156" t="str">
        <f>'Reported burning'!B1774</f>
        <v>209d.6</v>
      </c>
      <c r="C1774" s="156" t="str">
        <f>'Reported burning'!C1774</f>
        <v>Human, deliberate</v>
      </c>
      <c r="D1774" s="156" t="str">
        <f>'Reported burning'!D1774</f>
        <v>Crop field preparation</v>
      </c>
      <c r="E1774" s="156" t="str">
        <f>'Reported burning'!E1774</f>
        <v>Cropping, Swidden</v>
      </c>
      <c r="F1774" s="156" t="str">
        <f>'Reported burning'!F1774</f>
        <v>Forest</v>
      </c>
      <c r="G1774" s="156" t="str">
        <f>'Reported burning'!G1774</f>
        <v>ND</v>
      </c>
      <c r="H1774" s="156"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6" t="str">
        <f>'Reported burning'!A1775</f>
        <v>209d</v>
      </c>
      <c r="B1775" s="156" t="str">
        <f>'Reported burning'!B1775</f>
        <v>209d.7</v>
      </c>
      <c r="C1775" s="156" t="str">
        <f>'Reported burning'!C1775</f>
        <v>Human, escaped</v>
      </c>
      <c r="D1775" s="156" t="str">
        <f>'Reported burning'!D1775</f>
        <v>Charcoal production</v>
      </c>
      <c r="E1775" s="156" t="str">
        <f>'Reported burning'!E1775</f>
        <v>ND</v>
      </c>
      <c r="F1775" s="156" t="str">
        <f>'Reported burning'!F1775</f>
        <v>ND</v>
      </c>
      <c r="G1775" s="156" t="str">
        <f>'Reported burning'!G1775</f>
        <v>Forest</v>
      </c>
      <c r="H1775" s="156"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6" t="str">
        <f>'Reported burning'!A1776</f>
        <v>209d</v>
      </c>
      <c r="B1776" s="156" t="str">
        <f>'Reported burning'!B1776</f>
        <v>209d.8</v>
      </c>
      <c r="C1776" s="156" t="str">
        <f>'Reported burning'!C1776</f>
        <v>Human, accidental</v>
      </c>
      <c r="D1776" s="156" t="str">
        <f>'Reported burning'!D1776</f>
        <v>ND</v>
      </c>
      <c r="E1776" s="156" t="str">
        <f>'Reported burning'!E1776</f>
        <v>All</v>
      </c>
      <c r="F1776" s="156" t="str">
        <f>'Reported burning'!F1776</f>
        <v>ND</v>
      </c>
      <c r="G1776" s="156" t="str">
        <f>'Reported burning'!G1776</f>
        <v>Forest</v>
      </c>
      <c r="H1776" s="156"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6" t="str">
        <f>'Reported burning'!A1777</f>
        <v>209d</v>
      </c>
      <c r="B1777" s="156" t="str">
        <f>'Reported burning'!B1777</f>
        <v>209d.9</v>
      </c>
      <c r="C1777" s="156" t="str">
        <f>'Reported burning'!C1777</f>
        <v>Human, escaped</v>
      </c>
      <c r="D1777" s="156" t="str">
        <f>'Reported burning'!D1777</f>
        <v>Cultural &amp; Spiritual</v>
      </c>
      <c r="E1777" s="156" t="str">
        <f>'Reported burning'!E1777</f>
        <v>All</v>
      </c>
      <c r="F1777" s="156" t="str">
        <f>'Reported burning'!F1777</f>
        <v>ND</v>
      </c>
      <c r="G1777" s="156" t="str">
        <f>'Reported burning'!G1777</f>
        <v>Forest</v>
      </c>
      <c r="H1777" s="156"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6" t="str">
        <f>'Reported burning'!A1778</f>
        <v>209d</v>
      </c>
      <c r="B1778" s="156" t="str">
        <f>'Reported burning'!B1778</f>
        <v>209d.10</v>
      </c>
      <c r="C1778" s="156" t="str">
        <f>'Reported burning'!C1778</f>
        <v>Human, escaped</v>
      </c>
      <c r="D1778" s="156" t="str">
        <f>'Reported burning'!D1778</f>
        <v>Domestic</v>
      </c>
      <c r="E1778" s="156" t="str">
        <f>'Reported burning'!E1778</f>
        <v>All</v>
      </c>
      <c r="F1778" s="156" t="str">
        <f>'Reported burning'!F1778</f>
        <v>ND</v>
      </c>
      <c r="G1778" s="156" t="str">
        <f>'Reported burning'!G1778</f>
        <v>Forest</v>
      </c>
      <c r="H1778" s="156"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6" t="str">
        <f>'Reported burning'!A1779</f>
        <v>209e</v>
      </c>
      <c r="B1779" s="156" t="str">
        <f>'Reported burning'!B1779</f>
        <v>209e.1</v>
      </c>
      <c r="C1779" s="156" t="str">
        <f>'Reported burning'!C1779</f>
        <v>Human, deliberate</v>
      </c>
      <c r="D1779" s="156" t="str">
        <f>'Reported burning'!D1779</f>
        <v>Pasture renewal</v>
      </c>
      <c r="E1779" s="156" t="str">
        <f>'Reported burning'!E1779</f>
        <v>Pastoralism, Migratory</v>
      </c>
      <c r="F1779" s="156" t="str">
        <f>'Reported burning'!F1779</f>
        <v>Forest</v>
      </c>
      <c r="G1779" s="156" t="str">
        <f>'Reported burning'!G1779</f>
        <v>Forest</v>
      </c>
      <c r="H1779" s="156"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5336</v>
      </c>
    </row>
    <row r="1780" spans="1:28" ht="35.5" customHeight="1">
      <c r="A1780" s="156" t="str">
        <f>'Reported burning'!A1780</f>
        <v>209e</v>
      </c>
      <c r="B1780" s="156" t="str">
        <f>'Reported burning'!B1780</f>
        <v>209e.2</v>
      </c>
      <c r="C1780" s="156" t="str">
        <f>'Reported burning'!C1780</f>
        <v>Human, deliberate</v>
      </c>
      <c r="D1780" s="156" t="str">
        <f>'Reported burning'!D1780</f>
        <v>Harvesting of NTFP</v>
      </c>
      <c r="E1780" s="156" t="str">
        <f>'Reported burning'!E1780</f>
        <v>Forestry, Traditional</v>
      </c>
      <c r="F1780" s="156" t="str">
        <f>'Reported burning'!F1780</f>
        <v>Forest</v>
      </c>
      <c r="G1780" s="156" t="str">
        <f>'Reported burning'!G1780</f>
        <v>Forest</v>
      </c>
      <c r="H1780" s="156"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6" t="str">
        <f>'Reported burning'!A1781</f>
        <v>209e</v>
      </c>
      <c r="B1781" s="156" t="str">
        <f>'Reported burning'!B1781</f>
        <v>209e.3</v>
      </c>
      <c r="C1781" s="156" t="str">
        <f>'Reported burning'!C1781</f>
        <v>Human, deliberate</v>
      </c>
      <c r="D1781" s="156" t="str">
        <f>'Reported burning'!D1781</f>
        <v>Hunting</v>
      </c>
      <c r="E1781" s="156" t="str">
        <f>'Reported burning'!E1781</f>
        <v>Forestry, Traditional</v>
      </c>
      <c r="F1781" s="156" t="str">
        <f>'Reported burning'!F1781</f>
        <v>Forest</v>
      </c>
      <c r="G1781" s="156" t="str">
        <f>'Reported burning'!G1781</f>
        <v>Forest</v>
      </c>
      <c r="H1781" s="156"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6" t="str">
        <f>'Reported burning'!A1782</f>
        <v>209e</v>
      </c>
      <c r="B1782" s="156" t="str">
        <f>'Reported burning'!B1782</f>
        <v>209e.4</v>
      </c>
      <c r="C1782" s="156" t="str">
        <f>'Reported burning'!C1782</f>
        <v>Human, deliberate</v>
      </c>
      <c r="D1782" s="156" t="str">
        <f>'Reported burning'!D1782</f>
        <v>Harvesting of Timber</v>
      </c>
      <c r="E1782" s="156" t="str">
        <f>'Reported burning'!E1782</f>
        <v>Forestry, Small-scale</v>
      </c>
      <c r="F1782" s="156" t="str">
        <f>'Reported burning'!F1782</f>
        <v>Forest</v>
      </c>
      <c r="G1782" s="156" t="str">
        <f>'Reported burning'!G1782</f>
        <v>Forest</v>
      </c>
      <c r="H1782" s="156"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6" t="str">
        <f>'Reported burning'!A1783</f>
        <v>209e</v>
      </c>
      <c r="B1783" s="156" t="str">
        <f>'Reported burning'!B1783</f>
        <v>209e.5</v>
      </c>
      <c r="C1783" s="156" t="str">
        <f>'Reported burning'!C1783</f>
        <v>Human, deliberate</v>
      </c>
      <c r="D1783" s="156" t="str">
        <f>'Reported burning'!D1783</f>
        <v>Arson</v>
      </c>
      <c r="E1783" s="156" t="str">
        <f>'Reported burning'!E1783</f>
        <v>ND</v>
      </c>
      <c r="F1783" s="156" t="str">
        <f>'Reported burning'!F1783</f>
        <v>ND</v>
      </c>
      <c r="G1783" s="156" t="str">
        <f>'Reported burning'!G1783</f>
        <v>Forest</v>
      </c>
      <c r="H1783" s="156"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6" t="str">
        <f>'Reported burning'!A1784</f>
        <v>209e</v>
      </c>
      <c r="B1784" s="156" t="str">
        <f>'Reported burning'!B1784</f>
        <v>209e.6</v>
      </c>
      <c r="C1784" s="156" t="str">
        <f>'Reported burning'!C1784</f>
        <v>Human, deliberate</v>
      </c>
      <c r="D1784" s="156" t="str">
        <f>'Reported burning'!D1784</f>
        <v>Crop field preparation</v>
      </c>
      <c r="E1784" s="156" t="str">
        <f>'Reported burning'!E1784</f>
        <v>Cropping, Swidden</v>
      </c>
      <c r="F1784" s="156" t="str">
        <f>'Reported burning'!F1784</f>
        <v>Forest</v>
      </c>
      <c r="G1784" s="156" t="str">
        <f>'Reported burning'!G1784</f>
        <v>ND</v>
      </c>
      <c r="H1784" s="156"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6" t="str">
        <f>'Reported burning'!A1785</f>
        <v>209e</v>
      </c>
      <c r="B1785" s="156" t="str">
        <f>'Reported burning'!B1785</f>
        <v>209e.7</v>
      </c>
      <c r="C1785" s="156" t="str">
        <f>'Reported burning'!C1785</f>
        <v>Human, escaped</v>
      </c>
      <c r="D1785" s="156" t="str">
        <f>'Reported burning'!D1785</f>
        <v>Charcoal production</v>
      </c>
      <c r="E1785" s="156" t="str">
        <f>'Reported burning'!E1785</f>
        <v>ND</v>
      </c>
      <c r="F1785" s="156" t="str">
        <f>'Reported burning'!F1785</f>
        <v>ND</v>
      </c>
      <c r="G1785" s="156" t="str">
        <f>'Reported burning'!G1785</f>
        <v>Forest</v>
      </c>
      <c r="H1785" s="156"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6" t="str">
        <f>'Reported burning'!A1786</f>
        <v>209e</v>
      </c>
      <c r="B1786" s="156" t="str">
        <f>'Reported burning'!B1786</f>
        <v>209e.8</v>
      </c>
      <c r="C1786" s="156" t="str">
        <f>'Reported burning'!C1786</f>
        <v>Human, accidental</v>
      </c>
      <c r="D1786" s="156" t="str">
        <f>'Reported burning'!D1786</f>
        <v>ND</v>
      </c>
      <c r="E1786" s="156" t="str">
        <f>'Reported burning'!E1786</f>
        <v>All</v>
      </c>
      <c r="F1786" s="156" t="str">
        <f>'Reported burning'!F1786</f>
        <v>ND</v>
      </c>
      <c r="G1786" s="156" t="str">
        <f>'Reported burning'!G1786</f>
        <v>Forest</v>
      </c>
      <c r="H1786" s="156"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6" t="str">
        <f>'Reported burning'!A1787</f>
        <v>209e</v>
      </c>
      <c r="B1787" s="156" t="str">
        <f>'Reported burning'!B1787</f>
        <v>209e.9</v>
      </c>
      <c r="C1787" s="156" t="str">
        <f>'Reported burning'!C1787</f>
        <v>Human, escaped</v>
      </c>
      <c r="D1787" s="156" t="str">
        <f>'Reported burning'!D1787</f>
        <v>Cultural &amp; Spiritual</v>
      </c>
      <c r="E1787" s="156" t="str">
        <f>'Reported burning'!E1787</f>
        <v>All</v>
      </c>
      <c r="F1787" s="156" t="str">
        <f>'Reported burning'!F1787</f>
        <v>ND</v>
      </c>
      <c r="G1787" s="156" t="str">
        <f>'Reported burning'!G1787</f>
        <v>Forest</v>
      </c>
      <c r="H1787" s="156"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6" t="str">
        <f>'Reported burning'!A1788</f>
        <v>209e</v>
      </c>
      <c r="B1788" s="156" t="str">
        <f>'Reported burning'!B1788</f>
        <v>209e.10</v>
      </c>
      <c r="C1788" s="156" t="str">
        <f>'Reported burning'!C1788</f>
        <v>Human, escaped</v>
      </c>
      <c r="D1788" s="156" t="str">
        <f>'Reported burning'!D1788</f>
        <v>Domestic</v>
      </c>
      <c r="E1788" s="156" t="str">
        <f>'Reported burning'!E1788</f>
        <v>All</v>
      </c>
      <c r="F1788" s="156" t="str">
        <f>'Reported burning'!F1788</f>
        <v>ND</v>
      </c>
      <c r="G1788" s="156" t="str">
        <f>'Reported burning'!G1788</f>
        <v>Forest</v>
      </c>
      <c r="H1788" s="156"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6" t="str">
        <f>'Reported burning'!A1789</f>
        <v>209f</v>
      </c>
      <c r="B1789" s="156" t="str">
        <f>'Reported burning'!B1789</f>
        <v>209f.1</v>
      </c>
      <c r="C1789" s="156" t="str">
        <f>'Reported burning'!C1789</f>
        <v>Human, deliberate</v>
      </c>
      <c r="D1789" s="156" t="str">
        <f>'Reported burning'!D1789</f>
        <v>Pasture renewal</v>
      </c>
      <c r="E1789" s="156" t="str">
        <f>'Reported burning'!E1789</f>
        <v>Pastoralism, Migratory</v>
      </c>
      <c r="F1789" s="156" t="str">
        <f>'Reported burning'!F1789</f>
        <v>Forest</v>
      </c>
      <c r="G1789" s="156" t="str">
        <f>'Reported burning'!G1789</f>
        <v>Forest</v>
      </c>
      <c r="H1789" s="156"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5336</v>
      </c>
    </row>
    <row r="1790" spans="1:28" ht="35.5" customHeight="1">
      <c r="A1790" s="156" t="str">
        <f>'Reported burning'!A1790</f>
        <v>209f</v>
      </c>
      <c r="B1790" s="156" t="str">
        <f>'Reported burning'!B1790</f>
        <v>209f.2</v>
      </c>
      <c r="C1790" s="156" t="str">
        <f>'Reported burning'!C1790</f>
        <v>Human, deliberate</v>
      </c>
      <c r="D1790" s="156" t="str">
        <f>'Reported burning'!D1790</f>
        <v>Harvesting of NTFP</v>
      </c>
      <c r="E1790" s="156" t="str">
        <f>'Reported burning'!E1790</f>
        <v>Forestry, Traditional</v>
      </c>
      <c r="F1790" s="156" t="str">
        <f>'Reported burning'!F1790</f>
        <v>Forest</v>
      </c>
      <c r="G1790" s="156" t="str">
        <f>'Reported burning'!G1790</f>
        <v>Forest</v>
      </c>
      <c r="H1790" s="156"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6" t="str">
        <f>'Reported burning'!A1791</f>
        <v>209f</v>
      </c>
      <c r="B1791" s="156" t="str">
        <f>'Reported burning'!B1791</f>
        <v>209f.3</v>
      </c>
      <c r="C1791" s="156" t="str">
        <f>'Reported burning'!C1791</f>
        <v>Human, deliberate</v>
      </c>
      <c r="D1791" s="156" t="str">
        <f>'Reported burning'!D1791</f>
        <v>Hunting</v>
      </c>
      <c r="E1791" s="156" t="str">
        <f>'Reported burning'!E1791</f>
        <v>Forestry, Traditional</v>
      </c>
      <c r="F1791" s="156" t="str">
        <f>'Reported burning'!F1791</f>
        <v>Forest</v>
      </c>
      <c r="G1791" s="156" t="str">
        <f>'Reported burning'!G1791</f>
        <v>Forest</v>
      </c>
      <c r="H1791" s="156"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6" t="str">
        <f>'Reported burning'!A1792</f>
        <v>209f</v>
      </c>
      <c r="B1792" s="156" t="str">
        <f>'Reported burning'!B1792</f>
        <v>209f.4</v>
      </c>
      <c r="C1792" s="156" t="str">
        <f>'Reported burning'!C1792</f>
        <v>Human, deliberate</v>
      </c>
      <c r="D1792" s="156" t="str">
        <f>'Reported burning'!D1792</f>
        <v>Harvesting of Timber</v>
      </c>
      <c r="E1792" s="156" t="str">
        <f>'Reported burning'!E1792</f>
        <v>Forestry, Small-scale</v>
      </c>
      <c r="F1792" s="156" t="str">
        <f>'Reported burning'!F1792</f>
        <v>Forest</v>
      </c>
      <c r="G1792" s="156" t="str">
        <f>'Reported burning'!G1792</f>
        <v>Forest</v>
      </c>
      <c r="H1792" s="156"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6" t="str">
        <f>'Reported burning'!A1793</f>
        <v>209f</v>
      </c>
      <c r="B1793" s="156" t="str">
        <f>'Reported burning'!B1793</f>
        <v>209f.5</v>
      </c>
      <c r="C1793" s="156" t="str">
        <f>'Reported burning'!C1793</f>
        <v>Human, deliberate</v>
      </c>
      <c r="D1793" s="156" t="str">
        <f>'Reported burning'!D1793</f>
        <v>Arson</v>
      </c>
      <c r="E1793" s="156" t="str">
        <f>'Reported burning'!E1793</f>
        <v>ND</v>
      </c>
      <c r="F1793" s="156" t="str">
        <f>'Reported burning'!F1793</f>
        <v>ND</v>
      </c>
      <c r="G1793" s="156" t="str">
        <f>'Reported burning'!G1793</f>
        <v>Forest</v>
      </c>
      <c r="H1793" s="156"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6" t="str">
        <f>'Reported burning'!A1794</f>
        <v>209f</v>
      </c>
      <c r="B1794" s="156" t="str">
        <f>'Reported burning'!B1794</f>
        <v>209f.6</v>
      </c>
      <c r="C1794" s="156" t="str">
        <f>'Reported burning'!C1794</f>
        <v>Human, deliberate</v>
      </c>
      <c r="D1794" s="156" t="str">
        <f>'Reported burning'!D1794</f>
        <v>Crop field preparation</v>
      </c>
      <c r="E1794" s="156" t="str">
        <f>'Reported burning'!E1794</f>
        <v>Cropping, Swidden</v>
      </c>
      <c r="F1794" s="156" t="str">
        <f>'Reported burning'!F1794</f>
        <v>Forest</v>
      </c>
      <c r="G1794" s="156" t="str">
        <f>'Reported burning'!G1794</f>
        <v>ND</v>
      </c>
      <c r="H1794" s="156"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6" t="str">
        <f>'Reported burning'!A1795</f>
        <v>209f</v>
      </c>
      <c r="B1795" s="156" t="str">
        <f>'Reported burning'!B1795</f>
        <v>209f.7</v>
      </c>
      <c r="C1795" s="156" t="str">
        <f>'Reported burning'!C1795</f>
        <v>Human, escaped</v>
      </c>
      <c r="D1795" s="156" t="str">
        <f>'Reported burning'!D1795</f>
        <v>Charcoal production</v>
      </c>
      <c r="E1795" s="156" t="str">
        <f>'Reported burning'!E1795</f>
        <v>ND</v>
      </c>
      <c r="F1795" s="156" t="str">
        <f>'Reported burning'!F1795</f>
        <v>ND</v>
      </c>
      <c r="G1795" s="156" t="str">
        <f>'Reported burning'!G1795</f>
        <v>Forest</v>
      </c>
      <c r="H1795" s="156"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6" t="str">
        <f>'Reported burning'!A1796</f>
        <v>209f</v>
      </c>
      <c r="B1796" s="156" t="str">
        <f>'Reported burning'!B1796</f>
        <v>209f.8</v>
      </c>
      <c r="C1796" s="156" t="str">
        <f>'Reported burning'!C1796</f>
        <v>Human, accidental</v>
      </c>
      <c r="D1796" s="156" t="str">
        <f>'Reported burning'!D1796</f>
        <v>ND</v>
      </c>
      <c r="E1796" s="156" t="str">
        <f>'Reported burning'!E1796</f>
        <v>All</v>
      </c>
      <c r="F1796" s="156" t="str">
        <f>'Reported burning'!F1796</f>
        <v>ND</v>
      </c>
      <c r="G1796" s="156" t="str">
        <f>'Reported burning'!G1796</f>
        <v>Forest</v>
      </c>
      <c r="H1796" s="156"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6" t="str">
        <f>'Reported burning'!A1797</f>
        <v>209f</v>
      </c>
      <c r="B1797" s="156" t="str">
        <f>'Reported burning'!B1797</f>
        <v>209f.9</v>
      </c>
      <c r="C1797" s="156" t="str">
        <f>'Reported burning'!C1797</f>
        <v>Human, escaped</v>
      </c>
      <c r="D1797" s="156" t="str">
        <f>'Reported burning'!D1797</f>
        <v>Cultural &amp; Spiritual</v>
      </c>
      <c r="E1797" s="156" t="str">
        <f>'Reported burning'!E1797</f>
        <v>All</v>
      </c>
      <c r="F1797" s="156" t="str">
        <f>'Reported burning'!F1797</f>
        <v>ND</v>
      </c>
      <c r="G1797" s="156" t="str">
        <f>'Reported burning'!G1797</f>
        <v>Forest</v>
      </c>
      <c r="H1797" s="156"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6" t="str">
        <f>'Reported burning'!A1798</f>
        <v>209f</v>
      </c>
      <c r="B1798" s="156" t="str">
        <f>'Reported burning'!B1798</f>
        <v>209f.10</v>
      </c>
      <c r="C1798" s="156" t="str">
        <f>'Reported burning'!C1798</f>
        <v>Human, escaped</v>
      </c>
      <c r="D1798" s="156" t="str">
        <f>'Reported burning'!D1798</f>
        <v>Domestic</v>
      </c>
      <c r="E1798" s="156" t="str">
        <f>'Reported burning'!E1798</f>
        <v>All</v>
      </c>
      <c r="F1798" s="156" t="str">
        <f>'Reported burning'!F1798</f>
        <v>ND</v>
      </c>
      <c r="G1798" s="156" t="str">
        <f>'Reported burning'!G1798</f>
        <v>Forest</v>
      </c>
      <c r="H1798" s="156"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6" t="str">
        <f>'Reported burning'!A1799</f>
        <v>209g</v>
      </c>
      <c r="B1799" s="156" t="str">
        <f>'Reported burning'!B1799</f>
        <v>209g.1</v>
      </c>
      <c r="C1799" s="156" t="str">
        <f>'Reported burning'!C1799</f>
        <v>Human, deliberate</v>
      </c>
      <c r="D1799" s="156" t="str">
        <f>'Reported burning'!D1799</f>
        <v>Pasture renewal</v>
      </c>
      <c r="E1799" s="156" t="str">
        <f>'Reported burning'!E1799</f>
        <v>Pastoralism, Migratory</v>
      </c>
      <c r="F1799" s="156" t="str">
        <f>'Reported burning'!F1799</f>
        <v>Forest</v>
      </c>
      <c r="G1799" s="156" t="str">
        <f>'Reported burning'!G1799</f>
        <v>Forest</v>
      </c>
      <c r="H1799" s="156"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5336</v>
      </c>
    </row>
    <row r="1800" spans="1:28" ht="35.5" customHeight="1">
      <c r="A1800" s="156" t="str">
        <f>'Reported burning'!A1800</f>
        <v>209g</v>
      </c>
      <c r="B1800" s="156" t="str">
        <f>'Reported burning'!B1800</f>
        <v>209g.2</v>
      </c>
      <c r="C1800" s="156" t="str">
        <f>'Reported burning'!C1800</f>
        <v>Human, deliberate</v>
      </c>
      <c r="D1800" s="156" t="str">
        <f>'Reported burning'!D1800</f>
        <v>Harvesting of NTFP</v>
      </c>
      <c r="E1800" s="156" t="str">
        <f>'Reported burning'!E1800</f>
        <v>Forestry, Traditional</v>
      </c>
      <c r="F1800" s="156" t="str">
        <f>'Reported burning'!F1800</f>
        <v>Forest</v>
      </c>
      <c r="G1800" s="156" t="str">
        <f>'Reported burning'!G1800</f>
        <v>Forest</v>
      </c>
      <c r="H1800" s="156"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6" t="str">
        <f>'Reported burning'!A1801</f>
        <v>209g</v>
      </c>
      <c r="B1801" s="156" t="str">
        <f>'Reported burning'!B1801</f>
        <v>209g.3</v>
      </c>
      <c r="C1801" s="156" t="str">
        <f>'Reported burning'!C1801</f>
        <v>Human, deliberate</v>
      </c>
      <c r="D1801" s="156" t="str">
        <f>'Reported burning'!D1801</f>
        <v>Hunting</v>
      </c>
      <c r="E1801" s="156" t="str">
        <f>'Reported burning'!E1801</f>
        <v>Forestry, Traditional</v>
      </c>
      <c r="F1801" s="156" t="str">
        <f>'Reported burning'!F1801</f>
        <v>Forest</v>
      </c>
      <c r="G1801" s="156" t="str">
        <f>'Reported burning'!G1801</f>
        <v>Forest</v>
      </c>
      <c r="H1801" s="156"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6" t="str">
        <f>'Reported burning'!A1802</f>
        <v>209g</v>
      </c>
      <c r="B1802" s="156" t="str">
        <f>'Reported burning'!B1802</f>
        <v>209g.4</v>
      </c>
      <c r="C1802" s="156" t="str">
        <f>'Reported burning'!C1802</f>
        <v>Human, deliberate</v>
      </c>
      <c r="D1802" s="156" t="str">
        <f>'Reported burning'!D1802</f>
        <v>Harvesting of Timber</v>
      </c>
      <c r="E1802" s="156" t="str">
        <f>'Reported burning'!E1802</f>
        <v>Forestry, Small-scale</v>
      </c>
      <c r="F1802" s="156" t="str">
        <f>'Reported burning'!F1802</f>
        <v>Forest</v>
      </c>
      <c r="G1802" s="156" t="str">
        <f>'Reported burning'!G1802</f>
        <v>Forest</v>
      </c>
      <c r="H1802" s="156"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6" t="str">
        <f>'Reported burning'!A1803</f>
        <v>209g</v>
      </c>
      <c r="B1803" s="156" t="str">
        <f>'Reported burning'!B1803</f>
        <v>209g.5</v>
      </c>
      <c r="C1803" s="156" t="str">
        <f>'Reported burning'!C1803</f>
        <v>Human, deliberate</v>
      </c>
      <c r="D1803" s="156" t="str">
        <f>'Reported burning'!D1803</f>
        <v>Arson</v>
      </c>
      <c r="E1803" s="156" t="str">
        <f>'Reported burning'!E1803</f>
        <v>ND</v>
      </c>
      <c r="F1803" s="156" t="str">
        <f>'Reported burning'!F1803</f>
        <v>ND</v>
      </c>
      <c r="G1803" s="156" t="str">
        <f>'Reported burning'!G1803</f>
        <v>Forest</v>
      </c>
      <c r="H1803" s="156"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6" t="str">
        <f>'Reported burning'!A1804</f>
        <v>209g</v>
      </c>
      <c r="B1804" s="156" t="str">
        <f>'Reported burning'!B1804</f>
        <v>209g.6</v>
      </c>
      <c r="C1804" s="156" t="str">
        <f>'Reported burning'!C1804</f>
        <v>Human, deliberate</v>
      </c>
      <c r="D1804" s="156" t="str">
        <f>'Reported burning'!D1804</f>
        <v>Crop field preparation</v>
      </c>
      <c r="E1804" s="156" t="str">
        <f>'Reported burning'!E1804</f>
        <v>Cropping, Swidden</v>
      </c>
      <c r="F1804" s="156" t="str">
        <f>'Reported burning'!F1804</f>
        <v>Forest</v>
      </c>
      <c r="G1804" s="156" t="str">
        <f>'Reported burning'!G1804</f>
        <v>ND</v>
      </c>
      <c r="H1804" s="156"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6" t="str">
        <f>'Reported burning'!A1805</f>
        <v>209g</v>
      </c>
      <c r="B1805" s="156" t="str">
        <f>'Reported burning'!B1805</f>
        <v>209g.7</v>
      </c>
      <c r="C1805" s="156" t="str">
        <f>'Reported burning'!C1805</f>
        <v>Human, escaped</v>
      </c>
      <c r="D1805" s="156" t="str">
        <f>'Reported burning'!D1805</f>
        <v>Charcoal production</v>
      </c>
      <c r="E1805" s="156" t="str">
        <f>'Reported burning'!E1805</f>
        <v>ND</v>
      </c>
      <c r="F1805" s="156" t="str">
        <f>'Reported burning'!F1805</f>
        <v>ND</v>
      </c>
      <c r="G1805" s="156" t="str">
        <f>'Reported burning'!G1805</f>
        <v>Forest</v>
      </c>
      <c r="H1805" s="156"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6" t="str">
        <f>'Reported burning'!A1806</f>
        <v>209g</v>
      </c>
      <c r="B1806" s="156" t="str">
        <f>'Reported burning'!B1806</f>
        <v>209g.8</v>
      </c>
      <c r="C1806" s="156" t="str">
        <f>'Reported burning'!C1806</f>
        <v>Human, accidental</v>
      </c>
      <c r="D1806" s="156" t="str">
        <f>'Reported burning'!D1806</f>
        <v>ND</v>
      </c>
      <c r="E1806" s="156" t="str">
        <f>'Reported burning'!E1806</f>
        <v>All</v>
      </c>
      <c r="F1806" s="156" t="str">
        <f>'Reported burning'!F1806</f>
        <v>ND</v>
      </c>
      <c r="G1806" s="156" t="str">
        <f>'Reported burning'!G1806</f>
        <v>Forest</v>
      </c>
      <c r="H1806" s="156"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6" t="str">
        <f>'Reported burning'!A1807</f>
        <v>209g</v>
      </c>
      <c r="B1807" s="156" t="str">
        <f>'Reported burning'!B1807</f>
        <v>209g.9</v>
      </c>
      <c r="C1807" s="156" t="str">
        <f>'Reported burning'!C1807</f>
        <v>Human, escaped</v>
      </c>
      <c r="D1807" s="156" t="str">
        <f>'Reported burning'!D1807</f>
        <v>Cultural &amp; Spiritual</v>
      </c>
      <c r="E1807" s="156" t="str">
        <f>'Reported burning'!E1807</f>
        <v>All</v>
      </c>
      <c r="F1807" s="156" t="str">
        <f>'Reported burning'!F1807</f>
        <v>ND</v>
      </c>
      <c r="G1807" s="156" t="str">
        <f>'Reported burning'!G1807</f>
        <v>Forest</v>
      </c>
      <c r="H1807" s="156"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6" t="str">
        <f>'Reported burning'!A1808</f>
        <v>209g</v>
      </c>
      <c r="B1808" s="156" t="str">
        <f>'Reported burning'!B1808</f>
        <v>209g.10</v>
      </c>
      <c r="C1808" s="156" t="str">
        <f>'Reported burning'!C1808</f>
        <v>Human, escaped</v>
      </c>
      <c r="D1808" s="156" t="str">
        <f>'Reported burning'!D1808</f>
        <v>Domestic</v>
      </c>
      <c r="E1808" s="156" t="str">
        <f>'Reported burning'!E1808</f>
        <v>All</v>
      </c>
      <c r="F1808" s="156" t="str">
        <f>'Reported burning'!F1808</f>
        <v>ND</v>
      </c>
      <c r="G1808" s="156" t="str">
        <f>'Reported burning'!G1808</f>
        <v>Forest</v>
      </c>
      <c r="H1808" s="156"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6" t="str">
        <f>'Reported burning'!A1809</f>
        <v>209a</v>
      </c>
      <c r="B1809" s="156" t="str">
        <f>'Reported burning'!B1809</f>
        <v>209a.11</v>
      </c>
      <c r="C1809" s="156" t="str">
        <f>'Reported burning'!C1809</f>
        <v>All</v>
      </c>
      <c r="D1809" s="156" t="str">
        <f>'Reported burning'!D1809</f>
        <v>ND</v>
      </c>
      <c r="E1809" s="156" t="str">
        <f>'Reported burning'!E1809</f>
        <v>All</v>
      </c>
      <c r="F1809" s="156" t="str">
        <f>'Reported burning'!F1809</f>
        <v>ND</v>
      </c>
      <c r="G1809" s="156" t="str">
        <f>'Reported burning'!G1809</f>
        <v>Forest</v>
      </c>
      <c r="H1809" s="156"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5335</v>
      </c>
    </row>
    <row r="1810" spans="1:28" ht="29" customHeight="1">
      <c r="A1810" s="156" t="str">
        <f>'Reported burning'!A1810</f>
        <v>209a</v>
      </c>
      <c r="B1810" s="156" t="str">
        <f>'Reported burning'!B1810</f>
        <v>209a.12</v>
      </c>
      <c r="C1810" s="156" t="str">
        <f>'Reported burning'!C1810</f>
        <v>All</v>
      </c>
      <c r="D1810" s="156" t="str">
        <f>'Reported burning'!D1810</f>
        <v>ND</v>
      </c>
      <c r="E1810" s="156" t="str">
        <f>'Reported burning'!E1810</f>
        <v>All</v>
      </c>
      <c r="F1810" s="156" t="str">
        <f>'Reported burning'!F1810</f>
        <v>ND</v>
      </c>
      <c r="G1810" s="156" t="str">
        <f>'Reported burning'!G1810</f>
        <v>Forest</v>
      </c>
      <c r="H1810" s="156"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5335</v>
      </c>
    </row>
    <row r="1811" spans="1:28" ht="29" customHeight="1">
      <c r="A1811" s="156" t="str">
        <f>'Reported burning'!A1811</f>
        <v>209b</v>
      </c>
      <c r="B1811" s="156" t="str">
        <f>'Reported burning'!B1811</f>
        <v>209b.11</v>
      </c>
      <c r="C1811" s="156" t="str">
        <f>'Reported burning'!C1811</f>
        <v>All</v>
      </c>
      <c r="D1811" s="156" t="str">
        <f>'Reported burning'!D1811</f>
        <v>ND</v>
      </c>
      <c r="E1811" s="156" t="str">
        <f>'Reported burning'!E1811</f>
        <v>All</v>
      </c>
      <c r="F1811" s="156" t="str">
        <f>'Reported burning'!F1811</f>
        <v>ND</v>
      </c>
      <c r="G1811" s="156" t="str">
        <f>'Reported burning'!G1811</f>
        <v>Forest</v>
      </c>
      <c r="H1811" s="156"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5335</v>
      </c>
    </row>
    <row r="1812" spans="1:28" ht="29" customHeight="1">
      <c r="A1812" s="156" t="str">
        <f>'Reported burning'!A1812</f>
        <v>209b</v>
      </c>
      <c r="B1812" s="156" t="str">
        <f>'Reported burning'!B1812</f>
        <v>209b.12</v>
      </c>
      <c r="C1812" s="156" t="str">
        <f>'Reported burning'!C1812</f>
        <v>All</v>
      </c>
      <c r="D1812" s="156" t="str">
        <f>'Reported burning'!D1812</f>
        <v>ND</v>
      </c>
      <c r="E1812" s="156" t="str">
        <f>'Reported burning'!E1812</f>
        <v>All</v>
      </c>
      <c r="F1812" s="156" t="str">
        <f>'Reported burning'!F1812</f>
        <v>ND</v>
      </c>
      <c r="G1812" s="156" t="str">
        <f>'Reported burning'!G1812</f>
        <v>Forest</v>
      </c>
      <c r="H1812" s="156"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5335</v>
      </c>
    </row>
    <row r="1813" spans="1:28" ht="29" customHeight="1">
      <c r="A1813" s="156" t="str">
        <f>'Reported burning'!A1813</f>
        <v>209c</v>
      </c>
      <c r="B1813" s="156" t="str">
        <f>'Reported burning'!B1813</f>
        <v>209c.11</v>
      </c>
      <c r="C1813" s="156" t="str">
        <f>'Reported burning'!C1813</f>
        <v>All</v>
      </c>
      <c r="D1813" s="156" t="str">
        <f>'Reported burning'!D1813</f>
        <v>ND</v>
      </c>
      <c r="E1813" s="156" t="str">
        <f>'Reported burning'!E1813</f>
        <v>All</v>
      </c>
      <c r="F1813" s="156" t="str">
        <f>'Reported burning'!F1813</f>
        <v>ND</v>
      </c>
      <c r="G1813" s="156" t="str">
        <f>'Reported burning'!G1813</f>
        <v>Forest</v>
      </c>
      <c r="H1813" s="156"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5335</v>
      </c>
    </row>
    <row r="1814" spans="1:28" ht="29" customHeight="1">
      <c r="A1814" s="156" t="str">
        <f>'Reported burning'!A1814</f>
        <v>209c</v>
      </c>
      <c r="B1814" s="156" t="str">
        <f>'Reported burning'!B1814</f>
        <v>209c.12</v>
      </c>
      <c r="C1814" s="156" t="str">
        <f>'Reported burning'!C1814</f>
        <v>All</v>
      </c>
      <c r="D1814" s="156" t="str">
        <f>'Reported burning'!D1814</f>
        <v>ND</v>
      </c>
      <c r="E1814" s="156" t="str">
        <f>'Reported burning'!E1814</f>
        <v>All</v>
      </c>
      <c r="F1814" s="156" t="str">
        <f>'Reported burning'!F1814</f>
        <v>ND</v>
      </c>
      <c r="G1814" s="156" t="str">
        <f>'Reported burning'!G1814</f>
        <v>Forest</v>
      </c>
      <c r="H1814" s="156"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5335</v>
      </c>
    </row>
    <row r="1815" spans="1:28" ht="29" customHeight="1">
      <c r="A1815" s="156" t="str">
        <f>'Reported burning'!A1815</f>
        <v>209d</v>
      </c>
      <c r="B1815" s="156" t="str">
        <f>'Reported burning'!B1815</f>
        <v>209d.11</v>
      </c>
      <c r="C1815" s="156" t="str">
        <f>'Reported burning'!C1815</f>
        <v>All</v>
      </c>
      <c r="D1815" s="156" t="str">
        <f>'Reported burning'!D1815</f>
        <v>ND</v>
      </c>
      <c r="E1815" s="156" t="str">
        <f>'Reported burning'!E1815</f>
        <v>All</v>
      </c>
      <c r="F1815" s="156" t="str">
        <f>'Reported burning'!F1815</f>
        <v>ND</v>
      </c>
      <c r="G1815" s="156" t="str">
        <f>'Reported burning'!G1815</f>
        <v>Forest</v>
      </c>
      <c r="H1815" s="156"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5335</v>
      </c>
    </row>
    <row r="1816" spans="1:28" ht="29" customHeight="1">
      <c r="A1816" s="156" t="str">
        <f>'Reported burning'!A1816</f>
        <v>209d</v>
      </c>
      <c r="B1816" s="156" t="str">
        <f>'Reported burning'!B1816</f>
        <v>209d.12</v>
      </c>
      <c r="C1816" s="156" t="str">
        <f>'Reported burning'!C1816</f>
        <v>All</v>
      </c>
      <c r="D1816" s="156" t="str">
        <f>'Reported burning'!D1816</f>
        <v>ND</v>
      </c>
      <c r="E1816" s="156" t="str">
        <f>'Reported burning'!E1816</f>
        <v>All</v>
      </c>
      <c r="F1816" s="156" t="str">
        <f>'Reported burning'!F1816</f>
        <v>ND</v>
      </c>
      <c r="G1816" s="156" t="str">
        <f>'Reported burning'!G1816</f>
        <v>Forest</v>
      </c>
      <c r="H1816" s="156"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5335</v>
      </c>
    </row>
    <row r="1817" spans="1:28" ht="29" customHeight="1">
      <c r="A1817" s="156" t="str">
        <f>'Reported burning'!A1817</f>
        <v>209e</v>
      </c>
      <c r="B1817" s="156" t="str">
        <f>'Reported burning'!B1817</f>
        <v>209e.11</v>
      </c>
      <c r="C1817" s="156" t="str">
        <f>'Reported burning'!C1817</f>
        <v>All</v>
      </c>
      <c r="D1817" s="156" t="str">
        <f>'Reported burning'!D1817</f>
        <v>ND</v>
      </c>
      <c r="E1817" s="156" t="str">
        <f>'Reported burning'!E1817</f>
        <v>All</v>
      </c>
      <c r="F1817" s="156" t="str">
        <f>'Reported burning'!F1817</f>
        <v>ND</v>
      </c>
      <c r="G1817" s="156" t="str">
        <f>'Reported burning'!G1817</f>
        <v>Forest</v>
      </c>
      <c r="H1817" s="156"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5335</v>
      </c>
    </row>
    <row r="1818" spans="1:28" ht="29" customHeight="1">
      <c r="A1818" s="156" t="str">
        <f>'Reported burning'!A1818</f>
        <v>209e</v>
      </c>
      <c r="B1818" s="156" t="str">
        <f>'Reported burning'!B1818</f>
        <v>209e.12</v>
      </c>
      <c r="C1818" s="156" t="str">
        <f>'Reported burning'!C1818</f>
        <v>All</v>
      </c>
      <c r="D1818" s="156" t="str">
        <f>'Reported burning'!D1818</f>
        <v>ND</v>
      </c>
      <c r="E1818" s="156" t="str">
        <f>'Reported burning'!E1818</f>
        <v>All</v>
      </c>
      <c r="F1818" s="156" t="str">
        <f>'Reported burning'!F1818</f>
        <v>ND</v>
      </c>
      <c r="G1818" s="156" t="str">
        <f>'Reported burning'!G1818</f>
        <v>Forest</v>
      </c>
      <c r="H1818" s="156"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5335</v>
      </c>
    </row>
    <row r="1819" spans="1:28" ht="29" customHeight="1">
      <c r="A1819" s="156" t="str">
        <f>'Reported burning'!A1819</f>
        <v>209f</v>
      </c>
      <c r="B1819" s="156" t="str">
        <f>'Reported burning'!B1819</f>
        <v>209f.11</v>
      </c>
      <c r="C1819" s="156" t="str">
        <f>'Reported burning'!C1819</f>
        <v>All</v>
      </c>
      <c r="D1819" s="156" t="str">
        <f>'Reported burning'!D1819</f>
        <v>ND</v>
      </c>
      <c r="E1819" s="156" t="str">
        <f>'Reported burning'!E1819</f>
        <v>All</v>
      </c>
      <c r="F1819" s="156" t="str">
        <f>'Reported burning'!F1819</f>
        <v>ND</v>
      </c>
      <c r="G1819" s="156" t="str">
        <f>'Reported burning'!G1819</f>
        <v>Forest</v>
      </c>
      <c r="H1819" s="156"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5335</v>
      </c>
    </row>
    <row r="1820" spans="1:28" ht="29" customHeight="1">
      <c r="A1820" s="156" t="str">
        <f>'Reported burning'!A1820</f>
        <v>209f</v>
      </c>
      <c r="B1820" s="156" t="str">
        <f>'Reported burning'!B1820</f>
        <v>209f.12</v>
      </c>
      <c r="C1820" s="156" t="str">
        <f>'Reported burning'!C1820</f>
        <v>All</v>
      </c>
      <c r="D1820" s="156" t="str">
        <f>'Reported burning'!D1820</f>
        <v>ND</v>
      </c>
      <c r="E1820" s="156" t="str">
        <f>'Reported burning'!E1820</f>
        <v>All</v>
      </c>
      <c r="F1820" s="156" t="str">
        <f>'Reported burning'!F1820</f>
        <v>ND</v>
      </c>
      <c r="G1820" s="156" t="str">
        <f>'Reported burning'!G1820</f>
        <v>Forest</v>
      </c>
      <c r="H1820" s="156"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5335</v>
      </c>
    </row>
    <row r="1821" spans="1:28" ht="29" customHeight="1">
      <c r="A1821" s="156" t="str">
        <f>'Reported burning'!A1821</f>
        <v>209g</v>
      </c>
      <c r="B1821" s="156" t="str">
        <f>'Reported burning'!B1821</f>
        <v>209g.11</v>
      </c>
      <c r="C1821" s="156" t="str">
        <f>'Reported burning'!C1821</f>
        <v>All</v>
      </c>
      <c r="D1821" s="156" t="str">
        <f>'Reported burning'!D1821</f>
        <v>ND</v>
      </c>
      <c r="E1821" s="156" t="str">
        <f>'Reported burning'!E1821</f>
        <v>All</v>
      </c>
      <c r="F1821" s="156" t="str">
        <f>'Reported burning'!F1821</f>
        <v>ND</v>
      </c>
      <c r="G1821" s="156" t="str">
        <f>'Reported burning'!G1821</f>
        <v>Forest</v>
      </c>
      <c r="H1821" s="156"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5335</v>
      </c>
    </row>
    <row r="1822" spans="1:28" ht="29" customHeight="1">
      <c r="A1822" s="156" t="str">
        <f>'Reported burning'!A1822</f>
        <v>209g</v>
      </c>
      <c r="B1822" s="156" t="str">
        <f>'Reported burning'!B1822</f>
        <v>209g.12</v>
      </c>
      <c r="C1822" s="156" t="str">
        <f>'Reported burning'!C1822</f>
        <v>All</v>
      </c>
      <c r="D1822" s="156" t="str">
        <f>'Reported burning'!D1822</f>
        <v>ND</v>
      </c>
      <c r="E1822" s="156" t="str">
        <f>'Reported burning'!E1822</f>
        <v>All</v>
      </c>
      <c r="F1822" s="156" t="str">
        <f>'Reported burning'!F1822</f>
        <v>ND</v>
      </c>
      <c r="G1822" s="156" t="str">
        <f>'Reported burning'!G1822</f>
        <v>Forest</v>
      </c>
      <c r="H1822" s="156"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5335</v>
      </c>
    </row>
    <row r="1823" spans="1:28" ht="32.5" customHeight="1">
      <c r="A1823" s="156" t="str">
        <f>'Reported burning'!A1823</f>
        <v>210a</v>
      </c>
      <c r="B1823" s="156" t="str">
        <f>'Reported burning'!B1823</f>
        <v>210a.1</v>
      </c>
      <c r="C1823" s="156" t="str">
        <f>'Reported burning'!C1823</f>
        <v>Human, deliberate</v>
      </c>
      <c r="D1823" s="156" t="str">
        <f>'Reported burning'!D1823</f>
        <v>Crop field preparation</v>
      </c>
      <c r="E1823" s="156" t="str">
        <f>'Reported burning'!E1823</f>
        <v>Cropping, Swidden</v>
      </c>
      <c r="F1823" s="156" t="str">
        <f>'Reported burning'!G1823</f>
        <v>ND</v>
      </c>
      <c r="G1823" s="156" t="str">
        <f>'Reported burning'!F1823</f>
        <v>Forest</v>
      </c>
      <c r="H1823" s="156"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6" t="str">
        <f>'Reported burning'!A1824</f>
        <v>210a</v>
      </c>
      <c r="B1824" s="156" t="str">
        <f>'Reported burning'!B1824</f>
        <v>210a.2</v>
      </c>
      <c r="C1824" s="156" t="str">
        <f>'Reported burning'!C1824</f>
        <v>Human, deliberate</v>
      </c>
      <c r="D1824" s="156" t="str">
        <f>'Reported burning'!D1824</f>
        <v>Land clearance</v>
      </c>
      <c r="E1824" s="156" t="str">
        <f>'Reported burning'!E1824</f>
        <v>Cropping, Swidden</v>
      </c>
      <c r="F1824" s="156" t="str">
        <f>'Reported burning'!G1824</f>
        <v>ND</v>
      </c>
      <c r="G1824" s="156" t="str">
        <f>'Reported burning'!F1824</f>
        <v>Forest</v>
      </c>
      <c r="H1824" s="156"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6" t="str">
        <f>'Reported burning'!A1825</f>
        <v>210a</v>
      </c>
      <c r="B1825" s="156" t="str">
        <f>'Reported burning'!B1825</f>
        <v>210a.3</v>
      </c>
      <c r="C1825" s="156" t="str">
        <f>'Reported burning'!C1825</f>
        <v>Human, deliberate</v>
      </c>
      <c r="D1825" s="156" t="str">
        <f>'Reported burning'!D1825</f>
        <v>Land clearance</v>
      </c>
      <c r="E1825" s="156" t="str">
        <f>'Reported burning'!E1825</f>
        <v>Cropping, Monoculture, Market-oriented</v>
      </c>
      <c r="F1825" s="156" t="str">
        <f>'Reported burning'!G1825</f>
        <v>ND</v>
      </c>
      <c r="G1825" s="156" t="str">
        <f>'Reported burning'!F1825</f>
        <v>Forest</v>
      </c>
      <c r="H1825" s="156"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6" t="str">
        <f>'Reported burning'!A1826</f>
        <v>210b</v>
      </c>
      <c r="B1826" s="156" t="str">
        <f>'Reported burning'!B1826</f>
        <v>210b.1</v>
      </c>
      <c r="C1826" s="156" t="str">
        <f>'Reported burning'!C1826</f>
        <v>Human, deliberate</v>
      </c>
      <c r="D1826" s="156" t="str">
        <f>'Reported burning'!D1826</f>
        <v>Crop field preparation</v>
      </c>
      <c r="E1826" s="156" t="str">
        <f>'Reported burning'!E1826</f>
        <v>Cropping, Swidden</v>
      </c>
      <c r="F1826" s="156" t="str">
        <f>'Reported burning'!G1826</f>
        <v>ND</v>
      </c>
      <c r="G1826" s="156" t="str">
        <f>'Reported burning'!F1826</f>
        <v>Forest</v>
      </c>
      <c r="H1826" s="156"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5352</v>
      </c>
      <c r="AB1826" s="3"/>
    </row>
    <row r="1827" spans="1:28" ht="32.5" customHeight="1">
      <c r="A1827" s="156" t="str">
        <f>'Reported burning'!A1827</f>
        <v>210b</v>
      </c>
      <c r="B1827" s="156" t="str">
        <f>'Reported burning'!B1827</f>
        <v>210b.2</v>
      </c>
      <c r="C1827" s="156" t="str">
        <f>'Reported burning'!C1827</f>
        <v>Human, deliberate</v>
      </c>
      <c r="D1827" s="156" t="str">
        <f>'Reported burning'!D1827</f>
        <v>Land clearance</v>
      </c>
      <c r="E1827" s="156" t="str">
        <f>'Reported burning'!E1827</f>
        <v>Cropping, Swidden</v>
      </c>
      <c r="F1827" s="156" t="str">
        <f>'Reported burning'!G1827</f>
        <v>ND</v>
      </c>
      <c r="G1827" s="156" t="str">
        <f>'Reported burning'!F1827</f>
        <v>Forest</v>
      </c>
      <c r="H1827" s="156"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5352</v>
      </c>
      <c r="AB1827" s="3"/>
    </row>
    <row r="1828" spans="1:28" ht="32.5" customHeight="1">
      <c r="A1828" s="156" t="str">
        <f>'Reported burning'!A1828</f>
        <v>210b</v>
      </c>
      <c r="B1828" s="156" t="str">
        <f>'Reported burning'!B1828</f>
        <v>210b.3</v>
      </c>
      <c r="C1828" s="156" t="str">
        <f>'Reported burning'!C1828</f>
        <v>Human, deliberate</v>
      </c>
      <c r="D1828" s="156" t="str">
        <f>'Reported burning'!D1828</f>
        <v>Land clearance</v>
      </c>
      <c r="E1828" s="156" t="str">
        <f>'Reported burning'!E1828</f>
        <v>Cropping, Monoculture, Market-oriented</v>
      </c>
      <c r="F1828" s="156" t="str">
        <f>'Reported burning'!G1828</f>
        <v>ND</v>
      </c>
      <c r="G1828" s="156" t="str">
        <f>'Reported burning'!F1828</f>
        <v>Forest</v>
      </c>
      <c r="H1828" s="156"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5352</v>
      </c>
      <c r="AB1828" s="3"/>
    </row>
    <row r="1829" spans="1:28" ht="32.5" customHeight="1">
      <c r="A1829" s="156" t="str">
        <f>'Reported burning'!A1829</f>
        <v>210c</v>
      </c>
      <c r="B1829" s="156" t="str">
        <f>'Reported burning'!B1829</f>
        <v>210c.1</v>
      </c>
      <c r="C1829" s="156" t="str">
        <f>'Reported burning'!C1829</f>
        <v>Human, deliberate</v>
      </c>
      <c r="D1829" s="156" t="str">
        <f>'Reported burning'!D1829</f>
        <v>Crop field preparation</v>
      </c>
      <c r="E1829" s="156" t="str">
        <f>'Reported burning'!E1829</f>
        <v>Cropping, Swidden</v>
      </c>
      <c r="F1829" s="156" t="str">
        <f>'Reported burning'!F1829</f>
        <v>Forest</v>
      </c>
      <c r="G1829" s="156" t="str">
        <f>'Reported burning'!G1829</f>
        <v>ND</v>
      </c>
      <c r="H1829" s="156"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6" t="str">
        <f>'Reported burning'!A1830</f>
        <v>210c</v>
      </c>
      <c r="B1830" s="156" t="str">
        <f>'Reported burning'!B1830</f>
        <v>210c.2</v>
      </c>
      <c r="C1830" s="156" t="str">
        <f>'Reported burning'!C1830</f>
        <v>Human, deliberate</v>
      </c>
      <c r="D1830" s="156" t="str">
        <f>'Reported burning'!D1830</f>
        <v>Land clearance</v>
      </c>
      <c r="E1830" s="156" t="str">
        <f>'Reported burning'!E1830</f>
        <v>Cropping, Swidden</v>
      </c>
      <c r="F1830" s="156" t="str">
        <f>'Reported burning'!F1830</f>
        <v>Forest</v>
      </c>
      <c r="G1830" s="156" t="str">
        <f>'Reported burning'!G1830</f>
        <v>ND</v>
      </c>
      <c r="H1830" s="156"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6" t="str">
        <f>'Reported burning'!A1831</f>
        <v>210c</v>
      </c>
      <c r="B1831" s="156" t="str">
        <f>'Reported burning'!B1831</f>
        <v>210c.3</v>
      </c>
      <c r="C1831" s="156" t="str">
        <f>'Reported burning'!C1831</f>
        <v>Human, deliberate</v>
      </c>
      <c r="D1831" s="156" t="str">
        <f>'Reported burning'!D1831</f>
        <v>Land clearance</v>
      </c>
      <c r="E1831" s="156" t="str">
        <f>'Reported burning'!E1831</f>
        <v>Cropping, Monoculture, Market-oriented</v>
      </c>
      <c r="F1831" s="156" t="str">
        <f>'Reported burning'!F1831</f>
        <v>Forest</v>
      </c>
      <c r="G1831" s="156" t="str">
        <f>'Reported burning'!G1831</f>
        <v>ND</v>
      </c>
      <c r="H1831" s="156"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6" t="str">
        <f>'Reported burning'!A1832</f>
        <v>211a</v>
      </c>
      <c r="B1832" s="156" t="str">
        <f>'Reported burning'!B1832</f>
        <v>211a.1</v>
      </c>
      <c r="C1832" s="156" t="str">
        <f>'Reported burning'!C1832</f>
        <v>Human, deliberate</v>
      </c>
      <c r="D1832" s="156" t="str">
        <f>'Reported burning'!D1832</f>
        <v>Hunting</v>
      </c>
      <c r="E1832" s="156" t="str">
        <f>'Reported burning'!E1832</f>
        <v>Forestry, Traditional</v>
      </c>
      <c r="F1832" s="156" t="str">
        <f>'Reported burning'!F1832</f>
        <v>Shrubland (Mixed forest &amp; grassland)</v>
      </c>
      <c r="G1832" s="156" t="str">
        <f>'Reported burning'!G1832</f>
        <v>ND</v>
      </c>
      <c r="H1832" s="156"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6" t="str">
        <f>'Reported burning'!A1833</f>
        <v>211a</v>
      </c>
      <c r="B1833" s="156" t="str">
        <f>'Reported burning'!B1833</f>
        <v>211a.2</v>
      </c>
      <c r="C1833" s="156" t="str">
        <f>'Reported burning'!C1833</f>
        <v>Human, deliberate</v>
      </c>
      <c r="D1833" s="156" t="str">
        <f>'Reported burning'!D1833</f>
        <v>Crop field preparation</v>
      </c>
      <c r="E1833" s="156" t="str">
        <f>'Reported burning'!E1833</f>
        <v>Cropping, Swidden</v>
      </c>
      <c r="F1833" s="156" t="str">
        <f>'Reported burning'!F1833</f>
        <v>Secondary vegetation</v>
      </c>
      <c r="G1833" s="156" t="str">
        <f>'Reported burning'!G1833</f>
        <v>ND</v>
      </c>
      <c r="H1833" s="156"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5368</v>
      </c>
      <c r="AB1833" s="4" t="s">
        <v>5367</v>
      </c>
    </row>
    <row r="1834" spans="1:28" ht="29" customHeight="1">
      <c r="A1834" s="156" t="str">
        <f>'Reported burning'!A1834</f>
        <v>212a</v>
      </c>
      <c r="B1834" s="156" t="str">
        <f>'Reported burning'!B1834</f>
        <v>212a.1</v>
      </c>
      <c r="C1834" s="156" t="str">
        <f>'Reported burning'!C1834</f>
        <v>Human, deliberate</v>
      </c>
      <c r="D1834" s="156" t="str">
        <f>'Reported burning'!D1834</f>
        <v>Pyrome management</v>
      </c>
      <c r="E1834" s="156" t="str">
        <f>'Reported burning'!E1834</f>
        <v>Forestry, Traditional</v>
      </c>
      <c r="F1834" s="156" t="str">
        <f>'Reported burning'!F1834</f>
        <v>Forest</v>
      </c>
      <c r="G1834" s="156" t="str">
        <f>'Reported burning'!G1834</f>
        <v>ND</v>
      </c>
      <c r="H1834" s="156"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5378</v>
      </c>
      <c r="AB1834" s="3"/>
    </row>
    <row r="1835" spans="1:28" ht="33.5" customHeight="1">
      <c r="A1835" s="156" t="str">
        <f>'Reported burning'!A1835</f>
        <v>212a</v>
      </c>
      <c r="B1835" s="156" t="str">
        <f>'Reported burning'!B1835</f>
        <v>212a.2</v>
      </c>
      <c r="C1835" s="156" t="str">
        <f>'Reported burning'!C1835</f>
        <v>Human, deliberate</v>
      </c>
      <c r="D1835" s="156" t="str">
        <f>'Reported burning'!D1835</f>
        <v>Pasture renewal</v>
      </c>
      <c r="E1835" s="156" t="str">
        <f>'Reported burning'!E1835</f>
        <v>Cattle, Extensive</v>
      </c>
      <c r="F1835" s="156" t="str">
        <f>'Reported burning'!F1835</f>
        <v>Grassland</v>
      </c>
      <c r="G1835" s="156" t="str">
        <f>'Reported burning'!G1835</f>
        <v>ND</v>
      </c>
      <c r="H1835" s="156"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5377</v>
      </c>
      <c r="AB1835" s="3"/>
    </row>
    <row r="1836" spans="1:28" ht="29" customHeight="1">
      <c r="A1836" s="156" t="str">
        <f>'Reported burning'!A1836</f>
        <v>212a</v>
      </c>
      <c r="B1836" s="156" t="str">
        <f>'Reported burning'!B1836</f>
        <v>212a.3</v>
      </c>
      <c r="C1836" s="156" t="str">
        <f>'Reported burning'!C1836</f>
        <v>Human, deliberate</v>
      </c>
      <c r="D1836" s="156" t="str">
        <f>'Reported burning'!D1836</f>
        <v>Harvesting of NTFP</v>
      </c>
      <c r="E1836" s="156" t="str">
        <f>'Reported burning'!E1836</f>
        <v>Forestry, Traditional</v>
      </c>
      <c r="F1836" s="156" t="str">
        <f>'Reported burning'!F1836</f>
        <v>Forest</v>
      </c>
      <c r="G1836" s="156" t="str">
        <f>'Reported burning'!G1836</f>
        <v>ND</v>
      </c>
      <c r="H1836" s="156"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5378</v>
      </c>
      <c r="AB1836" s="3"/>
    </row>
    <row r="1837" spans="1:28" ht="37" customHeight="1">
      <c r="A1837" s="156" t="str">
        <f>'Reported burning'!A1837</f>
        <v>213a</v>
      </c>
      <c r="B1837" s="156" t="str">
        <f>'Reported burning'!B1837</f>
        <v>213a.1</v>
      </c>
      <c r="C1837" s="156" t="str">
        <f>'Reported burning'!C1837</f>
        <v>Human, deliberate</v>
      </c>
      <c r="D1837" s="156" t="str">
        <f>'Reported burning'!D1837</f>
        <v>Pyrome management</v>
      </c>
      <c r="E1837" s="156" t="str">
        <f>'Reported burning'!E1837</f>
        <v>Biodiversity conservation</v>
      </c>
      <c r="F1837" s="156" t="str">
        <f>'Reported burning'!F1837</f>
        <v>Shrubland (Mixed forest &amp; grassland)</v>
      </c>
      <c r="G1837" s="156" t="str">
        <f>'Reported burning'!G1837</f>
        <v>ND</v>
      </c>
      <c r="H1837" s="156"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5396</v>
      </c>
      <c r="AB1837" s="4" t="s">
        <v>5392</v>
      </c>
    </row>
    <row r="1838" spans="1:28" ht="50" customHeight="1">
      <c r="A1838" s="156" t="str">
        <f>'Reported burning'!A1838</f>
        <v>213a</v>
      </c>
      <c r="B1838" s="156" t="str">
        <f>'Reported burning'!B1838</f>
        <v>213a.2</v>
      </c>
      <c r="C1838" s="156" t="str">
        <f>'Reported burning'!C1838</f>
        <v>Human, deliberate</v>
      </c>
      <c r="D1838" s="156" t="str">
        <f>'Reported burning'!D1838</f>
        <v>Pyrome management</v>
      </c>
      <c r="E1838" s="156" t="str">
        <f>'Reported burning'!E1838</f>
        <v>Forestry, Traditional</v>
      </c>
      <c r="F1838" s="156" t="str">
        <f>'Reported burning'!F1838</f>
        <v>Shrubland (Mixed forest &amp; grassland)</v>
      </c>
      <c r="G1838" s="156" t="str">
        <f>'Reported burning'!G1838</f>
        <v>ND</v>
      </c>
      <c r="H1838" s="156"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5397</v>
      </c>
      <c r="AB1838" s="4" t="s">
        <v>5391</v>
      </c>
    </row>
    <row r="1839" spans="1:28" ht="34.5" customHeight="1">
      <c r="A1839" s="156" t="str">
        <f>'Reported burning'!A1839</f>
        <v>213a</v>
      </c>
      <c r="B1839" s="156" t="str">
        <f>'Reported burning'!B1839</f>
        <v>213a.3</v>
      </c>
      <c r="C1839" s="156" t="str">
        <f>'Reported burning'!C1839</f>
        <v>Human, escaped</v>
      </c>
      <c r="D1839" s="156" t="str">
        <f>'Reported burning'!D1839</f>
        <v>Pyrome management</v>
      </c>
      <c r="E1839" s="156" t="str">
        <f>'Reported burning'!E1839</f>
        <v>Biodiversity conservation</v>
      </c>
      <c r="F1839" s="156" t="str">
        <f>'Reported burning'!F1839</f>
        <v>Shrubland (Mixed forest &amp; grassland)</v>
      </c>
      <c r="G1839" s="156" t="str">
        <f>'Reported burning'!G1839</f>
        <v>ND</v>
      </c>
      <c r="H1839" s="156"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6" t="str">
        <f>'Reported burning'!A1840</f>
        <v>214a</v>
      </c>
      <c r="B1840" s="156" t="str">
        <f>'Reported burning'!B1840</f>
        <v>214a.1</v>
      </c>
      <c r="C1840" s="156" t="str">
        <f>'Reported burning'!C1840</f>
        <v>Human, deliberate</v>
      </c>
      <c r="D1840" s="156" t="str">
        <f>'Reported burning'!D1840</f>
        <v>Pyrome management</v>
      </c>
      <c r="E1840" s="156" t="str">
        <f>'Reported burning'!E1840</f>
        <v>Forestry, Traditional</v>
      </c>
      <c r="F1840" s="156" t="str">
        <f>'Reported burning'!F1840</f>
        <v>Shrubland (Mixed forest &amp; grassland)</v>
      </c>
      <c r="G1840" s="156" t="str">
        <f>'Reported burning'!G1840</f>
        <v>ND</v>
      </c>
      <c r="H1840" s="156"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6" t="str">
        <f>'Reported burning'!A1841</f>
        <v>214a</v>
      </c>
      <c r="B1841" s="156" t="str">
        <f>'Reported burning'!B1841</f>
        <v>214a.2</v>
      </c>
      <c r="C1841" s="156" t="str">
        <f>'Reported burning'!C1841</f>
        <v>Human, deliberate</v>
      </c>
      <c r="D1841" s="156" t="str">
        <f>'Reported burning'!D1841</f>
        <v>Hunting</v>
      </c>
      <c r="E1841" s="156" t="str">
        <f>'Reported burning'!E1841</f>
        <v>Forestry, Traditional</v>
      </c>
      <c r="F1841" s="156" t="str">
        <f>'Reported burning'!F1841</f>
        <v>Shrubland (Mixed forest &amp; grassland)</v>
      </c>
      <c r="G1841" s="156" t="str">
        <f>'Reported burning'!G1841</f>
        <v>ND</v>
      </c>
      <c r="H1841" s="156"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6" t="str">
        <f>'Reported burning'!A1842</f>
        <v>214a</v>
      </c>
      <c r="B1842" s="156" t="str">
        <f>'Reported burning'!B1842</f>
        <v>214a.3</v>
      </c>
      <c r="C1842" s="156" t="str">
        <f>'Reported burning'!C1842</f>
        <v>Human, deliberate</v>
      </c>
      <c r="D1842" s="156" t="str">
        <f>'Reported burning'!D1842</f>
        <v>ND</v>
      </c>
      <c r="E1842" s="156" t="str">
        <f>'Reported burning'!E1842</f>
        <v>Forestry, Traditional</v>
      </c>
      <c r="F1842" s="156" t="str">
        <f>'Reported burning'!F1842</f>
        <v>Shrubland (Mixed forest &amp; grassland)</v>
      </c>
      <c r="G1842" s="156" t="str">
        <f>'Reported burning'!G1842</f>
        <v>ND</v>
      </c>
      <c r="H1842" s="156"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6" t="str">
        <f>'Reported burning'!A1843</f>
        <v>214a</v>
      </c>
      <c r="B1843" s="156" t="str">
        <f>'Reported burning'!B1843</f>
        <v>214a.4</v>
      </c>
      <c r="C1843" s="156" t="str">
        <f>'Reported burning'!C1843</f>
        <v>Human, deliberate</v>
      </c>
      <c r="D1843" s="156" t="str">
        <f>'Reported burning'!D1843</f>
        <v>Pasture renewal</v>
      </c>
      <c r="E1843" s="156" t="str">
        <f>'Reported burning'!E1843</f>
        <v>Cattle, Intensive</v>
      </c>
      <c r="F1843" s="156" t="str">
        <f>'Reported burning'!F1843</f>
        <v>Pasture</v>
      </c>
      <c r="G1843" s="156" t="str">
        <f>'Reported burning'!G1843</f>
        <v>ND</v>
      </c>
      <c r="H1843" s="156"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5412</v>
      </c>
      <c r="AB1843" s="3"/>
    </row>
    <row r="1844" spans="1:28" ht="45.5" customHeight="1">
      <c r="A1844" s="156" t="str">
        <f>'Reported burning'!A1844</f>
        <v>214a</v>
      </c>
      <c r="B1844" s="156" t="str">
        <f>'Reported burning'!B1844</f>
        <v>214a.5</v>
      </c>
      <c r="C1844" s="156" t="str">
        <f>'Reported burning'!C1844</f>
        <v>Human, deliberate</v>
      </c>
      <c r="D1844" s="156" t="str">
        <f>'Reported burning'!D1844</f>
        <v>Pyrome management</v>
      </c>
      <c r="E1844" s="156" t="str">
        <f>'Reported burning'!E1844</f>
        <v>Cattle, Intensive</v>
      </c>
      <c r="F1844" s="156" t="str">
        <f>'Reported burning'!F1844</f>
        <v>Pasture</v>
      </c>
      <c r="G1844" s="156" t="str">
        <f>'Reported burning'!G1844</f>
        <v>ND</v>
      </c>
      <c r="H1844" s="156"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2" t="str">
        <f>'Reported burning'!A1845</f>
        <v>215a</v>
      </c>
      <c r="B1845" s="152" t="str">
        <f>'Reported burning'!B1845</f>
        <v>215a.1</v>
      </c>
      <c r="C1845" s="152" t="str">
        <f>'Reported burning'!C1845</f>
        <v>Human, deliberate</v>
      </c>
      <c r="D1845" s="152" t="str">
        <f>'Reported burning'!D1845</f>
        <v>Pyrome management</v>
      </c>
      <c r="E1845" s="152" t="str">
        <f>'Reported burning'!E1845</f>
        <v>Biodiversity conservation</v>
      </c>
      <c r="F1845" s="152" t="str">
        <f>'Reported burning'!F1845</f>
        <v>Forest</v>
      </c>
      <c r="G1845" s="152" t="str">
        <f>'Reported burning'!G1845</f>
        <v>ND</v>
      </c>
      <c r="H1845" s="152"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2" t="str">
        <f>'Reported burning'!A1846</f>
        <v>215a</v>
      </c>
      <c r="B1846" s="152" t="str">
        <f>'Reported burning'!B1846</f>
        <v>215a.2</v>
      </c>
      <c r="C1846" s="152" t="str">
        <f>'Reported burning'!C1846</f>
        <v>Human, deliberate</v>
      </c>
      <c r="D1846" s="152" t="str">
        <f>'Reported burning'!D1846</f>
        <v>Harvesting of NTFP</v>
      </c>
      <c r="E1846" s="152" t="str">
        <f>'Reported burning'!E1846</f>
        <v>Forestry, Traditional</v>
      </c>
      <c r="F1846" s="152" t="str">
        <f>'Reported burning'!F1846</f>
        <v>Grassland</v>
      </c>
      <c r="G1846" s="152" t="str">
        <f>'Reported burning'!G1846</f>
        <v>ND</v>
      </c>
      <c r="H1846" s="152"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5419</v>
      </c>
    </row>
    <row r="1847" spans="1:28" ht="45.5" customHeight="1">
      <c r="A1847" s="156" t="str">
        <f>'Reported burning'!A1847</f>
        <v>216a</v>
      </c>
      <c r="B1847" s="156" t="str">
        <f>'Reported burning'!B1847</f>
        <v>216a.1</v>
      </c>
      <c r="C1847" s="156" t="str">
        <f>'Reported burning'!C1847</f>
        <v>Human, deliberate</v>
      </c>
      <c r="D1847" s="156" t="str">
        <f>'Reported burning'!D1847</f>
        <v>Pyrome management</v>
      </c>
      <c r="E1847" s="156" t="str">
        <f>'Reported burning'!E1847</f>
        <v>Biodiversity conservation</v>
      </c>
      <c r="F1847" s="156" t="str">
        <f>'Reported burning'!F1847</f>
        <v>Shrubland (Mixed forest &amp; grassland)</v>
      </c>
      <c r="G1847" s="156" t="str">
        <f>'Reported burning'!G1847</f>
        <v>ND</v>
      </c>
      <c r="H1847" s="156"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6" t="str">
        <f>'Reported burning'!A1848</f>
        <v>216a</v>
      </c>
      <c r="B1848" s="156" t="str">
        <f>'Reported burning'!B1848</f>
        <v>216a.2</v>
      </c>
      <c r="C1848" s="156" t="str">
        <f>'Reported burning'!C1848</f>
        <v>Human, deliberate</v>
      </c>
      <c r="D1848" s="156" t="str">
        <f>'Reported burning'!D1848</f>
        <v>Pyrome management</v>
      </c>
      <c r="E1848" s="156" t="str">
        <f>'Reported burning'!E1848</f>
        <v>Forestry, Traditional</v>
      </c>
      <c r="F1848" s="156" t="str">
        <f>'Reported burning'!F1848</f>
        <v>Shrubland (Mixed forest &amp; grassland)</v>
      </c>
      <c r="G1848" s="156" t="str">
        <f>'Reported burning'!G1848</f>
        <v>ND</v>
      </c>
      <c r="H1848" s="156"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6" t="str">
        <f>'Reported burning'!A1849</f>
        <v>217a</v>
      </c>
      <c r="B1849" s="156" t="str">
        <f>'Reported burning'!B1849</f>
        <v>217a.1</v>
      </c>
      <c r="C1849" s="156" t="str">
        <f>'Reported burning'!C1849</f>
        <v>Human, deliberate</v>
      </c>
      <c r="D1849" s="156" t="str">
        <f>'Reported burning'!D1849</f>
        <v>Pyrome management</v>
      </c>
      <c r="E1849" s="156" t="str">
        <f>'Reported burning'!E1849</f>
        <v>Biodiversity conservation</v>
      </c>
      <c r="F1849" s="156" t="str">
        <f>'Reported burning'!F1849</f>
        <v>Forest</v>
      </c>
      <c r="G1849" s="156" t="str">
        <f>'Reported burning'!G1849</f>
        <v>ND</v>
      </c>
      <c r="H1849" s="156"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5435</v>
      </c>
      <c r="AB1849" s="3"/>
    </row>
    <row r="1850" spans="1:28" ht="31.5" customHeight="1">
      <c r="A1850" s="156" t="str">
        <f>'Reported burning'!A1850</f>
        <v>217a</v>
      </c>
      <c r="B1850" s="156" t="str">
        <f>'Reported burning'!B1850</f>
        <v>217a.2</v>
      </c>
      <c r="C1850" s="156" t="str">
        <f>'Reported burning'!C1850</f>
        <v>Human, deliberate</v>
      </c>
      <c r="D1850" s="156" t="str">
        <f>'Reported burning'!D1850</f>
        <v>Pyrome management</v>
      </c>
      <c r="E1850" s="156" t="str">
        <f>'Reported burning'!E1850</f>
        <v>Forestry, Traditional</v>
      </c>
      <c r="F1850" s="156" t="str">
        <f>'Reported burning'!F1850</f>
        <v>Forest</v>
      </c>
      <c r="G1850" s="156" t="str">
        <f>'Reported burning'!G1850</f>
        <v>ND</v>
      </c>
      <c r="H1850" s="156"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5435</v>
      </c>
      <c r="AB1850" s="3"/>
    </row>
    <row r="1851" spans="1:28" ht="31.5" customHeight="1">
      <c r="A1851" s="156" t="str">
        <f>'Reported burning'!A1851</f>
        <v>217a</v>
      </c>
      <c r="B1851" s="156" t="str">
        <f>'Reported burning'!B1851</f>
        <v>217a.3</v>
      </c>
      <c r="C1851" s="156" t="str">
        <f>'Reported burning'!C1851</f>
        <v>Lightning</v>
      </c>
      <c r="D1851" s="156" t="str">
        <f>'Reported burning'!D1851</f>
        <v>ND</v>
      </c>
      <c r="E1851" s="156" t="str">
        <f>'Reported burning'!E1851</f>
        <v>ND</v>
      </c>
      <c r="F1851" s="156" t="str">
        <f>'Reported burning'!F1851</f>
        <v>ND</v>
      </c>
      <c r="G1851" s="156" t="str">
        <f>'Reported burning'!G1851</f>
        <v>Forest</v>
      </c>
      <c r="H1851" s="156"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5436</v>
      </c>
      <c r="AB1851" s="3"/>
    </row>
    <row r="1852" spans="1:28" ht="31.5" customHeight="1">
      <c r="A1852" s="156" t="str">
        <f>'Reported burning'!A1852</f>
        <v>217a</v>
      </c>
      <c r="B1852" s="156" t="str">
        <f>'Reported burning'!B1852</f>
        <v>217a.4</v>
      </c>
      <c r="C1852" s="156" t="str">
        <f>'Reported burning'!C1852</f>
        <v>Human, deliberate</v>
      </c>
      <c r="D1852" s="156" t="str">
        <f>'Reported burning'!D1852</f>
        <v>Pyrome management</v>
      </c>
      <c r="E1852" s="156" t="str">
        <f>'Reported burning'!E1852</f>
        <v>Biodiversity conservation</v>
      </c>
      <c r="F1852" s="156" t="str">
        <f>'Reported burning'!F1852</f>
        <v>Forest</v>
      </c>
      <c r="G1852" s="156" t="str">
        <f>'Reported burning'!G1852</f>
        <v>ND</v>
      </c>
      <c r="H1852" s="156"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5435</v>
      </c>
      <c r="AB1852" s="3"/>
    </row>
    <row r="1853" spans="1:28" ht="31.5" customHeight="1">
      <c r="A1853" s="156" t="str">
        <f>'Reported burning'!A1853</f>
        <v>217a</v>
      </c>
      <c r="B1853" s="156" t="str">
        <f>'Reported burning'!B1853</f>
        <v>217a.5</v>
      </c>
      <c r="C1853" s="156" t="str">
        <f>'Reported burning'!C1853</f>
        <v>Human, deliberate</v>
      </c>
      <c r="D1853" s="156" t="str">
        <f>'Reported burning'!D1853</f>
        <v>Pyrome management</v>
      </c>
      <c r="E1853" s="156" t="str">
        <f>'Reported burning'!E1853</f>
        <v>Forestry, Traditional</v>
      </c>
      <c r="F1853" s="156" t="str">
        <f>'Reported burning'!F1853</f>
        <v>Forest</v>
      </c>
      <c r="G1853" s="156" t="str">
        <f>'Reported burning'!G1853</f>
        <v>ND</v>
      </c>
      <c r="H1853" s="156"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5435</v>
      </c>
      <c r="AB1853" s="3"/>
    </row>
    <row r="1854" spans="1:28" ht="51.5" customHeight="1">
      <c r="A1854" s="152" t="str">
        <f>'Reported burning'!A1854</f>
        <v>218a</v>
      </c>
      <c r="B1854" s="152" t="str">
        <f>'Reported burning'!B1854</f>
        <v>218a.1</v>
      </c>
      <c r="C1854" s="152" t="str">
        <f>'Reported burning'!C1854</f>
        <v>Human, deliberate</v>
      </c>
      <c r="D1854" s="152" t="str">
        <f>'Reported burning'!D1854</f>
        <v>Crop field preparation</v>
      </c>
      <c r="E1854" s="152" t="str">
        <f>'Reported burning'!E1854</f>
        <v>Cropping, Swidden</v>
      </c>
      <c r="F1854" s="152" t="str">
        <f>'Reported burning'!F1854</f>
        <v>Secondary vegetation</v>
      </c>
      <c r="G1854" s="152" t="str">
        <f>'Reported burning'!G1854</f>
        <v>ND</v>
      </c>
      <c r="H1854" s="152"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5463</v>
      </c>
    </row>
    <row r="1855" spans="1:28" ht="50.5" customHeight="1">
      <c r="A1855" s="152" t="str">
        <f>'Reported burning'!A1855</f>
        <v>218a</v>
      </c>
      <c r="B1855" s="152" t="str">
        <f>'Reported burning'!B1855</f>
        <v>218a.2</v>
      </c>
      <c r="C1855" s="152" t="str">
        <f>'Reported burning'!C1855</f>
        <v>Human, deliberate</v>
      </c>
      <c r="D1855" s="152" t="str">
        <f>'Reported burning'!D1855</f>
        <v>Crop field preparation</v>
      </c>
      <c r="E1855" s="152" t="str">
        <f>'Reported burning'!E1855</f>
        <v>Cropping, Swidden</v>
      </c>
      <c r="F1855" s="152" t="str">
        <f>'Reported burning'!F1855</f>
        <v>Cropland</v>
      </c>
      <c r="G1855" s="152" t="str">
        <f>'Reported burning'!G1855</f>
        <v>ND</v>
      </c>
      <c r="H1855" s="152"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2" t="str">
        <f>'Reported burning'!A1856</f>
        <v>218a</v>
      </c>
      <c r="B1856" s="152" t="str">
        <f>'Reported burning'!B1856</f>
        <v>218a.3</v>
      </c>
      <c r="C1856" s="152" t="str">
        <f>'Reported burning'!C1856</f>
        <v>Human, deliberate</v>
      </c>
      <c r="D1856" s="152" t="str">
        <f>'Reported burning'!D1856</f>
        <v>Crop residue burning</v>
      </c>
      <c r="E1856" s="152" t="str">
        <f>'Reported burning'!E1856</f>
        <v>Cropping, Swidden</v>
      </c>
      <c r="F1856" s="152" t="str">
        <f>'Reported burning'!F1856</f>
        <v>Cropland</v>
      </c>
      <c r="G1856" s="152" t="str">
        <f>'Reported burning'!G1856</f>
        <v>ND</v>
      </c>
      <c r="H1856" s="152"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5460</v>
      </c>
      <c r="AB1856" s="3"/>
    </row>
    <row r="1857" spans="1:28" ht="50.5" customHeight="1">
      <c r="A1857" s="152" t="str">
        <f>'Reported burning'!A1857</f>
        <v>218a</v>
      </c>
      <c r="B1857" s="152" t="str">
        <f>'Reported burning'!B1857</f>
        <v>218a.4</v>
      </c>
      <c r="C1857" s="152" t="str">
        <f>'Reported burning'!C1857</f>
        <v>Human, deliberate</v>
      </c>
      <c r="D1857" s="152" t="str">
        <f>'Reported burning'!D1857</f>
        <v>Crop field preparation</v>
      </c>
      <c r="E1857" s="152" t="str">
        <f>'Reported burning'!E1857</f>
        <v>Cropping, Monoculture, Subsistence-oriented</v>
      </c>
      <c r="F1857" s="152" t="str">
        <f>'Reported burning'!F1857</f>
        <v>Cropland</v>
      </c>
      <c r="G1857" s="152" t="str">
        <f>'Reported burning'!G1857</f>
        <v>ND</v>
      </c>
      <c r="H1857" s="152"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5459</v>
      </c>
      <c r="AB1857" s="3"/>
    </row>
    <row r="1858" spans="1:28" ht="50.5" customHeight="1">
      <c r="A1858" s="152" t="str">
        <f>'Reported burning'!A1858</f>
        <v>218a</v>
      </c>
      <c r="B1858" s="152" t="str">
        <f>'Reported burning'!B1858</f>
        <v>218a.5</v>
      </c>
      <c r="C1858" s="152" t="str">
        <f>'Reported burning'!C1858</f>
        <v>Human, deliberate</v>
      </c>
      <c r="D1858" s="152" t="str">
        <f>'Reported burning'!D1858</f>
        <v>Pasture renewal</v>
      </c>
      <c r="E1858" s="152" t="str">
        <f>'Reported burning'!E1858</f>
        <v>Pastoralism, Migratory</v>
      </c>
      <c r="F1858" s="152" t="str">
        <f>'Reported burning'!F1858</f>
        <v>Shrubland (Mixed forest &amp; grassland)</v>
      </c>
      <c r="G1858" s="152" t="str">
        <f>'Reported burning'!G1858</f>
        <v>ND</v>
      </c>
      <c r="H1858" s="152"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5460</v>
      </c>
      <c r="AB1858" s="3"/>
    </row>
    <row r="1859" spans="1:28" ht="50.5" customHeight="1">
      <c r="A1859" s="152" t="str">
        <f>'Reported burning'!A1859</f>
        <v>218a</v>
      </c>
      <c r="B1859" s="152" t="str">
        <f>'Reported burning'!B1859</f>
        <v>218a.6</v>
      </c>
      <c r="C1859" s="152" t="str">
        <f>'Reported burning'!C1859</f>
        <v>Human, deliberate</v>
      </c>
      <c r="D1859" s="152" t="str">
        <f>'Reported burning'!D1859</f>
        <v>Accessibility</v>
      </c>
      <c r="E1859" s="152" t="str">
        <f>'Reported burning'!E1859</f>
        <v>Forestry, Traditional</v>
      </c>
      <c r="F1859" s="152" t="str">
        <f>'Reported burning'!F1859</f>
        <v>Shrubland (Mixed forest &amp; grassland)</v>
      </c>
      <c r="G1859" s="152" t="str">
        <f>'Reported burning'!G1859</f>
        <v>ND</v>
      </c>
      <c r="H1859" s="152"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2" t="str">
        <f>'Reported burning'!A1860</f>
        <v>218a</v>
      </c>
      <c r="B1860" s="152" t="str">
        <f>'Reported burning'!B1860</f>
        <v>218a.7</v>
      </c>
      <c r="C1860" s="152" t="str">
        <f>'Reported burning'!C1860</f>
        <v>Human, deliberate</v>
      </c>
      <c r="D1860" s="152" t="str">
        <f>'Reported burning'!D1860</f>
        <v>Hunting</v>
      </c>
      <c r="E1860" s="152" t="str">
        <f>'Reported burning'!E1860</f>
        <v>Forestry, Traditional</v>
      </c>
      <c r="F1860" s="152" t="str">
        <f>'Reported burning'!F1860</f>
        <v>Shrubland (Mixed forest &amp; grassland)</v>
      </c>
      <c r="G1860" s="152" t="str">
        <f>'Reported burning'!G1860</f>
        <v>ND</v>
      </c>
      <c r="H1860" s="152"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2" t="str">
        <f>'Reported burning'!A1861</f>
        <v>218a</v>
      </c>
      <c r="B1861" s="152" t="str">
        <f>'Reported burning'!B1861</f>
        <v>218a.8</v>
      </c>
      <c r="C1861" s="152" t="str">
        <f>'Reported burning'!C1861</f>
        <v>Human, deliberate</v>
      </c>
      <c r="D1861" s="152" t="str">
        <f>'Reported burning'!D1861</f>
        <v>Harvesting of NTFP</v>
      </c>
      <c r="E1861" s="152" t="str">
        <f>'Reported burning'!E1861</f>
        <v>Forestry, Traditional</v>
      </c>
      <c r="F1861" s="152" t="str">
        <f>'Reported burning'!F1861</f>
        <v>Shrubland (Mixed forest &amp; grassland)</v>
      </c>
      <c r="G1861" s="152" t="str">
        <f>'Reported burning'!G1861</f>
        <v>ND</v>
      </c>
      <c r="H1861" s="152"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6" t="str">
        <f>'Reported burning'!A1862</f>
        <v>218a</v>
      </c>
      <c r="B1862" s="156" t="str">
        <f>'Reported burning'!B1862</f>
        <v>218a.9</v>
      </c>
      <c r="C1862" s="156" t="str">
        <f>'Reported burning'!C1862</f>
        <v>Human, deliberate</v>
      </c>
      <c r="D1862" s="156" t="str">
        <f>'Reported burning'!D1862</f>
        <v>Pest management</v>
      </c>
      <c r="E1862" s="156" t="str">
        <f>'Reported burning'!E1862</f>
        <v>Pastoralism, Migratory</v>
      </c>
      <c r="F1862" s="156" t="str">
        <f>'Reported burning'!F1862</f>
        <v>Shrubland (Mixed forest &amp; grassland)</v>
      </c>
      <c r="G1862" s="156" t="str">
        <f>'Reported burning'!G1862</f>
        <v>ND</v>
      </c>
      <c r="H1862" s="156"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6" t="str">
        <f>'Reported burning'!A1863</f>
        <v>218a</v>
      </c>
      <c r="B1863" s="156" t="str">
        <f>'Reported burning'!B1863</f>
        <v>218a.10</v>
      </c>
      <c r="C1863" s="156" t="str">
        <f>'Reported burning'!C1863</f>
        <v>Human, escaped</v>
      </c>
      <c r="D1863" s="156" t="str">
        <f>'Reported burning'!D1863</f>
        <v>Crop field preparation</v>
      </c>
      <c r="E1863" s="156" t="str">
        <f>'Reported burning'!E1863</f>
        <v>Cropping, Swidden</v>
      </c>
      <c r="F1863" s="156" t="str">
        <f>'Reported burning'!F1863</f>
        <v>Secondary vegetation</v>
      </c>
      <c r="G1863" s="156" t="str">
        <f>'Reported burning'!G1863</f>
        <v>ND</v>
      </c>
      <c r="H1863" s="156"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6" t="str">
        <f>'Reported burning'!A1864</f>
        <v>218a</v>
      </c>
      <c r="B1864" s="156" t="str">
        <f>'Reported burning'!B1864</f>
        <v>218a.11</v>
      </c>
      <c r="C1864" s="156" t="str">
        <f>'Reported burning'!C1864</f>
        <v>Human, escaped</v>
      </c>
      <c r="D1864" s="156" t="str">
        <f>'Reported burning'!D1864</f>
        <v>Crop field preparation</v>
      </c>
      <c r="E1864" s="156" t="str">
        <f>'Reported burning'!E1864</f>
        <v>Cropping, Swidden</v>
      </c>
      <c r="F1864" s="156" t="str">
        <f>'Reported burning'!F1864</f>
        <v>Cropland</v>
      </c>
      <c r="G1864" s="156" t="str">
        <f>'Reported burning'!G1864</f>
        <v>ND</v>
      </c>
      <c r="H1864" s="156"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6" t="str">
        <f>'Reported burning'!A1865</f>
        <v>218a</v>
      </c>
      <c r="B1865" s="156" t="str">
        <f>'Reported burning'!B1865</f>
        <v>218a.12</v>
      </c>
      <c r="C1865" s="156" t="str">
        <f>'Reported burning'!C1865</f>
        <v>Human, escaped</v>
      </c>
      <c r="D1865" s="156" t="str">
        <f>'Reported burning'!D1865</f>
        <v>Crop residue burning</v>
      </c>
      <c r="E1865" s="156" t="str">
        <f>'Reported burning'!E1865</f>
        <v>Cropping, Swidden</v>
      </c>
      <c r="F1865" s="156" t="str">
        <f>'Reported burning'!F1865</f>
        <v>Cropland</v>
      </c>
      <c r="G1865" s="156" t="str">
        <f>'Reported burning'!G1865</f>
        <v>ND</v>
      </c>
      <c r="H1865" s="156"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5460</v>
      </c>
      <c r="AB1865" s="3"/>
    </row>
    <row r="1866" spans="1:28" ht="29">
      <c r="A1866" s="152" t="str">
        <f>'Reported burning'!A1866</f>
        <v>218a</v>
      </c>
      <c r="B1866" s="152" t="str">
        <f>'Reported burning'!B1866</f>
        <v>218a.13</v>
      </c>
      <c r="C1866" s="152" t="str">
        <f>'Reported burning'!C1866</f>
        <v>Human, escaped</v>
      </c>
      <c r="D1866" s="152" t="str">
        <f>'Reported burning'!D1866</f>
        <v>Crop residue burning</v>
      </c>
      <c r="E1866" s="152" t="str">
        <f>'Reported burning'!E1866</f>
        <v>Cropping, Swidden</v>
      </c>
      <c r="F1866" s="152" t="str">
        <f>'Reported burning'!F1866</f>
        <v>Shrubland (Mixed forest &amp; grassland)</v>
      </c>
      <c r="G1866" s="152" t="str">
        <f>'Reported burning'!G1866</f>
        <v>ND</v>
      </c>
      <c r="H1866" s="152"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2" t="str">
        <f>'Reported burning'!A1867</f>
        <v>218a</v>
      </c>
      <c r="B1867" s="152" t="str">
        <f>'Reported burning'!B1867</f>
        <v>218a.14</v>
      </c>
      <c r="C1867" s="152" t="str">
        <f>'Reported burning'!C1867</f>
        <v>Human, deliberate</v>
      </c>
      <c r="D1867" s="152" t="str">
        <f>'Reported burning'!D1867</f>
        <v>Land clearance</v>
      </c>
      <c r="E1867" s="152" t="str">
        <f>'Reported burning'!E1867</f>
        <v>Cropping, Monoculture, Market-oriented</v>
      </c>
      <c r="F1867" s="152" t="str">
        <f>'Reported burning'!F1867</f>
        <v>Cropland</v>
      </c>
      <c r="G1867" s="152" t="str">
        <f>'Reported burning'!G1867</f>
        <v>ND</v>
      </c>
      <c r="H1867" s="152"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5475</v>
      </c>
      <c r="AB1867" s="3"/>
    </row>
    <row r="1868" spans="1:28" ht="35.5" customHeight="1">
      <c r="A1868" s="152" t="str">
        <f>'Reported burning'!A1868</f>
        <v>218a</v>
      </c>
      <c r="B1868" s="152" t="str">
        <f>'Reported burning'!B1868</f>
        <v>218a.15</v>
      </c>
      <c r="C1868" s="152" t="str">
        <f>'Reported burning'!C1868</f>
        <v>Human, deliberate</v>
      </c>
      <c r="D1868" s="152" t="str">
        <f>'Reported burning'!D1868</f>
        <v>Vegetation management</v>
      </c>
      <c r="E1868" s="152" t="str">
        <f>'Reported burning'!E1868</f>
        <v>Cropping, Monoculture, Market-oriented</v>
      </c>
      <c r="F1868" s="152" t="str">
        <f>'Reported burning'!F1868</f>
        <v>Cropland</v>
      </c>
      <c r="G1868" s="152" t="str">
        <f>'Reported burning'!G1868</f>
        <v>ND</v>
      </c>
      <c r="H1868" s="152"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5474</v>
      </c>
      <c r="AB1868" s="3"/>
    </row>
    <row r="1869" spans="1:28" ht="42.5" customHeight="1">
      <c r="A1869" s="156" t="str">
        <f>'Reported burning'!A1869</f>
        <v>218a</v>
      </c>
      <c r="B1869" s="156" t="str">
        <f>'Reported burning'!B1869</f>
        <v>218a.16</v>
      </c>
      <c r="C1869" s="156" t="str">
        <f>'Reported burning'!C1869</f>
        <v>Human, deliberate</v>
      </c>
      <c r="D1869" s="156" t="str">
        <f>'Reported burning'!D1869</f>
        <v>Arson</v>
      </c>
      <c r="E1869" s="156" t="str">
        <f>'Reported burning'!E1869</f>
        <v>Cropping, Swidden</v>
      </c>
      <c r="F1869" s="156" t="str">
        <f>'Reported burning'!F1869</f>
        <v>Cropland</v>
      </c>
      <c r="G1869" s="156" t="str">
        <f>'Reported burning'!G1869</f>
        <v>ND</v>
      </c>
      <c r="H1869" s="156"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6" t="str">
        <f>'Reported burning'!A1870</f>
        <v>218a</v>
      </c>
      <c r="B1870" s="156" t="str">
        <f>'Reported burning'!B1870</f>
        <v>218a.17</v>
      </c>
      <c r="C1870" s="156" t="str">
        <f>'Reported burning'!C1870</f>
        <v>Human, deliberate</v>
      </c>
      <c r="D1870" s="156" t="str">
        <f>'Reported burning'!D1870</f>
        <v>Hunting</v>
      </c>
      <c r="E1870" s="156" t="str">
        <f>'Reported burning'!E1870</f>
        <v>Tourism manager</v>
      </c>
      <c r="F1870" s="156" t="str">
        <f>'Reported burning'!F1870</f>
        <v>Shrubland (Mixed forest &amp; grassland)</v>
      </c>
      <c r="G1870" s="156" t="str">
        <f>'Reported burning'!G1870</f>
        <v>ND</v>
      </c>
      <c r="H1870" s="156"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6" t="str">
        <f>'Reported burning'!A1871</f>
        <v>218a</v>
      </c>
      <c r="B1871" s="156" t="str">
        <f>'Reported burning'!B1871</f>
        <v>218a.18</v>
      </c>
      <c r="C1871" s="156" t="str">
        <f>'Reported burning'!C1871</f>
        <v>Human, deliberate</v>
      </c>
      <c r="D1871" s="156" t="str">
        <f>'Reported burning'!D1871</f>
        <v>Accessibility</v>
      </c>
      <c r="E1871" s="156" t="str">
        <f>'Reported burning'!E1871</f>
        <v>Tourism manager</v>
      </c>
      <c r="F1871" s="156" t="str">
        <f>'Reported burning'!F1871</f>
        <v>Shrubland (Mixed forest &amp; grassland)</v>
      </c>
      <c r="G1871" s="156" t="str">
        <f>'Reported burning'!G1871</f>
        <v>ND</v>
      </c>
      <c r="H1871" s="156"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6" t="str">
        <f>'Reported burning'!A1872</f>
        <v>218a</v>
      </c>
      <c r="B1872" s="156" t="str">
        <f>'Reported burning'!B1872</f>
        <v>218a.19</v>
      </c>
      <c r="C1872" s="156" t="str">
        <f>'Reported burning'!C1872</f>
        <v>Human, deliberate</v>
      </c>
      <c r="D1872" s="156" t="str">
        <f>'Reported burning'!D1872</f>
        <v>Harvesting of Timber</v>
      </c>
      <c r="E1872" s="156" t="str">
        <f>'Reported burning'!E1872</f>
        <v>Forestry, Industrial</v>
      </c>
      <c r="F1872" s="156" t="str">
        <f>'Reported burning'!F1872</f>
        <v>Forest</v>
      </c>
      <c r="G1872" s="156" t="str">
        <f>'Reported burning'!G1872</f>
        <v>ND</v>
      </c>
      <c r="H1872" s="156"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6" t="str">
        <f>'Reported burning'!A1873</f>
        <v>218b</v>
      </c>
      <c r="B1873" s="156" t="str">
        <f>'Reported burning'!B1873</f>
        <v>218b.1</v>
      </c>
      <c r="C1873" s="156" t="str">
        <f>'Reported burning'!C1873</f>
        <v>Human, deliberate</v>
      </c>
      <c r="D1873" s="156" t="str">
        <f>'Reported burning'!D1873</f>
        <v>Crop field preparation</v>
      </c>
      <c r="E1873" s="156" t="str">
        <f>'Reported burning'!E1873</f>
        <v>Cropping, Swidden</v>
      </c>
      <c r="F1873" s="156" t="str">
        <f>'Reported burning'!F1873</f>
        <v>Secondary vegetation</v>
      </c>
      <c r="G1873" s="156" t="str">
        <f>'Reported burning'!G1873</f>
        <v>ND</v>
      </c>
      <c r="H1873" s="156"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6" t="str">
        <f>'Reported burning'!A1874</f>
        <v>218b</v>
      </c>
      <c r="B1874" s="156" t="str">
        <f>'Reported burning'!B1874</f>
        <v>218b.2</v>
      </c>
      <c r="C1874" s="156" t="str">
        <f>'Reported burning'!C1874</f>
        <v>Human, deliberate</v>
      </c>
      <c r="D1874" s="156" t="str">
        <f>'Reported burning'!D1874</f>
        <v>Pasture renewal</v>
      </c>
      <c r="E1874" s="156" t="str">
        <f>'Reported burning'!E1874</f>
        <v>Pastoralism, Migratory</v>
      </c>
      <c r="F1874" s="156" t="str">
        <f>'Reported burning'!F1874</f>
        <v>Shrubland (Mixed forest &amp; grassland)</v>
      </c>
      <c r="G1874" s="156" t="str">
        <f>'Reported burning'!G1874</f>
        <v>ND</v>
      </c>
      <c r="H1874" s="156"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6" t="str">
        <f>'Reported burning'!A1875</f>
        <v>218b</v>
      </c>
      <c r="B1875" s="156" t="str">
        <f>'Reported burning'!B1875</f>
        <v>218b.3</v>
      </c>
      <c r="C1875" s="156" t="str">
        <f>'Reported burning'!C1875</f>
        <v>Human, deliberate</v>
      </c>
      <c r="D1875" s="156" t="str">
        <f>'Reported burning'!D1875</f>
        <v>Accessibility</v>
      </c>
      <c r="E1875" s="156" t="str">
        <f>'Reported burning'!E1875</f>
        <v>Forestry, Traditional</v>
      </c>
      <c r="F1875" s="156" t="str">
        <f>'Reported burning'!F1875</f>
        <v>Shrubland (Mixed forest &amp; grassland)</v>
      </c>
      <c r="G1875" s="156" t="str">
        <f>'Reported burning'!G1875</f>
        <v>ND</v>
      </c>
      <c r="H1875" s="156"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6" t="str">
        <f>'Reported burning'!A1876</f>
        <v>218b</v>
      </c>
      <c r="B1876" s="156" t="str">
        <f>'Reported burning'!B1876</f>
        <v>218b.4</v>
      </c>
      <c r="C1876" s="156" t="str">
        <f>'Reported burning'!C1876</f>
        <v>Human, deliberate</v>
      </c>
      <c r="D1876" s="156" t="str">
        <f>'Reported burning'!D1876</f>
        <v>Hunting</v>
      </c>
      <c r="E1876" s="156" t="str">
        <f>'Reported burning'!E1876</f>
        <v>Forestry, Traditional</v>
      </c>
      <c r="F1876" s="156" t="str">
        <f>'Reported burning'!F1876</f>
        <v>Shrubland (Mixed forest &amp; grassland)</v>
      </c>
      <c r="G1876" s="156" t="str">
        <f>'Reported burning'!G1876</f>
        <v>ND</v>
      </c>
      <c r="H1876" s="156"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6" t="str">
        <f>'Reported burning'!A1877</f>
        <v>218b</v>
      </c>
      <c r="B1877" s="156" t="str">
        <f>'Reported burning'!B1877</f>
        <v>218b.5</v>
      </c>
      <c r="C1877" s="156" t="str">
        <f>'Reported burning'!C1877</f>
        <v>Human, deliberate</v>
      </c>
      <c r="D1877" s="156" t="str">
        <f>'Reported burning'!D1877</f>
        <v>Harvesting of NTFP</v>
      </c>
      <c r="E1877" s="156" t="str">
        <f>'Reported burning'!E1877</f>
        <v>Forestry, Traditional</v>
      </c>
      <c r="F1877" s="156" t="str">
        <f>'Reported burning'!F1877</f>
        <v>Shrubland (Mixed forest &amp; grassland)</v>
      </c>
      <c r="G1877" s="156" t="str">
        <f>'Reported burning'!G1877</f>
        <v>ND</v>
      </c>
      <c r="H1877" s="156"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6" t="str">
        <f>'Reported burning'!A1878</f>
        <v>218b</v>
      </c>
      <c r="B1878" s="156" t="str">
        <f>'Reported burning'!B1878</f>
        <v>218b.6</v>
      </c>
      <c r="C1878" s="156" t="str">
        <f>'Reported burning'!C1878</f>
        <v>Human, deliberate</v>
      </c>
      <c r="D1878" s="156" t="str">
        <f>'Reported burning'!D1878</f>
        <v>Pest management</v>
      </c>
      <c r="E1878" s="156" t="str">
        <f>'Reported burning'!E1878</f>
        <v>Pastoralism, Migratory</v>
      </c>
      <c r="F1878" s="156" t="str">
        <f>'Reported burning'!F1878</f>
        <v>Shrubland (Mixed forest &amp; grassland)</v>
      </c>
      <c r="G1878" s="156" t="str">
        <f>'Reported burning'!G1878</f>
        <v>ND</v>
      </c>
      <c r="H1878" s="156"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6" t="str">
        <f>'Reported burning'!A1879</f>
        <v>218b</v>
      </c>
      <c r="B1879" s="156" t="str">
        <f>'Reported burning'!B1879</f>
        <v>218b.7</v>
      </c>
      <c r="C1879" s="156" t="str">
        <f>'Reported burning'!C1879</f>
        <v>Human, escaped</v>
      </c>
      <c r="D1879" s="156" t="str">
        <f>'Reported burning'!D1879</f>
        <v>Crop field preparation</v>
      </c>
      <c r="E1879" s="156" t="str">
        <f>'Reported burning'!E1879</f>
        <v>Cropping, Swidden</v>
      </c>
      <c r="F1879" s="156" t="str">
        <f>'Reported burning'!F1879</f>
        <v>Secondary vegetation</v>
      </c>
      <c r="G1879" s="156" t="str">
        <f>'Reported burning'!G1879</f>
        <v>ND</v>
      </c>
      <c r="H1879" s="156"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6" t="str">
        <f>'Reported burning'!A1880</f>
        <v>218b</v>
      </c>
      <c r="B1880" s="156" t="str">
        <f>'Reported burning'!B1880</f>
        <v>218b.8</v>
      </c>
      <c r="C1880" s="156" t="str">
        <f>'Reported burning'!C1880</f>
        <v>Human, deliberate</v>
      </c>
      <c r="D1880" s="156" t="str">
        <f>'Reported burning'!D1880</f>
        <v>Land clearance</v>
      </c>
      <c r="E1880" s="156" t="str">
        <f>'Reported burning'!E1880</f>
        <v>Cropping, Monoculture, Market-oriented</v>
      </c>
      <c r="F1880" s="156" t="str">
        <f>'Reported burning'!F1880</f>
        <v>Cropland</v>
      </c>
      <c r="G1880" s="156" t="str">
        <f>'Reported burning'!G1880</f>
        <v>ND</v>
      </c>
      <c r="H1880" s="156"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6" t="str">
        <f>'Reported burning'!A1881</f>
        <v>218b</v>
      </c>
      <c r="B1881" s="156" t="str">
        <f>'Reported burning'!B1881</f>
        <v>218b.9</v>
      </c>
      <c r="C1881" s="156" t="str">
        <f>'Reported burning'!C1881</f>
        <v>Human, deliberate</v>
      </c>
      <c r="D1881" s="156" t="str">
        <f>'Reported burning'!D1881</f>
        <v>Vegetation management</v>
      </c>
      <c r="E1881" s="156" t="str">
        <f>'Reported burning'!E1881</f>
        <v>Cropping, Monoculture, Market-oriented</v>
      </c>
      <c r="F1881" s="156" t="str">
        <f>'Reported burning'!F1881</f>
        <v>Cropland</v>
      </c>
      <c r="G1881" s="156" t="str">
        <f>'Reported burning'!G1881</f>
        <v>ND</v>
      </c>
      <c r="H1881" s="156"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6" t="str">
        <f>'Reported burning'!A1882</f>
        <v>218b</v>
      </c>
      <c r="B1882" s="156" t="str">
        <f>'Reported burning'!B1882</f>
        <v>218b.10</v>
      </c>
      <c r="C1882" s="156" t="str">
        <f>'Reported burning'!C1882</f>
        <v>Human, deliberate</v>
      </c>
      <c r="D1882" s="156" t="str">
        <f>'Reported burning'!D1882</f>
        <v>Arson</v>
      </c>
      <c r="E1882" s="156" t="str">
        <f>'Reported burning'!E1882</f>
        <v>Cropping, Swidden</v>
      </c>
      <c r="F1882" s="156" t="str">
        <f>'Reported burning'!F1882</f>
        <v>Cropland</v>
      </c>
      <c r="G1882" s="156" t="str">
        <f>'Reported burning'!G1882</f>
        <v>ND</v>
      </c>
      <c r="H1882" s="156"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6" t="str">
        <f>'Reported burning'!A1883</f>
        <v>218b</v>
      </c>
      <c r="B1883" s="156" t="str">
        <f>'Reported burning'!B1883</f>
        <v>218b.11</v>
      </c>
      <c r="C1883" s="156" t="str">
        <f>'Reported burning'!C1883</f>
        <v>Human, deliberate</v>
      </c>
      <c r="D1883" s="156" t="str">
        <f>'Reported burning'!D1883</f>
        <v>Hunting</v>
      </c>
      <c r="E1883" s="156" t="str">
        <f>'Reported burning'!E1883</f>
        <v>Tourism manager</v>
      </c>
      <c r="F1883" s="156" t="str">
        <f>'Reported burning'!F1883</f>
        <v>Shrubland (Mixed forest &amp; grassland)</v>
      </c>
      <c r="G1883" s="156" t="str">
        <f>'Reported burning'!G1883</f>
        <v>ND</v>
      </c>
      <c r="H1883" s="156"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6" t="str">
        <f>'Reported burning'!A1884</f>
        <v>218b</v>
      </c>
      <c r="B1884" s="156" t="str">
        <f>'Reported burning'!B1884</f>
        <v>218b.12</v>
      </c>
      <c r="C1884" s="156" t="str">
        <f>'Reported burning'!C1884</f>
        <v>Human, deliberate</v>
      </c>
      <c r="D1884" s="156" t="str">
        <f>'Reported burning'!D1884</f>
        <v>Accessibility</v>
      </c>
      <c r="E1884" s="156" t="str">
        <f>'Reported burning'!E1884</f>
        <v>Tourism manager</v>
      </c>
      <c r="F1884" s="156" t="str">
        <f>'Reported burning'!F1884</f>
        <v>Shrubland (Mixed forest &amp; grassland)</v>
      </c>
      <c r="G1884" s="156" t="str">
        <f>'Reported burning'!G1884</f>
        <v>ND</v>
      </c>
      <c r="H1884" s="156"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6" t="str">
        <f>'Reported burning'!A1885</f>
        <v>218b</v>
      </c>
      <c r="B1885" s="156" t="str">
        <f>'Reported burning'!B1885</f>
        <v>218b.13</v>
      </c>
      <c r="C1885" s="156" t="str">
        <f>'Reported burning'!C1885</f>
        <v>Human, deliberate</v>
      </c>
      <c r="D1885" s="156" t="str">
        <f>'Reported burning'!D1885</f>
        <v>Harvesting of Timber</v>
      </c>
      <c r="E1885" s="156" t="str">
        <f>'Reported burning'!E1885</f>
        <v>Forestry, Industrial</v>
      </c>
      <c r="F1885" s="156" t="str">
        <f>'Reported burning'!F1885</f>
        <v>Forest</v>
      </c>
      <c r="G1885" s="156" t="str">
        <f>'Reported burning'!G1885</f>
        <v>ND</v>
      </c>
      <c r="H1885" s="156"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6" t="str">
        <f>'Reported burning'!A1886</f>
        <v>218c</v>
      </c>
      <c r="B1886" s="156" t="str">
        <f>'Reported burning'!B1886</f>
        <v>218c.1</v>
      </c>
      <c r="C1886" s="156" t="str">
        <f>'Reported burning'!C1886</f>
        <v>Human, deliberate</v>
      </c>
      <c r="D1886" s="156" t="str">
        <f>'Reported burning'!D1886</f>
        <v>Crop field preparation</v>
      </c>
      <c r="E1886" s="156" t="str">
        <f>'Reported burning'!E1886</f>
        <v>Cropping, Swidden</v>
      </c>
      <c r="F1886" s="156" t="str">
        <f>'Reported burning'!F1886</f>
        <v>Secondary vegetation</v>
      </c>
      <c r="G1886" s="156" t="str">
        <f>'Reported burning'!G1886</f>
        <v>ND</v>
      </c>
      <c r="H1886" s="156"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6" t="str">
        <f>'Reported burning'!A1887</f>
        <v>218c</v>
      </c>
      <c r="B1887" s="156" t="str">
        <f>'Reported burning'!B1887</f>
        <v>218c.2</v>
      </c>
      <c r="C1887" s="156" t="str">
        <f>'Reported burning'!C1887</f>
        <v>Human, deliberate</v>
      </c>
      <c r="D1887" s="156" t="str">
        <f>'Reported burning'!D1887</f>
        <v>Pasture renewal</v>
      </c>
      <c r="E1887" s="156" t="str">
        <f>'Reported burning'!E1887</f>
        <v>Pastoralism, Migratory</v>
      </c>
      <c r="F1887" s="156" t="str">
        <f>'Reported burning'!F1887</f>
        <v>Grassland</v>
      </c>
      <c r="G1887" s="156" t="str">
        <f>'Reported burning'!G1887</f>
        <v>ND</v>
      </c>
      <c r="H1887" s="156"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6" t="str">
        <f>'Reported burning'!A1888</f>
        <v>218c</v>
      </c>
      <c r="B1888" s="156" t="str">
        <f>'Reported burning'!B1888</f>
        <v>218c.3</v>
      </c>
      <c r="C1888" s="156" t="str">
        <f>'Reported burning'!C1888</f>
        <v>Human, deliberate</v>
      </c>
      <c r="D1888" s="156" t="str">
        <f>'Reported burning'!D1888</f>
        <v>Harvesting of NTFP</v>
      </c>
      <c r="E1888" s="156" t="str">
        <f>'Reported burning'!E1888</f>
        <v>Forestry, Traditional</v>
      </c>
      <c r="F1888" s="156" t="str">
        <f>'Reported burning'!F1888</f>
        <v>Grassland</v>
      </c>
      <c r="G1888" s="156" t="str">
        <f>'Reported burning'!G1888</f>
        <v>ND</v>
      </c>
      <c r="H1888" s="156"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6" t="str">
        <f>'Reported burning'!A1889</f>
        <v>218c</v>
      </c>
      <c r="B1889" s="156" t="str">
        <f>'Reported burning'!B1889</f>
        <v>218c.4</v>
      </c>
      <c r="C1889" s="156" t="str">
        <f>'Reported burning'!C1889</f>
        <v>Human, deliberate</v>
      </c>
      <c r="D1889" s="156" t="str">
        <f>'Reported burning'!D1889</f>
        <v>Hunting</v>
      </c>
      <c r="E1889" s="156" t="str">
        <f>'Reported burning'!E1889</f>
        <v>Forestry, Traditional</v>
      </c>
      <c r="F1889" s="156" t="str">
        <f>'Reported burning'!F1889</f>
        <v>Grassland</v>
      </c>
      <c r="G1889" s="156" t="str">
        <f>'Reported burning'!G1889</f>
        <v>ND</v>
      </c>
      <c r="H1889" s="156"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6" t="str">
        <f>'Reported burning'!A1890</f>
        <v>218c</v>
      </c>
      <c r="B1890" s="156" t="str">
        <f>'Reported burning'!B1890</f>
        <v>218c.5</v>
      </c>
      <c r="C1890" s="156" t="str">
        <f>'Reported burning'!C1890</f>
        <v>Human, deliberate</v>
      </c>
      <c r="D1890" s="156" t="str">
        <f>'Reported burning'!D1890</f>
        <v>Land clearance</v>
      </c>
      <c r="E1890" s="156" t="str">
        <f>'Reported burning'!E1890</f>
        <v>Cropping, Monoculture, Market-oriented</v>
      </c>
      <c r="F1890" s="156" t="str">
        <f>'Reported burning'!F1890</f>
        <v>Cropland</v>
      </c>
      <c r="G1890" s="156" t="str">
        <f>'Reported burning'!G1890</f>
        <v>ND</v>
      </c>
      <c r="H1890" s="156"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6" t="str">
        <f>'Reported burning'!A1891</f>
        <v>218c</v>
      </c>
      <c r="B1891" s="156" t="str">
        <f>'Reported burning'!B1891</f>
        <v>218c.6</v>
      </c>
      <c r="C1891" s="156" t="str">
        <f>'Reported burning'!C1891</f>
        <v>Human, deliberate</v>
      </c>
      <c r="D1891" s="156" t="str">
        <f>'Reported burning'!D1891</f>
        <v>Vegetation management</v>
      </c>
      <c r="E1891" s="156" t="str">
        <f>'Reported burning'!E1891</f>
        <v>Cropping, Monoculture, Market-oriented</v>
      </c>
      <c r="F1891" s="156" t="str">
        <f>'Reported burning'!F1891</f>
        <v>Cropland</v>
      </c>
      <c r="G1891" s="156" t="str">
        <f>'Reported burning'!G1891</f>
        <v>ND</v>
      </c>
      <c r="H1891" s="156"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6" t="str">
        <f>'Reported burning'!A1892</f>
        <v>218c</v>
      </c>
      <c r="B1892" s="156" t="str">
        <f>'Reported burning'!B1892</f>
        <v>218c.7</v>
      </c>
      <c r="C1892" s="156" t="str">
        <f>'Reported burning'!C1892</f>
        <v>Human, deliberate</v>
      </c>
      <c r="D1892" s="156" t="str">
        <f>'Reported burning'!D1892</f>
        <v>Hunting</v>
      </c>
      <c r="E1892" s="156" t="str">
        <f>'Reported burning'!E1892</f>
        <v>Tourism manager</v>
      </c>
      <c r="F1892" s="156" t="str">
        <f>'Reported burning'!F1892</f>
        <v>Shrubland (Mixed forest &amp; grassland)</v>
      </c>
      <c r="G1892" s="156" t="str">
        <f>'Reported burning'!G1892</f>
        <v>ND</v>
      </c>
      <c r="H1892" s="156"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5" t="str">
        <f>'Reported burning'!A1893</f>
        <v>218c</v>
      </c>
      <c r="B1893" s="185" t="str">
        <f>'Reported burning'!B1893</f>
        <v>218c.8</v>
      </c>
      <c r="C1893" s="185" t="str">
        <f>'Reported burning'!C1893</f>
        <v>Human, deliberate</v>
      </c>
      <c r="D1893" s="185" t="str">
        <f>'Reported burning'!D1893</f>
        <v>Accessibility</v>
      </c>
      <c r="E1893" s="185" t="str">
        <f>'Reported burning'!E1893</f>
        <v>Tourism manager</v>
      </c>
      <c r="F1893" s="185" t="str">
        <f>'Reported burning'!F1893</f>
        <v>Shrubland (Mixed forest &amp; grassland)</v>
      </c>
      <c r="G1893" s="185" t="str">
        <f>'Reported burning'!G1893</f>
        <v>ND</v>
      </c>
      <c r="H1893" s="185"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2" t="str">
        <f>'Reported burning'!A1894</f>
        <v>218c</v>
      </c>
      <c r="B1894" s="152" t="str">
        <f>'Reported burning'!B1894</f>
        <v>218c.9</v>
      </c>
      <c r="C1894" s="152" t="str">
        <f>'Reported burning'!C1894</f>
        <v>Human, deliberate</v>
      </c>
      <c r="D1894" s="152" t="str">
        <f>'Reported burning'!D1894</f>
        <v>Harvesting of Timber</v>
      </c>
      <c r="E1894" s="152" t="str">
        <f>'Reported burning'!E1894</f>
        <v>Forestry, Industrial</v>
      </c>
      <c r="F1894" s="152" t="str">
        <f>'Reported burning'!F1894</f>
        <v>Forest</v>
      </c>
      <c r="G1894" s="152" t="str">
        <f>'Reported burning'!G1894</f>
        <v>ND</v>
      </c>
      <c r="H1894" s="152"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6" t="str">
        <f>'Reported burning'!A1895</f>
        <v>218d</v>
      </c>
      <c r="B1895" s="156" t="str">
        <f>'Reported burning'!B1895</f>
        <v>218d.1</v>
      </c>
      <c r="C1895" s="156" t="str">
        <f>'Reported burning'!C1895</f>
        <v>Human, deliberate</v>
      </c>
      <c r="D1895" s="156" t="str">
        <f>'Reported burning'!D1895</f>
        <v>Crop field preparation</v>
      </c>
      <c r="E1895" s="156" t="str">
        <f>'Reported burning'!E1895</f>
        <v>Cropping, Swidden</v>
      </c>
      <c r="F1895" s="156" t="str">
        <f>'Reported burning'!F1895</f>
        <v>Secondary vegetation</v>
      </c>
      <c r="G1895" s="156" t="str">
        <f>'Reported burning'!G1895</f>
        <v>ND</v>
      </c>
      <c r="H1895" s="156"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6" t="str">
        <f>'Reported burning'!A1896</f>
        <v>218d</v>
      </c>
      <c r="B1896" s="156" t="str">
        <f>'Reported burning'!B1896</f>
        <v>218d.2</v>
      </c>
      <c r="C1896" s="156" t="str">
        <f>'Reported burning'!C1896</f>
        <v>Human, deliberate</v>
      </c>
      <c r="D1896" s="156" t="str">
        <f>'Reported burning'!D1896</f>
        <v>Pasture renewal</v>
      </c>
      <c r="E1896" s="156" t="str">
        <f>'Reported burning'!E1896</f>
        <v>Pastoralism, Migratory</v>
      </c>
      <c r="F1896" s="156" t="str">
        <f>'Reported burning'!F1896</f>
        <v>Shrubland (Mixed forest &amp; grassland)</v>
      </c>
      <c r="G1896" s="156" t="str">
        <f>'Reported burning'!G1896</f>
        <v>ND</v>
      </c>
      <c r="H1896" s="156"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6" t="str">
        <f>'Reported burning'!A1897</f>
        <v>218d</v>
      </c>
      <c r="B1897" s="156" t="str">
        <f>'Reported burning'!B1897</f>
        <v>218d.3</v>
      </c>
      <c r="C1897" s="156" t="str">
        <f>'Reported burning'!C1897</f>
        <v>Human, deliberate</v>
      </c>
      <c r="D1897" s="156" t="str">
        <f>'Reported burning'!D1897</f>
        <v>Harvesting of NTFP</v>
      </c>
      <c r="E1897" s="156" t="str">
        <f>'Reported burning'!E1897</f>
        <v>Forestry, Traditional</v>
      </c>
      <c r="F1897" s="156" t="str">
        <f>'Reported burning'!F1897</f>
        <v>Shrubland (Mixed forest &amp; grassland)</v>
      </c>
      <c r="G1897" s="156" t="str">
        <f>'Reported burning'!G1897</f>
        <v>ND</v>
      </c>
      <c r="H1897" s="156"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6" t="str">
        <f>'Reported burning'!A1898</f>
        <v>218d</v>
      </c>
      <c r="B1898" s="156" t="str">
        <f>'Reported burning'!B1898</f>
        <v>218d.4</v>
      </c>
      <c r="C1898" s="156" t="str">
        <f>'Reported burning'!C1898</f>
        <v>Human, deliberate</v>
      </c>
      <c r="D1898" s="156" t="str">
        <f>'Reported burning'!D1898</f>
        <v>Hunting</v>
      </c>
      <c r="E1898" s="156" t="str">
        <f>'Reported burning'!E1898</f>
        <v>Forestry, Traditional</v>
      </c>
      <c r="F1898" s="156" t="str">
        <f>'Reported burning'!F1898</f>
        <v>Shrubland (Mixed forest &amp; grassland)</v>
      </c>
      <c r="G1898" s="156" t="str">
        <f>'Reported burning'!G1898</f>
        <v>ND</v>
      </c>
      <c r="H1898" s="156"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6" t="str">
        <f>'Reported burning'!A1899</f>
        <v>218d</v>
      </c>
      <c r="B1899" s="156" t="str">
        <f>'Reported burning'!B1899</f>
        <v>218d.5</v>
      </c>
      <c r="C1899" s="156" t="str">
        <f>'Reported burning'!C1899</f>
        <v>Human, escaped</v>
      </c>
      <c r="D1899" s="156" t="str">
        <f>'Reported burning'!D1899</f>
        <v>Crop field preparation</v>
      </c>
      <c r="E1899" s="156" t="str">
        <f>'Reported burning'!E1899</f>
        <v>Cropping, Swidden</v>
      </c>
      <c r="F1899" s="156" t="str">
        <f>'Reported burning'!F1899</f>
        <v>Secondary vegetation</v>
      </c>
      <c r="G1899" s="156" t="str">
        <f>'Reported burning'!G1899</f>
        <v>ND</v>
      </c>
      <c r="H1899" s="156"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6" t="str">
        <f>'Reported burning'!A1900</f>
        <v>218d</v>
      </c>
      <c r="B1900" s="156" t="str">
        <f>'Reported burning'!B1900</f>
        <v>218d.6</v>
      </c>
      <c r="C1900" s="156" t="str">
        <f>'Reported burning'!C1900</f>
        <v>Human, deliberate</v>
      </c>
      <c r="D1900" s="156" t="str">
        <f>'Reported burning'!D1900</f>
        <v>Land clearance</v>
      </c>
      <c r="E1900" s="156" t="str">
        <f>'Reported burning'!E1900</f>
        <v>Cropping, Monoculture, Market-oriented</v>
      </c>
      <c r="F1900" s="156" t="str">
        <f>'Reported burning'!F1900</f>
        <v>Cropland</v>
      </c>
      <c r="G1900" s="156" t="str">
        <f>'Reported burning'!G1900</f>
        <v>ND</v>
      </c>
      <c r="H1900" s="156"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6" t="str">
        <f>'Reported burning'!A1901</f>
        <v>218d</v>
      </c>
      <c r="B1901" s="156" t="str">
        <f>'Reported burning'!B1901</f>
        <v>218d.7</v>
      </c>
      <c r="C1901" s="156" t="str">
        <f>'Reported burning'!C1901</f>
        <v>Human, deliberate</v>
      </c>
      <c r="D1901" s="156" t="str">
        <f>'Reported burning'!D1901</f>
        <v>Vegetation management</v>
      </c>
      <c r="E1901" s="156" t="str">
        <f>'Reported burning'!E1901</f>
        <v>Cropping, Monoculture, Market-oriented</v>
      </c>
      <c r="F1901" s="156" t="str">
        <f>'Reported burning'!F1901</f>
        <v>Cropland</v>
      </c>
      <c r="G1901" s="156" t="str">
        <f>'Reported burning'!G1901</f>
        <v>ND</v>
      </c>
      <c r="H1901" s="156"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6" t="str">
        <f>'Reported burning'!A1902</f>
        <v>218d</v>
      </c>
      <c r="B1902" s="156" t="str">
        <f>'Reported burning'!B1902</f>
        <v>218d.8</v>
      </c>
      <c r="C1902" s="156" t="str">
        <f>'Reported burning'!C1902</f>
        <v>Human, deliberate</v>
      </c>
      <c r="D1902" s="156" t="str">
        <f>'Reported burning'!D1902</f>
        <v>Hunting</v>
      </c>
      <c r="E1902" s="156" t="str">
        <f>'Reported burning'!E1902</f>
        <v>Tourism manager</v>
      </c>
      <c r="F1902" s="156" t="str">
        <f>'Reported burning'!F1902</f>
        <v>Shrubland (Mixed forest &amp; grassland)</v>
      </c>
      <c r="G1902" s="156" t="str">
        <f>'Reported burning'!G1902</f>
        <v>ND</v>
      </c>
      <c r="H1902" s="156"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6" t="str">
        <f>'Reported burning'!A1903</f>
        <v>218d</v>
      </c>
      <c r="B1903" s="156" t="str">
        <f>'Reported burning'!B1903</f>
        <v>218d.9</v>
      </c>
      <c r="C1903" s="156" t="str">
        <f>'Reported burning'!C1903</f>
        <v>Human, deliberate</v>
      </c>
      <c r="D1903" s="156" t="str">
        <f>'Reported burning'!D1903</f>
        <v>Accessibility</v>
      </c>
      <c r="E1903" s="156" t="str">
        <f>'Reported burning'!E1903</f>
        <v>Tourism manager</v>
      </c>
      <c r="F1903" s="156" t="str">
        <f>'Reported burning'!F1903</f>
        <v>Shrubland (Mixed forest &amp; grassland)</v>
      </c>
      <c r="G1903" s="156" t="str">
        <f>'Reported burning'!G1903</f>
        <v>ND</v>
      </c>
      <c r="H1903" s="156"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6" t="str">
        <f>'Reported burning'!A1904</f>
        <v>218d</v>
      </c>
      <c r="B1904" s="156" t="str">
        <f>'Reported burning'!B1904</f>
        <v>218d.10</v>
      </c>
      <c r="C1904" s="156" t="str">
        <f>'Reported burning'!C1904</f>
        <v>Human, deliberate</v>
      </c>
      <c r="D1904" s="156" t="str">
        <f>'Reported burning'!D1904</f>
        <v>Harvesting of Timber</v>
      </c>
      <c r="E1904" s="156" t="str">
        <f>'Reported burning'!E1904</f>
        <v>Forestry, Industrial</v>
      </c>
      <c r="F1904" s="156" t="str">
        <f>'Reported burning'!F1904</f>
        <v>Forest</v>
      </c>
      <c r="G1904" s="156" t="str">
        <f>'Reported burning'!G1904</f>
        <v>ND</v>
      </c>
      <c r="H1904" s="156"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6" t="str">
        <f>'Reported burning'!A1905</f>
        <v>218e</v>
      </c>
      <c r="B1905" s="156" t="str">
        <f>'Reported burning'!B1905</f>
        <v>218e.1</v>
      </c>
      <c r="C1905" s="156" t="str">
        <f>'Reported burning'!C1905</f>
        <v>Human, deliberate</v>
      </c>
      <c r="D1905" s="156" t="str">
        <f>'Reported burning'!D1905</f>
        <v>Crop field preparation</v>
      </c>
      <c r="E1905" s="156" t="str">
        <f>'Reported burning'!E1905</f>
        <v>Cropping, Swidden</v>
      </c>
      <c r="F1905" s="156" t="str">
        <f>'Reported burning'!F1905</f>
        <v>Secondary vegetation</v>
      </c>
      <c r="G1905" s="156" t="str">
        <f>'Reported burning'!G1905</f>
        <v>ND</v>
      </c>
      <c r="H1905" s="156"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6" t="str">
        <f>'Reported burning'!A1906</f>
        <v>218e</v>
      </c>
      <c r="B1906" s="156" t="str">
        <f>'Reported burning'!B1906</f>
        <v>218e.2</v>
      </c>
      <c r="C1906" s="156" t="str">
        <f>'Reported burning'!C1906</f>
        <v>Human, deliberate</v>
      </c>
      <c r="D1906" s="156" t="str">
        <f>'Reported burning'!D1906</f>
        <v>Pasture renewal</v>
      </c>
      <c r="E1906" s="156" t="str">
        <f>'Reported burning'!E1906</f>
        <v>Pastoralism, Migratory</v>
      </c>
      <c r="F1906" s="156" t="str">
        <f>'Reported burning'!F1906</f>
        <v>Grassland</v>
      </c>
      <c r="G1906" s="156" t="str">
        <f>'Reported burning'!G1906</f>
        <v>ND</v>
      </c>
      <c r="H1906" s="156"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6" t="str">
        <f>'Reported burning'!A1907</f>
        <v>218e</v>
      </c>
      <c r="B1907" s="156" t="str">
        <f>'Reported burning'!B1907</f>
        <v>218e.3</v>
      </c>
      <c r="C1907" s="156" t="str">
        <f>'Reported burning'!C1907</f>
        <v>Human, deliberate</v>
      </c>
      <c r="D1907" s="156" t="str">
        <f>'Reported burning'!D1907</f>
        <v>Harvesting of NTFP</v>
      </c>
      <c r="E1907" s="156" t="str">
        <f>'Reported burning'!E1907</f>
        <v>Forestry, Traditional</v>
      </c>
      <c r="F1907" s="156" t="str">
        <f>'Reported burning'!F1907</f>
        <v>Grassland</v>
      </c>
      <c r="G1907" s="156" t="str">
        <f>'Reported burning'!G1907</f>
        <v>ND</v>
      </c>
      <c r="H1907" s="156"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6" t="str">
        <f>'Reported burning'!A1908</f>
        <v>218e</v>
      </c>
      <c r="B1908" s="156" t="str">
        <f>'Reported burning'!B1908</f>
        <v>218e.4</v>
      </c>
      <c r="C1908" s="156" t="str">
        <f>'Reported burning'!C1908</f>
        <v>Human, deliberate</v>
      </c>
      <c r="D1908" s="156" t="str">
        <f>'Reported burning'!D1908</f>
        <v>Hunting</v>
      </c>
      <c r="E1908" s="156" t="str">
        <f>'Reported burning'!E1908</f>
        <v>Forestry, Traditional</v>
      </c>
      <c r="F1908" s="156" t="str">
        <f>'Reported burning'!F1908</f>
        <v>Grassland</v>
      </c>
      <c r="G1908" s="156" t="str">
        <f>'Reported burning'!G1908</f>
        <v>ND</v>
      </c>
      <c r="H1908" s="156"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6" t="str">
        <f>'Reported burning'!A1909</f>
        <v>218e</v>
      </c>
      <c r="B1909" s="156" t="str">
        <f>'Reported burning'!B1909</f>
        <v>218e.5</v>
      </c>
      <c r="C1909" s="156" t="str">
        <f>'Reported burning'!C1909</f>
        <v>Human, deliberate</v>
      </c>
      <c r="D1909" s="156" t="str">
        <f>'Reported burning'!D1909</f>
        <v>Land clearance</v>
      </c>
      <c r="E1909" s="156" t="str">
        <f>'Reported burning'!E1909</f>
        <v>Cropping, Monoculture, Market-oriented</v>
      </c>
      <c r="F1909" s="156" t="str">
        <f>'Reported burning'!F1909</f>
        <v>Cropland</v>
      </c>
      <c r="G1909" s="156" t="str">
        <f>'Reported burning'!G1909</f>
        <v>ND</v>
      </c>
      <c r="H1909" s="156"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6" t="str">
        <f>'Reported burning'!A1910</f>
        <v>218e</v>
      </c>
      <c r="B1910" s="156" t="str">
        <f>'Reported burning'!B1910</f>
        <v>218e.6</v>
      </c>
      <c r="C1910" s="156" t="str">
        <f>'Reported burning'!C1910</f>
        <v>Human, deliberate</v>
      </c>
      <c r="D1910" s="156" t="str">
        <f>'Reported burning'!D1910</f>
        <v>Vegetation management</v>
      </c>
      <c r="E1910" s="156" t="str">
        <f>'Reported burning'!E1910</f>
        <v>Cropping, Monoculture, Market-oriented</v>
      </c>
      <c r="F1910" s="156" t="str">
        <f>'Reported burning'!F1910</f>
        <v>Cropland</v>
      </c>
      <c r="G1910" s="156" t="str">
        <f>'Reported burning'!G1910</f>
        <v>ND</v>
      </c>
      <c r="H1910" s="156"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6" t="str">
        <f>'Reported burning'!A1911</f>
        <v>218e</v>
      </c>
      <c r="B1911" s="156" t="str">
        <f>'Reported burning'!B1911</f>
        <v>218e.7</v>
      </c>
      <c r="C1911" s="156" t="str">
        <f>'Reported burning'!C1911</f>
        <v>Human, deliberate</v>
      </c>
      <c r="D1911" s="156" t="str">
        <f>'Reported burning'!D1911</f>
        <v>Hunting</v>
      </c>
      <c r="E1911" s="156" t="str">
        <f>'Reported burning'!E1911</f>
        <v>Tourism manager</v>
      </c>
      <c r="F1911" s="156" t="str">
        <f>'Reported burning'!F1911</f>
        <v>Shrubland (Mixed forest &amp; grassland)</v>
      </c>
      <c r="G1911" s="156" t="str">
        <f>'Reported burning'!G1911</f>
        <v>ND</v>
      </c>
      <c r="H1911" s="156"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6" t="str">
        <f>'Reported burning'!A1912</f>
        <v>218e</v>
      </c>
      <c r="B1912" s="156" t="str">
        <f>'Reported burning'!B1912</f>
        <v>218e.8</v>
      </c>
      <c r="C1912" s="156" t="str">
        <f>'Reported burning'!C1912</f>
        <v>Human, deliberate</v>
      </c>
      <c r="D1912" s="156" t="str">
        <f>'Reported burning'!D1912</f>
        <v>Accessibility</v>
      </c>
      <c r="E1912" s="156" t="str">
        <f>'Reported burning'!E1912</f>
        <v>Tourism manager</v>
      </c>
      <c r="F1912" s="156" t="str">
        <f>'Reported burning'!F1912</f>
        <v>Shrubland (Mixed forest &amp; grassland)</v>
      </c>
      <c r="G1912" s="156" t="str">
        <f>'Reported burning'!G1912</f>
        <v>ND</v>
      </c>
      <c r="H1912" s="156"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6" t="str">
        <f>'Reported burning'!A1913</f>
        <v>218e</v>
      </c>
      <c r="B1913" s="156" t="str">
        <f>'Reported burning'!B1913</f>
        <v>218e.9</v>
      </c>
      <c r="C1913" s="156" t="str">
        <f>'Reported burning'!C1913</f>
        <v>Human, deliberate</v>
      </c>
      <c r="D1913" s="156" t="str">
        <f>'Reported burning'!D1913</f>
        <v>Harvesting of Timber</v>
      </c>
      <c r="E1913" s="156" t="str">
        <f>'Reported burning'!E1913</f>
        <v>Forestry, Industrial</v>
      </c>
      <c r="F1913" s="156" t="str">
        <f>'Reported burning'!F1913</f>
        <v>Forest</v>
      </c>
      <c r="G1913" s="156" t="str">
        <f>'Reported burning'!G1913</f>
        <v>ND</v>
      </c>
      <c r="H1913" s="156"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6" t="str">
        <f>'Reported burning'!A1914</f>
        <v>219a</v>
      </c>
      <c r="B1914" s="156" t="str">
        <f>'Reported burning'!B1914</f>
        <v>219a.1</v>
      </c>
      <c r="C1914" s="156" t="str">
        <f>'Reported burning'!C1914</f>
        <v>Human, deliberate</v>
      </c>
      <c r="D1914" s="156" t="str">
        <f>'Reported burning'!D1914</f>
        <v>Crop field preparation</v>
      </c>
      <c r="E1914" s="156" t="str">
        <f>'Reported burning'!E1914</f>
        <v>Cropping, Swidden</v>
      </c>
      <c r="F1914" s="156" t="str">
        <f>'Reported burning'!F1914</f>
        <v>Secondary vegetation</v>
      </c>
      <c r="G1914" s="156" t="str">
        <f>'Reported burning'!G1914</f>
        <v>ND</v>
      </c>
      <c r="H1914" s="156"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6" t="str">
        <f>'Reported burning'!A1915</f>
        <v>219b</v>
      </c>
      <c r="B1915" s="156" t="str">
        <f>'Reported burning'!B1915</f>
        <v>219b.1</v>
      </c>
      <c r="C1915" s="156" t="str">
        <f>'Reported burning'!C1915</f>
        <v>Human, deliberate</v>
      </c>
      <c r="D1915" s="156" t="str">
        <f>'Reported burning'!D1915</f>
        <v>Crop field preparation</v>
      </c>
      <c r="E1915" s="156" t="str">
        <f>'Reported burning'!E1915</f>
        <v>Cropping, Swidden</v>
      </c>
      <c r="F1915" s="156" t="str">
        <f>'Reported burning'!F1915</f>
        <v>Secondary vegetation</v>
      </c>
      <c r="G1915" s="156" t="str">
        <f>'Reported burning'!G1915</f>
        <v>ND</v>
      </c>
      <c r="H1915" s="156"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6" t="str">
        <f>'Reported burning'!A1916</f>
        <v>219c</v>
      </c>
      <c r="B1916" s="156" t="str">
        <f>'Reported burning'!B1916</f>
        <v>219c.1</v>
      </c>
      <c r="C1916" s="156" t="str">
        <f>'Reported burning'!C1916</f>
        <v>Human, deliberate</v>
      </c>
      <c r="D1916" s="156" t="str">
        <f>'Reported burning'!D1916</f>
        <v>Crop field preparation</v>
      </c>
      <c r="E1916" s="156" t="str">
        <f>'Reported burning'!E1916</f>
        <v>Cropping, Swidden</v>
      </c>
      <c r="F1916" s="156" t="str">
        <f>'Reported burning'!F1916</f>
        <v>Secondary vegetation</v>
      </c>
      <c r="G1916" s="156" t="str">
        <f>'Reported burning'!G1916</f>
        <v>ND</v>
      </c>
      <c r="H1916" s="156"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6" t="str">
        <f>'Reported burning'!A1917</f>
        <v>219d</v>
      </c>
      <c r="B1917" s="156" t="str">
        <f>'Reported burning'!B1917</f>
        <v>219d.1</v>
      </c>
      <c r="C1917" s="156" t="str">
        <f>'Reported burning'!C1917</f>
        <v>Human, deliberate</v>
      </c>
      <c r="D1917" s="156" t="str">
        <f>'Reported burning'!D1917</f>
        <v>Crop field preparation</v>
      </c>
      <c r="E1917" s="156" t="str">
        <f>'Reported burning'!E1917</f>
        <v>Cropping, Swidden</v>
      </c>
      <c r="F1917" s="156" t="str">
        <f>'Reported burning'!F1917</f>
        <v>Secondary vegetation</v>
      </c>
      <c r="G1917" s="156" t="str">
        <f>'Reported burning'!G1917</f>
        <v>ND</v>
      </c>
      <c r="H1917" s="156"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6" t="str">
        <f>'Reported burning'!A1918</f>
        <v>219e</v>
      </c>
      <c r="B1918" s="156" t="str">
        <f>'Reported burning'!B1918</f>
        <v>219e.1</v>
      </c>
      <c r="C1918" s="156" t="str">
        <f>'Reported burning'!C1918</f>
        <v>Human, deliberate</v>
      </c>
      <c r="D1918" s="156" t="str">
        <f>'Reported burning'!D1918</f>
        <v>Crop field preparation</v>
      </c>
      <c r="E1918" s="156" t="str">
        <f>'Reported burning'!E1918</f>
        <v>Cropping, Swidden</v>
      </c>
      <c r="F1918" s="156" t="str">
        <f>'Reported burning'!F1918</f>
        <v>Secondary vegetation</v>
      </c>
      <c r="G1918" s="156" t="str">
        <f>'Reported burning'!G1918</f>
        <v>ND</v>
      </c>
      <c r="H1918" s="156"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6" t="str">
        <f>'Reported burning'!A1919</f>
        <v>219f</v>
      </c>
      <c r="B1919" s="156" t="str">
        <f>'Reported burning'!B1919</f>
        <v>219f.1</v>
      </c>
      <c r="C1919" s="156" t="str">
        <f>'Reported burning'!C1919</f>
        <v>Human, deliberate</v>
      </c>
      <c r="D1919" s="156" t="str">
        <f>'Reported burning'!D1919</f>
        <v>Crop field preparation</v>
      </c>
      <c r="E1919" s="156" t="str">
        <f>'Reported burning'!E1919</f>
        <v>Cropping, Swidden</v>
      </c>
      <c r="F1919" s="156" t="str">
        <f>'Reported burning'!F1919</f>
        <v>Secondary vegetation</v>
      </c>
      <c r="G1919" s="156" t="str">
        <f>'Reported burning'!G1919</f>
        <v>ND</v>
      </c>
      <c r="H1919" s="156"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6" t="str">
        <f>'Reported burning'!A1920</f>
        <v>219g</v>
      </c>
      <c r="B1920" s="156" t="str">
        <f>'Reported burning'!B1920</f>
        <v>219g.1</v>
      </c>
      <c r="C1920" s="156" t="str">
        <f>'Reported burning'!C1920</f>
        <v>Human, deliberate</v>
      </c>
      <c r="D1920" s="156" t="str">
        <f>'Reported burning'!D1920</f>
        <v>Crop field preparation</v>
      </c>
      <c r="E1920" s="156" t="str">
        <f>'Reported burning'!E1920</f>
        <v>Cropping, Swidden</v>
      </c>
      <c r="F1920" s="156" t="str">
        <f>'Reported burning'!F1920</f>
        <v>Secondary vegetation</v>
      </c>
      <c r="G1920" s="156" t="str">
        <f>'Reported burning'!G1920</f>
        <v>ND</v>
      </c>
      <c r="H1920" s="156"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6" t="str">
        <f>'Reported burning'!A1921</f>
        <v>219h</v>
      </c>
      <c r="B1921" s="156" t="str">
        <f>'Reported burning'!B1921</f>
        <v>219h.1</v>
      </c>
      <c r="C1921" s="156" t="str">
        <f>'Reported burning'!C1921</f>
        <v>Human, deliberate</v>
      </c>
      <c r="D1921" s="156" t="str">
        <f>'Reported burning'!D1921</f>
        <v>Crop field preparation</v>
      </c>
      <c r="E1921" s="156" t="str">
        <f>'Reported burning'!E1921</f>
        <v>Cropping, Swidden</v>
      </c>
      <c r="F1921" s="156" t="str">
        <f>'Reported burning'!F1921</f>
        <v>Secondary vegetation</v>
      </c>
      <c r="G1921" s="156" t="str">
        <f>'Reported burning'!G1921</f>
        <v>ND</v>
      </c>
      <c r="H1921" s="156"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6" t="str">
        <f>'Reported burning'!A1922</f>
        <v>219a</v>
      </c>
      <c r="B1922" s="156" t="str">
        <f>'Reported burning'!B1922</f>
        <v>219a.2</v>
      </c>
      <c r="C1922" s="156" t="str">
        <f>'Reported burning'!C1922</f>
        <v>Human, deliberate</v>
      </c>
      <c r="D1922" s="156" t="str">
        <f>'Reported burning'!D1922</f>
        <v>Crop field preparation</v>
      </c>
      <c r="E1922" s="156" t="str">
        <f>'Reported burning'!E1922</f>
        <v>Cropping, Monoculture, Subsistence-oriented</v>
      </c>
      <c r="F1922" s="156" t="str">
        <f>'Reported burning'!F1922</f>
        <v>ND</v>
      </c>
      <c r="G1922" s="156" t="str">
        <f>'Reported burning'!G1922</f>
        <v>ND</v>
      </c>
      <c r="H1922" s="156"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5575</v>
      </c>
      <c r="AB1922" s="3"/>
    </row>
    <row r="1923" spans="1:28" ht="43.5">
      <c r="A1923" s="156" t="str">
        <f>'Reported burning'!A1923</f>
        <v>219b</v>
      </c>
      <c r="B1923" s="156" t="str">
        <f>'Reported burning'!B1923</f>
        <v>219b.2</v>
      </c>
      <c r="C1923" s="156" t="str">
        <f>'Reported burning'!C1923</f>
        <v>Human, deliberate</v>
      </c>
      <c r="D1923" s="156" t="str">
        <f>'Reported burning'!D1923</f>
        <v>Crop field preparation</v>
      </c>
      <c r="E1923" s="156" t="str">
        <f>'Reported burning'!E1923</f>
        <v>Cropping, Monoculture, Subsistence-oriented</v>
      </c>
      <c r="F1923" s="156" t="str">
        <f>'Reported burning'!F1923</f>
        <v>ND</v>
      </c>
      <c r="G1923" s="156" t="str">
        <f>'Reported burning'!G1923</f>
        <v>ND</v>
      </c>
      <c r="H1923" s="156"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5575</v>
      </c>
      <c r="AB1923" s="3"/>
    </row>
    <row r="1924" spans="1:28" ht="43.5">
      <c r="A1924" s="156" t="str">
        <f>'Reported burning'!A1924</f>
        <v>219c</v>
      </c>
      <c r="B1924" s="156" t="str">
        <f>'Reported burning'!B1924</f>
        <v>219c.2</v>
      </c>
      <c r="C1924" s="156" t="str">
        <f>'Reported burning'!C1924</f>
        <v>Human, deliberate</v>
      </c>
      <c r="D1924" s="156" t="str">
        <f>'Reported burning'!D1924</f>
        <v>Crop field preparation</v>
      </c>
      <c r="E1924" s="156" t="str">
        <f>'Reported burning'!E1924</f>
        <v>Cropping, Monoculture, Subsistence-oriented</v>
      </c>
      <c r="F1924" s="156" t="str">
        <f>'Reported burning'!F1924</f>
        <v>ND</v>
      </c>
      <c r="G1924" s="156" t="str">
        <f>'Reported burning'!G1924</f>
        <v>ND</v>
      </c>
      <c r="H1924" s="156"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5575</v>
      </c>
      <c r="AB1924" s="3"/>
    </row>
    <row r="1925" spans="1:28" ht="43.5">
      <c r="A1925" s="156" t="str">
        <f>'Reported burning'!A1925</f>
        <v>219d</v>
      </c>
      <c r="B1925" s="156" t="str">
        <f>'Reported burning'!B1925</f>
        <v>219d.2</v>
      </c>
      <c r="C1925" s="156" t="str">
        <f>'Reported burning'!C1925</f>
        <v>Human, deliberate</v>
      </c>
      <c r="D1925" s="156" t="str">
        <f>'Reported burning'!D1925</f>
        <v>Crop field preparation</v>
      </c>
      <c r="E1925" s="156" t="str">
        <f>'Reported burning'!E1925</f>
        <v>Cropping, Monoculture, Subsistence-oriented</v>
      </c>
      <c r="F1925" s="156" t="str">
        <f>'Reported burning'!F1925</f>
        <v>ND</v>
      </c>
      <c r="G1925" s="156" t="str">
        <f>'Reported burning'!G1925</f>
        <v>ND</v>
      </c>
      <c r="H1925" s="156"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5575</v>
      </c>
      <c r="AB1925" s="3"/>
    </row>
    <row r="1926" spans="1:28" ht="43.5">
      <c r="A1926" s="156" t="str">
        <f>'Reported burning'!A1926</f>
        <v>219e</v>
      </c>
      <c r="B1926" s="156" t="str">
        <f>'Reported burning'!B1926</f>
        <v>219e.2</v>
      </c>
      <c r="C1926" s="156" t="str">
        <f>'Reported burning'!C1926</f>
        <v>Human, deliberate</v>
      </c>
      <c r="D1926" s="156" t="str">
        <f>'Reported burning'!D1926</f>
        <v>Crop field preparation</v>
      </c>
      <c r="E1926" s="156" t="str">
        <f>'Reported burning'!E1926</f>
        <v>Cropping, Monoculture, Subsistence-oriented</v>
      </c>
      <c r="F1926" s="156" t="str">
        <f>'Reported burning'!F1926</f>
        <v>ND</v>
      </c>
      <c r="G1926" s="156" t="str">
        <f>'Reported burning'!G1926</f>
        <v>ND</v>
      </c>
      <c r="H1926" s="156"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5575</v>
      </c>
      <c r="AB1926" s="3"/>
    </row>
    <row r="1927" spans="1:28" ht="43.5">
      <c r="A1927" s="156" t="str">
        <f>'Reported burning'!A1927</f>
        <v>219f</v>
      </c>
      <c r="B1927" s="156" t="str">
        <f>'Reported burning'!B1927</f>
        <v>219f.2</v>
      </c>
      <c r="C1927" s="156" t="str">
        <f>'Reported burning'!C1927</f>
        <v>Human, deliberate</v>
      </c>
      <c r="D1927" s="156" t="str">
        <f>'Reported burning'!D1927</f>
        <v>Crop field preparation</v>
      </c>
      <c r="E1927" s="156" t="str">
        <f>'Reported burning'!E1927</f>
        <v>Cropping, Monoculture, Subsistence-oriented</v>
      </c>
      <c r="F1927" s="156" t="str">
        <f>'Reported burning'!F1927</f>
        <v>ND</v>
      </c>
      <c r="G1927" s="156" t="str">
        <f>'Reported burning'!G1927</f>
        <v>ND</v>
      </c>
      <c r="H1927" s="156"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5575</v>
      </c>
      <c r="AB1927" s="3"/>
    </row>
    <row r="1928" spans="1:28" ht="43.5">
      <c r="A1928" s="156" t="str">
        <f>'Reported burning'!A1928</f>
        <v>219g</v>
      </c>
      <c r="B1928" s="156" t="str">
        <f>'Reported burning'!B1928</f>
        <v>219g.2</v>
      </c>
      <c r="C1928" s="156" t="str">
        <f>'Reported burning'!C1928</f>
        <v>Human, deliberate</v>
      </c>
      <c r="D1928" s="156" t="str">
        <f>'Reported burning'!D1928</f>
        <v>Crop field preparation</v>
      </c>
      <c r="E1928" s="156" t="str">
        <f>'Reported burning'!E1928</f>
        <v>Cropping, Monoculture, Subsistence-oriented</v>
      </c>
      <c r="F1928" s="156" t="str">
        <f>'Reported burning'!F1928</f>
        <v>ND</v>
      </c>
      <c r="G1928" s="156" t="str">
        <f>'Reported burning'!G1928</f>
        <v>ND</v>
      </c>
      <c r="H1928" s="156"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5575</v>
      </c>
      <c r="AB1928" s="3"/>
    </row>
    <row r="1929" spans="1:28" ht="43.5">
      <c r="A1929" s="156" t="str">
        <f>'Reported burning'!A1929</f>
        <v>219h</v>
      </c>
      <c r="B1929" s="156" t="str">
        <f>'Reported burning'!B1929</f>
        <v>219h.2</v>
      </c>
      <c r="C1929" s="156" t="str">
        <f>'Reported burning'!C1929</f>
        <v>Human, deliberate</v>
      </c>
      <c r="D1929" s="156" t="str">
        <f>'Reported burning'!D1929</f>
        <v>Crop field preparation</v>
      </c>
      <c r="E1929" s="156" t="str">
        <f>'Reported burning'!E1929</f>
        <v>Cropping, Monoculture, Subsistence-oriented</v>
      </c>
      <c r="F1929" s="156" t="str">
        <f>'Reported burning'!F1929</f>
        <v>ND</v>
      </c>
      <c r="G1929" s="156" t="str">
        <f>'Reported burning'!G1929</f>
        <v>ND</v>
      </c>
      <c r="H1929" s="156"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5575</v>
      </c>
      <c r="AB1929" s="3"/>
    </row>
    <row r="1930" spans="1:28" ht="43.5">
      <c r="A1930" s="156" t="str">
        <f>'Reported burning'!A1930</f>
        <v>219a</v>
      </c>
      <c r="B1930" s="156" t="str">
        <f>'Reported burning'!B1930</f>
        <v>219a.3</v>
      </c>
      <c r="C1930" s="156" t="str">
        <f>'Reported burning'!C1930</f>
        <v>Human, deliberate</v>
      </c>
      <c r="D1930" s="156" t="str">
        <f>'Reported burning'!D1930</f>
        <v>Crop field preparation</v>
      </c>
      <c r="E1930" s="156" t="str">
        <f>'Reported burning'!E1930</f>
        <v>Cropping, Monoculture, Market-oriented</v>
      </c>
      <c r="F1930" s="156" t="str">
        <f>'Reported burning'!F1930</f>
        <v>ND</v>
      </c>
      <c r="G1930" s="156" t="str">
        <f>'Reported burning'!G1930</f>
        <v>ND</v>
      </c>
      <c r="H1930" s="156"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5575</v>
      </c>
      <c r="AB1930" s="3"/>
    </row>
    <row r="1931" spans="1:28" ht="43.5">
      <c r="A1931" s="156" t="str">
        <f>'Reported burning'!A1931</f>
        <v>219b</v>
      </c>
      <c r="B1931" s="156" t="str">
        <f>'Reported burning'!B1931</f>
        <v>219b.3</v>
      </c>
      <c r="C1931" s="156" t="str">
        <f>'Reported burning'!C1931</f>
        <v>Human, deliberate</v>
      </c>
      <c r="D1931" s="156" t="str">
        <f>'Reported burning'!D1931</f>
        <v>Crop field preparation</v>
      </c>
      <c r="E1931" s="156" t="str">
        <f>'Reported burning'!E1931</f>
        <v>Cropping, Monoculture, Market-oriented</v>
      </c>
      <c r="F1931" s="156" t="str">
        <f>'Reported burning'!F1931</f>
        <v>ND</v>
      </c>
      <c r="G1931" s="156" t="str">
        <f>'Reported burning'!G1931</f>
        <v>ND</v>
      </c>
      <c r="H1931" s="156"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5575</v>
      </c>
      <c r="AB1931" s="3"/>
    </row>
    <row r="1932" spans="1:28" ht="43.5">
      <c r="A1932" s="156" t="str">
        <f>'Reported burning'!A1932</f>
        <v>219c</v>
      </c>
      <c r="B1932" s="156" t="str">
        <f>'Reported burning'!B1932</f>
        <v>219c.3</v>
      </c>
      <c r="C1932" s="156" t="str">
        <f>'Reported burning'!C1932</f>
        <v>Human, deliberate</v>
      </c>
      <c r="D1932" s="156" t="str">
        <f>'Reported burning'!D1932</f>
        <v>Crop field preparation</v>
      </c>
      <c r="E1932" s="156" t="str">
        <f>'Reported burning'!E1932</f>
        <v>Cropping, Monoculture, Market-oriented</v>
      </c>
      <c r="F1932" s="156" t="str">
        <f>'Reported burning'!F1932</f>
        <v>ND</v>
      </c>
      <c r="G1932" s="156" t="str">
        <f>'Reported burning'!G1932</f>
        <v>ND</v>
      </c>
      <c r="H1932" s="156"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5575</v>
      </c>
      <c r="AB1932" s="3"/>
    </row>
    <row r="1933" spans="1:28" ht="43.5">
      <c r="A1933" s="156" t="str">
        <f>'Reported burning'!A1933</f>
        <v>219d</v>
      </c>
      <c r="B1933" s="156" t="str">
        <f>'Reported burning'!B1933</f>
        <v>219d.3</v>
      </c>
      <c r="C1933" s="156" t="str">
        <f>'Reported burning'!C1933</f>
        <v>Human, deliberate</v>
      </c>
      <c r="D1933" s="156" t="str">
        <f>'Reported burning'!D1933</f>
        <v>Crop field preparation</v>
      </c>
      <c r="E1933" s="156" t="str">
        <f>'Reported burning'!E1933</f>
        <v>Cropping, Monoculture, Market-oriented</v>
      </c>
      <c r="F1933" s="156" t="str">
        <f>'Reported burning'!F1933</f>
        <v>ND</v>
      </c>
      <c r="G1933" s="156" t="str">
        <f>'Reported burning'!G1933</f>
        <v>ND</v>
      </c>
      <c r="H1933" s="156"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5575</v>
      </c>
      <c r="AB1933" s="3"/>
    </row>
    <row r="1934" spans="1:28" ht="43.5">
      <c r="A1934" s="156" t="str">
        <f>'Reported burning'!A1934</f>
        <v>219e</v>
      </c>
      <c r="B1934" s="156" t="str">
        <f>'Reported burning'!B1934</f>
        <v>219e.3</v>
      </c>
      <c r="C1934" s="156" t="str">
        <f>'Reported burning'!C1934</f>
        <v>Human, deliberate</v>
      </c>
      <c r="D1934" s="156" t="str">
        <f>'Reported burning'!D1934</f>
        <v>Crop field preparation</v>
      </c>
      <c r="E1934" s="156" t="str">
        <f>'Reported burning'!E1934</f>
        <v>Cropping, Monoculture, Market-oriented</v>
      </c>
      <c r="F1934" s="156" t="str">
        <f>'Reported burning'!F1934</f>
        <v>ND</v>
      </c>
      <c r="G1934" s="156" t="str">
        <f>'Reported burning'!G1934</f>
        <v>ND</v>
      </c>
      <c r="H1934" s="156"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5575</v>
      </c>
      <c r="AB1934" s="3"/>
    </row>
    <row r="1935" spans="1:28" ht="43.5">
      <c r="A1935" s="156" t="str">
        <f>'Reported burning'!A1935</f>
        <v>219f</v>
      </c>
      <c r="B1935" s="156" t="str">
        <f>'Reported burning'!B1935</f>
        <v>219f.3</v>
      </c>
      <c r="C1935" s="156" t="str">
        <f>'Reported burning'!C1935</f>
        <v>Human, deliberate</v>
      </c>
      <c r="D1935" s="156" t="str">
        <f>'Reported burning'!D1935</f>
        <v>Crop field preparation</v>
      </c>
      <c r="E1935" s="156" t="str">
        <f>'Reported burning'!E1935</f>
        <v>Cropping, Monoculture, Market-oriented</v>
      </c>
      <c r="F1935" s="156" t="str">
        <f>'Reported burning'!F1935</f>
        <v>ND</v>
      </c>
      <c r="G1935" s="156" t="str">
        <f>'Reported burning'!G1935</f>
        <v>ND</v>
      </c>
      <c r="H1935" s="156"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5575</v>
      </c>
      <c r="AB1935" s="3"/>
    </row>
    <row r="1936" spans="1:28" ht="43.5">
      <c r="A1936" s="156" t="str">
        <f>'Reported burning'!A1936</f>
        <v>219g</v>
      </c>
      <c r="B1936" s="156" t="str">
        <f>'Reported burning'!B1936</f>
        <v>219g.3</v>
      </c>
      <c r="C1936" s="156" t="str">
        <f>'Reported burning'!C1936</f>
        <v>Human, deliberate</v>
      </c>
      <c r="D1936" s="156" t="str">
        <f>'Reported burning'!D1936</f>
        <v>Crop field preparation</v>
      </c>
      <c r="E1936" s="156" t="str">
        <f>'Reported burning'!E1936</f>
        <v>Cropping, Monoculture, Market-oriented</v>
      </c>
      <c r="F1936" s="156" t="str">
        <f>'Reported burning'!F1936</f>
        <v>ND</v>
      </c>
      <c r="G1936" s="156" t="str">
        <f>'Reported burning'!G1936</f>
        <v>ND</v>
      </c>
      <c r="H1936" s="156"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5575</v>
      </c>
      <c r="AB1936" s="3"/>
    </row>
    <row r="1937" spans="1:28" ht="43.5">
      <c r="A1937" s="156" t="str">
        <f>'Reported burning'!A1937</f>
        <v>219h</v>
      </c>
      <c r="B1937" s="156" t="str">
        <f>'Reported burning'!B1937</f>
        <v>219h.3</v>
      </c>
      <c r="C1937" s="156" t="str">
        <f>'Reported burning'!C1937</f>
        <v>Human, deliberate</v>
      </c>
      <c r="D1937" s="156" t="str">
        <f>'Reported burning'!D1937</f>
        <v>Crop field preparation</v>
      </c>
      <c r="E1937" s="156" t="str">
        <f>'Reported burning'!E1937</f>
        <v>Cropping, Monoculture, Market-oriented</v>
      </c>
      <c r="F1937" s="156" t="str">
        <f>'Reported burning'!F1937</f>
        <v>ND</v>
      </c>
      <c r="G1937" s="156" t="str">
        <f>'Reported burning'!G1937</f>
        <v>ND</v>
      </c>
      <c r="H1937" s="156"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5575</v>
      </c>
      <c r="AB1937" s="3"/>
    </row>
    <row r="1938" spans="1:28" ht="29" customHeight="1">
      <c r="A1938" s="156" t="str">
        <f>'Reported burning'!A1938</f>
        <v>220a</v>
      </c>
      <c r="B1938" s="156" t="str">
        <f>'Reported burning'!B1938</f>
        <v>220a.1</v>
      </c>
      <c r="C1938" s="156" t="str">
        <f>'Reported burning'!C1938</f>
        <v>Human, deliberate</v>
      </c>
      <c r="D1938" s="156" t="str">
        <f>'Reported burning'!D1938</f>
        <v>Pyrome management</v>
      </c>
      <c r="E1938" s="156" t="str">
        <f>'Reported burning'!E1938</f>
        <v>Cropping, Monoculture, Subsistence-oriented</v>
      </c>
      <c r="F1938" s="156" t="str">
        <f>'Reported burning'!F1938</f>
        <v>ND</v>
      </c>
      <c r="G1938" s="156" t="str">
        <f>'Reported burning'!G1938</f>
        <v>ND</v>
      </c>
      <c r="H1938" s="156"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5" t="str">
        <f>'Reported burning'!A1939</f>
        <v>220a</v>
      </c>
      <c r="B1939" s="185" t="str">
        <f>'Reported burning'!B1939</f>
        <v>220a.2</v>
      </c>
      <c r="C1939" s="185" t="str">
        <f>'Reported burning'!C1939</f>
        <v>Human, deliberate</v>
      </c>
      <c r="D1939" s="185" t="str">
        <f>'Reported burning'!D1939</f>
        <v>Pyrome management</v>
      </c>
      <c r="E1939" s="185" t="str">
        <f>'Reported burning'!E1939</f>
        <v>Agroforestry, Subsistence-oriented</v>
      </c>
      <c r="F1939" s="185" t="str">
        <f>'Reported burning'!F1939</f>
        <v>ND</v>
      </c>
      <c r="G1939" s="185" t="str">
        <f>'Reported burning'!G1939</f>
        <v>ND</v>
      </c>
      <c r="H1939" s="185" t="str">
        <f>'Reported burning'!H1939</f>
        <v>Presence</v>
      </c>
      <c r="I1939" s="32"/>
      <c r="J1939" s="168" t="s">
        <v>2276</v>
      </c>
      <c r="K1939" s="168" t="s">
        <v>2276</v>
      </c>
      <c r="L1939" s="168" t="s">
        <v>2276</v>
      </c>
      <c r="M1939" s="168" t="s">
        <v>2276</v>
      </c>
      <c r="N1939" s="168" t="s">
        <v>2276</v>
      </c>
      <c r="O1939" s="168" t="s">
        <v>2276</v>
      </c>
      <c r="P1939" s="168" t="s">
        <v>2276</v>
      </c>
      <c r="Q1939" s="168" t="s">
        <v>2276</v>
      </c>
      <c r="R1939" s="168" t="s">
        <v>2276</v>
      </c>
      <c r="S1939" s="168" t="s">
        <v>2276</v>
      </c>
      <c r="T1939" s="168" t="s">
        <v>2276</v>
      </c>
      <c r="U1939" s="168" t="s">
        <v>2276</v>
      </c>
      <c r="V1939" s="168" t="s">
        <v>2276</v>
      </c>
      <c r="W1939" s="168" t="s">
        <v>2276</v>
      </c>
      <c r="X1939" s="168" t="s">
        <v>2276</v>
      </c>
      <c r="Y1939" s="168" t="s">
        <v>2276</v>
      </c>
      <c r="Z1939" s="168" t="s">
        <v>2276</v>
      </c>
      <c r="AA1939" s="38"/>
      <c r="AB1939" s="38"/>
    </row>
    <row r="1940" spans="1:28" s="122" customFormat="1" ht="31" customHeight="1">
      <c r="A1940" s="152" t="str">
        <f>'Reported burning'!A1940</f>
        <v>221a</v>
      </c>
      <c r="B1940" s="152" t="str">
        <f>'Reported burning'!B1940</f>
        <v>221a.1</v>
      </c>
      <c r="C1940" s="152" t="str">
        <f>'Reported burning'!C1940</f>
        <v>Human, deliberate</v>
      </c>
      <c r="D1940" s="152" t="str">
        <f>'Reported burning'!D1940</f>
        <v>Crop field preparation</v>
      </c>
      <c r="E1940" s="152" t="str">
        <f>'Reported burning'!E1940</f>
        <v>Cropping, Swidden</v>
      </c>
      <c r="F1940" s="152" t="str">
        <f>'Reported burning'!F1940</f>
        <v>Forest</v>
      </c>
      <c r="G1940" s="152" t="str">
        <f>'Reported burning'!G1940</f>
        <v>ND</v>
      </c>
      <c r="H1940" s="152" t="str">
        <f>'Reported burning'!H1940</f>
        <v>Presence</v>
      </c>
      <c r="I1940" s="3"/>
      <c r="J1940" s="4" t="s">
        <v>2276</v>
      </c>
      <c r="K1940" s="103" t="s">
        <v>2362</v>
      </c>
      <c r="L1940" s="4" t="s">
        <v>2276</v>
      </c>
      <c r="M1940" s="4" t="s">
        <v>2276</v>
      </c>
      <c r="N1940" s="4" t="s">
        <v>2276</v>
      </c>
      <c r="O1940" s="103" t="s">
        <v>2375</v>
      </c>
      <c r="P1940" s="4" t="s">
        <v>2276</v>
      </c>
      <c r="Q1940" s="103" t="s">
        <v>2375</v>
      </c>
      <c r="R1940" s="4" t="s">
        <v>2276</v>
      </c>
      <c r="S1940" s="4" t="s">
        <v>2276</v>
      </c>
      <c r="T1940" s="4" t="s">
        <v>2276</v>
      </c>
      <c r="U1940" s="4" t="s">
        <v>2276</v>
      </c>
      <c r="V1940" s="4" t="s">
        <v>2276</v>
      </c>
      <c r="W1940" s="4" t="s">
        <v>2276</v>
      </c>
      <c r="X1940" s="4" t="s">
        <v>2276</v>
      </c>
      <c r="Y1940" s="4" t="s">
        <v>2276</v>
      </c>
      <c r="Z1940" s="4" t="s">
        <v>2276</v>
      </c>
      <c r="AA1940" s="3" t="s">
        <v>5595</v>
      </c>
      <c r="AB1940" s="3"/>
    </row>
    <row r="1941" spans="1:28" s="122" customFormat="1" ht="31" customHeight="1">
      <c r="A1941" s="152" t="str">
        <f>'Reported burning'!A1941</f>
        <v>221a</v>
      </c>
      <c r="B1941" s="152" t="str">
        <f>'Reported burning'!B1941</f>
        <v>221a.2</v>
      </c>
      <c r="C1941" s="152" t="str">
        <f>'Reported burning'!C1941</f>
        <v>Human, deliberate</v>
      </c>
      <c r="D1941" s="152" t="str">
        <f>'Reported burning'!D1941</f>
        <v>Land clearance</v>
      </c>
      <c r="E1941" s="152" t="str">
        <f>'Reported burning'!E1941</f>
        <v>Cropping, Intensive</v>
      </c>
      <c r="F1941" s="152" t="str">
        <f>'Reported burning'!F1941</f>
        <v>Forest</v>
      </c>
      <c r="G1941" s="152" t="str">
        <f>'Reported burning'!G1941</f>
        <v>ND</v>
      </c>
      <c r="H1941" s="152"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6" t="str">
        <f>'Reported burning'!A1942</f>
        <v>222a</v>
      </c>
      <c r="B1942" s="156" t="str">
        <f>'Reported burning'!B1942</f>
        <v>222a.1</v>
      </c>
      <c r="C1942" s="156" t="str">
        <f>'Reported burning'!C1942</f>
        <v>Human, deliberate</v>
      </c>
      <c r="D1942" s="156" t="str">
        <f>'Reported burning'!D1942</f>
        <v>Crop field preparation</v>
      </c>
      <c r="E1942" s="156" t="str">
        <f>'Reported burning'!E1942</f>
        <v>Cropping, Swidden</v>
      </c>
      <c r="F1942" s="156" t="str">
        <f>'Reported burning'!F1942</f>
        <v>Secondary vegetation</v>
      </c>
      <c r="G1942" s="156" t="str">
        <f>'Reported burning'!G1942</f>
        <v>ND</v>
      </c>
      <c r="H1942" s="156"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6" t="str">
        <f>'Reported burning'!A1943</f>
        <v>222b</v>
      </c>
      <c r="B1943" s="156" t="str">
        <f>'Reported burning'!B1943</f>
        <v>222b.1</v>
      </c>
      <c r="C1943" s="156" t="str">
        <f>'Reported burning'!C1943</f>
        <v>Human, deliberate</v>
      </c>
      <c r="D1943" s="156" t="str">
        <f>'Reported burning'!D1943</f>
        <v>Crop field preparation</v>
      </c>
      <c r="E1943" s="156" t="str">
        <f>'Reported burning'!E1943</f>
        <v>Cropping, Swidden</v>
      </c>
      <c r="F1943" s="156" t="str">
        <f>'Reported burning'!F1943</f>
        <v>Secondary vegetation</v>
      </c>
      <c r="G1943" s="156" t="str">
        <f>'Reported burning'!G1943</f>
        <v>ND</v>
      </c>
      <c r="H1943" s="156"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6" t="str">
        <f>'Reported burning'!A1944</f>
        <v>222a</v>
      </c>
      <c r="B1944" s="156" t="str">
        <f>'Reported burning'!B1944</f>
        <v>222a.2</v>
      </c>
      <c r="C1944" s="156" t="str">
        <f>'Reported burning'!C1944</f>
        <v>Human, deliberate</v>
      </c>
      <c r="D1944" s="156" t="str">
        <f>'Reported burning'!D1944</f>
        <v>Crop field preparation</v>
      </c>
      <c r="E1944" s="156" t="str">
        <f>'Reported burning'!E1944</f>
        <v>Cropping, Swidden</v>
      </c>
      <c r="F1944" s="156" t="str">
        <f>'Reported burning'!F1944</f>
        <v>Forest</v>
      </c>
      <c r="G1944" s="156" t="str">
        <f>'Reported burning'!G1944</f>
        <v>ND</v>
      </c>
      <c r="H1944" s="156"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6" t="str">
        <f>'Reported burning'!A1945</f>
        <v>222b</v>
      </c>
      <c r="B1945" s="156" t="str">
        <f>'Reported burning'!B1945</f>
        <v>222b.2</v>
      </c>
      <c r="C1945" s="156" t="str">
        <f>'Reported burning'!C1945</f>
        <v>Human, deliberate</v>
      </c>
      <c r="D1945" s="156" t="str">
        <f>'Reported burning'!D1945</f>
        <v>Crop field preparation</v>
      </c>
      <c r="E1945" s="156" t="str">
        <f>'Reported burning'!E1945</f>
        <v>Cropping, Swidden</v>
      </c>
      <c r="F1945" s="156" t="str">
        <f>'Reported burning'!F1945</f>
        <v>Forest</v>
      </c>
      <c r="G1945" s="156" t="str">
        <f>'Reported burning'!G1945</f>
        <v>ND</v>
      </c>
      <c r="H1945" s="156"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6" t="str">
        <f>'Reported burning'!A1946</f>
        <v>222a</v>
      </c>
      <c r="B1946" s="156" t="str">
        <f>'Reported burning'!B1946</f>
        <v>222a.3</v>
      </c>
      <c r="C1946" s="156" t="str">
        <f>'Reported burning'!C1946</f>
        <v>Human, deliberate</v>
      </c>
      <c r="D1946" s="156" t="str">
        <f>'Reported burning'!D1946</f>
        <v>Pasture renewal</v>
      </c>
      <c r="E1946" s="156" t="str">
        <f>'Reported burning'!E1946</f>
        <v>Cattle, Extensive</v>
      </c>
      <c r="F1946" s="156" t="str">
        <f>'Reported burning'!F1946</f>
        <v>Pasture</v>
      </c>
      <c r="G1946" s="156" t="str">
        <f>'Reported burning'!G1946</f>
        <v>Pasture</v>
      </c>
      <c r="H1946" s="156"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6" t="str">
        <f>'Reported burning'!A1947</f>
        <v>222b</v>
      </c>
      <c r="B1947" s="156" t="str">
        <f>'Reported burning'!B1947</f>
        <v>222b.3</v>
      </c>
      <c r="C1947" s="156" t="str">
        <f>'Reported burning'!C1947</f>
        <v>Human, deliberate</v>
      </c>
      <c r="D1947" s="156" t="str">
        <f>'Reported burning'!D1947</f>
        <v>Pasture renewal</v>
      </c>
      <c r="E1947" s="156" t="str">
        <f>'Reported burning'!E1947</f>
        <v>Cattle, Extensive</v>
      </c>
      <c r="F1947" s="156" t="str">
        <f>'Reported burning'!F1947</f>
        <v>Pasture</v>
      </c>
      <c r="G1947" s="156" t="str">
        <f>'Reported burning'!G1947</f>
        <v>Pasture</v>
      </c>
      <c r="H1947" s="156"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6" t="str">
        <f>'Reported burning'!A1948</f>
        <v>222a</v>
      </c>
      <c r="B1948" s="156" t="str">
        <f>'Reported burning'!B1948</f>
        <v>222a.4</v>
      </c>
      <c r="C1948" s="156" t="str">
        <f>'Reported burning'!C1948</f>
        <v>Human, escaped</v>
      </c>
      <c r="D1948" s="156" t="str">
        <f>'Reported burning'!D1948</f>
        <v>Forest clearance</v>
      </c>
      <c r="E1948" s="156" t="str">
        <f>'Reported burning'!E1948</f>
        <v>Cattle, Extensive</v>
      </c>
      <c r="F1948" s="156" t="str">
        <f>'Reported burning'!F1948</f>
        <v>Pasture</v>
      </c>
      <c r="G1948" s="156" t="str">
        <f>'Reported burning'!G1948</f>
        <v>ND</v>
      </c>
      <c r="H1948" s="156"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6" t="str">
        <f>'Reported burning'!A1949</f>
        <v>222b</v>
      </c>
      <c r="B1949" s="156" t="str">
        <f>'Reported burning'!B1949</f>
        <v>222b.4</v>
      </c>
      <c r="C1949" s="156" t="str">
        <f>'Reported burning'!C1949</f>
        <v>Human, escaped</v>
      </c>
      <c r="D1949" s="156" t="str">
        <f>'Reported burning'!D1949</f>
        <v>Forest clearance</v>
      </c>
      <c r="E1949" s="156" t="str">
        <f>'Reported burning'!E1949</f>
        <v>Cattle, Extensive</v>
      </c>
      <c r="F1949" s="156" t="str">
        <f>'Reported burning'!F1949</f>
        <v>Pasture</v>
      </c>
      <c r="G1949" s="156" t="str">
        <f>'Reported burning'!G1949</f>
        <v>ND</v>
      </c>
      <c r="H1949" s="156"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6" t="str">
        <f>'Reported burning'!A1950</f>
        <v>222a</v>
      </c>
      <c r="B1950" s="156" t="str">
        <f>'Reported burning'!B1950</f>
        <v>222a.5</v>
      </c>
      <c r="C1950" s="156" t="str">
        <f>'Reported burning'!C1950</f>
        <v>Human, escaped</v>
      </c>
      <c r="D1950" s="156" t="str">
        <f>'Reported burning'!D1950</f>
        <v>ND</v>
      </c>
      <c r="E1950" s="156" t="str">
        <f>'Reported burning'!E1950</f>
        <v>Cattle, Extensive</v>
      </c>
      <c r="F1950" s="156" t="str">
        <f>'Reported burning'!F1950</f>
        <v>Pasture</v>
      </c>
      <c r="G1950" s="156" t="str">
        <f>'Reported burning'!G1950</f>
        <v>ND</v>
      </c>
      <c r="H1950" s="156"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5614</v>
      </c>
      <c r="AB1950" s="4" t="s">
        <v>5613</v>
      </c>
    </row>
    <row r="1951" spans="1:28" ht="111" customHeight="1">
      <c r="A1951" s="156" t="str">
        <f>'Reported burning'!A1951</f>
        <v>222b</v>
      </c>
      <c r="B1951" s="156" t="str">
        <f>'Reported burning'!B1951</f>
        <v>222b.5</v>
      </c>
      <c r="C1951" s="156" t="str">
        <f>'Reported burning'!C1951</f>
        <v>Human, escaped</v>
      </c>
      <c r="D1951" s="156" t="str">
        <f>'Reported burning'!D1951</f>
        <v>ND</v>
      </c>
      <c r="E1951" s="156" t="str">
        <f>'Reported burning'!E1951</f>
        <v>Cattle, Extensive</v>
      </c>
      <c r="F1951" s="156" t="str">
        <f>'Reported burning'!F1951</f>
        <v>Pasture</v>
      </c>
      <c r="G1951" s="156" t="str">
        <f>'Reported burning'!G1951</f>
        <v>ND</v>
      </c>
      <c r="H1951" s="156"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5614</v>
      </c>
      <c r="AB1951" s="4" t="s">
        <v>5613</v>
      </c>
    </row>
    <row r="1952" spans="1:28" ht="29" customHeight="1">
      <c r="A1952" s="156" t="str">
        <f>'Reported burning'!A1952</f>
        <v>222b</v>
      </c>
      <c r="B1952" s="156" t="str">
        <f>'Reported burning'!B1952</f>
        <v>222b.6</v>
      </c>
      <c r="C1952" s="156" t="str">
        <f>'Reported burning'!C1952</f>
        <v>Human, accidental</v>
      </c>
      <c r="D1952" s="156" t="str">
        <f>'Reported burning'!D1952</f>
        <v>Accidental</v>
      </c>
      <c r="E1952" s="156" t="str">
        <f>'Reported burning'!E1952</f>
        <v>ND</v>
      </c>
      <c r="F1952" s="156" t="str">
        <f>'Reported burning'!F1952</f>
        <v>ND</v>
      </c>
      <c r="G1952" s="156" t="str">
        <f>'Reported burning'!G1952</f>
        <v>ND</v>
      </c>
      <c r="H1952" s="156"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6" t="str">
        <f>'Reported burning'!A1953</f>
        <v>222b</v>
      </c>
      <c r="B1953" s="156" t="str">
        <f>'Reported burning'!B1953</f>
        <v>222b.7</v>
      </c>
      <c r="C1953" s="156" t="str">
        <f>'Reported burning'!C1953</f>
        <v>Human, deliberate</v>
      </c>
      <c r="D1953" s="156" t="str">
        <f>'Reported burning'!D1953</f>
        <v>Arson</v>
      </c>
      <c r="E1953" s="156" t="str">
        <f>'Reported burning'!E1953</f>
        <v>ND</v>
      </c>
      <c r="F1953" s="156" t="str">
        <f>'Reported burning'!F1953</f>
        <v>ND</v>
      </c>
      <c r="G1953" s="156" t="str">
        <f>'Reported burning'!G1953</f>
        <v>ND</v>
      </c>
      <c r="H1953" s="156"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6" t="str">
        <f>'Reported burning'!A1954</f>
        <v>222b</v>
      </c>
      <c r="B1954" s="156" t="str">
        <f>'Reported burning'!B1954</f>
        <v>222b.8</v>
      </c>
      <c r="C1954" s="156" t="str">
        <f>'Reported burning'!C1954</f>
        <v>Human, deliberate</v>
      </c>
      <c r="D1954" s="156" t="str">
        <f>'Reported burning'!D1954</f>
        <v>Domestic</v>
      </c>
      <c r="E1954" s="156" t="str">
        <f>'Reported burning'!E1954</f>
        <v>ND</v>
      </c>
      <c r="F1954" s="156" t="str">
        <f>'Reported burning'!F1954</f>
        <v>ND</v>
      </c>
      <c r="G1954" s="156" t="str">
        <f>'Reported burning'!G1954</f>
        <v>ND</v>
      </c>
      <c r="H1954" s="156"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6" t="str">
        <f>'Reported burning'!A1955</f>
        <v>223a</v>
      </c>
      <c r="B1955" s="156" t="str">
        <f>'Reported burning'!B1955</f>
        <v>223a.1</v>
      </c>
      <c r="C1955" s="156" t="str">
        <f>'Reported burning'!C1955</f>
        <v>Human, deliberate</v>
      </c>
      <c r="D1955" s="156" t="str">
        <f>'Reported burning'!D1955</f>
        <v>Crop field preparation</v>
      </c>
      <c r="E1955" s="156" t="str">
        <f>'Reported burning'!E1955</f>
        <v>Cropping, Swidden</v>
      </c>
      <c r="F1955" s="156" t="str">
        <f>'Reported burning'!F1955</f>
        <v>Secondary vegetation</v>
      </c>
      <c r="G1955" s="156" t="str">
        <f>'Reported burning'!G1955</f>
        <v>ND</v>
      </c>
      <c r="H1955" s="156"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6" t="str">
        <f>'Reported burning'!A1956</f>
        <v>223b</v>
      </c>
      <c r="B1956" s="156" t="str">
        <f>'Reported burning'!B1956</f>
        <v>223b.1</v>
      </c>
      <c r="C1956" s="156" t="str">
        <f>'Reported burning'!C1956</f>
        <v>Human, deliberate</v>
      </c>
      <c r="D1956" s="156" t="str">
        <f>'Reported burning'!D1956</f>
        <v>Crop field preparation</v>
      </c>
      <c r="E1956" s="156" t="str">
        <f>'Reported burning'!E1956</f>
        <v>Cropping, Swidden</v>
      </c>
      <c r="F1956" s="156" t="str">
        <f>'Reported burning'!F1956</f>
        <v>Secondary vegetation</v>
      </c>
      <c r="G1956" s="156" t="str">
        <f>'Reported burning'!G1956</f>
        <v>ND</v>
      </c>
      <c r="H1956" s="156"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6" t="str">
        <f>'Reported burning'!A1957</f>
        <v>223c</v>
      </c>
      <c r="B1957" s="156" t="str">
        <f>'Reported burning'!B1957</f>
        <v>223c.1</v>
      </c>
      <c r="C1957" s="156" t="str">
        <f>'Reported burning'!C1957</f>
        <v>Human, deliberate</v>
      </c>
      <c r="D1957" s="156" t="str">
        <f>'Reported burning'!D1957</f>
        <v>Crop field preparation</v>
      </c>
      <c r="E1957" s="156" t="str">
        <f>'Reported burning'!E1957</f>
        <v>Cropping, Swidden</v>
      </c>
      <c r="F1957" s="156" t="str">
        <f>'Reported burning'!F1957</f>
        <v>Secondary vegetation</v>
      </c>
      <c r="G1957" s="156" t="str">
        <f>'Reported burning'!G1957</f>
        <v>ND</v>
      </c>
      <c r="H1957" s="156"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6" t="str">
        <f>'Reported burning'!A1958</f>
        <v>223d</v>
      </c>
      <c r="B1958" s="156" t="str">
        <f>'Reported burning'!B1958</f>
        <v>223d.1</v>
      </c>
      <c r="C1958" s="156" t="str">
        <f>'Reported burning'!C1958</f>
        <v>Human, deliberate</v>
      </c>
      <c r="D1958" s="156" t="str">
        <f>'Reported burning'!D1958</f>
        <v>Crop field preparation</v>
      </c>
      <c r="E1958" s="156" t="str">
        <f>'Reported burning'!E1958</f>
        <v>Cropping, Swidden</v>
      </c>
      <c r="F1958" s="156" t="str">
        <f>'Reported burning'!F1958</f>
        <v>Secondary vegetation</v>
      </c>
      <c r="G1958" s="156" t="str">
        <f>'Reported burning'!G1958</f>
        <v>ND</v>
      </c>
      <c r="H1958" s="156"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6" t="str">
        <f>'Reported burning'!A1959</f>
        <v>223a</v>
      </c>
      <c r="B1959" s="156" t="str">
        <f>'Reported burning'!B1959</f>
        <v>223a.2</v>
      </c>
      <c r="C1959" s="156" t="str">
        <f>'Reported burning'!C1959</f>
        <v>Human, deliberate</v>
      </c>
      <c r="D1959" s="156" t="str">
        <f>'Reported burning'!D1959</f>
        <v>Pasture renewal</v>
      </c>
      <c r="E1959" s="156" t="str">
        <f>'Reported burning'!E1959</f>
        <v>Cattle, Extensive</v>
      </c>
      <c r="F1959" s="156" t="str">
        <f>'Reported burning'!F1959</f>
        <v>Pasture</v>
      </c>
      <c r="G1959" s="156" t="str">
        <f>'Reported burning'!G1959</f>
        <v>ND</v>
      </c>
      <c r="H1959" s="156"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6" t="str">
        <f>'Reported burning'!A1960</f>
        <v>223b</v>
      </c>
      <c r="B1960" s="156" t="str">
        <f>'Reported burning'!B1960</f>
        <v>223b.2</v>
      </c>
      <c r="C1960" s="156" t="str">
        <f>'Reported burning'!C1960</f>
        <v>Human, deliberate</v>
      </c>
      <c r="D1960" s="156" t="str">
        <f>'Reported burning'!D1960</f>
        <v>Pasture renewal</v>
      </c>
      <c r="E1960" s="156" t="str">
        <f>'Reported burning'!E1960</f>
        <v>Cattle, Extensive</v>
      </c>
      <c r="F1960" s="156" t="str">
        <f>'Reported burning'!F1960</f>
        <v>Pasture</v>
      </c>
      <c r="G1960" s="156" t="str">
        <f>'Reported burning'!G1960</f>
        <v>ND</v>
      </c>
      <c r="H1960" s="156"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6" t="str">
        <f>'Reported burning'!A1961</f>
        <v>223c</v>
      </c>
      <c r="B1961" s="156" t="str">
        <f>'Reported burning'!B1961</f>
        <v>223c.2</v>
      </c>
      <c r="C1961" s="156" t="str">
        <f>'Reported burning'!C1961</f>
        <v>Human, deliberate</v>
      </c>
      <c r="D1961" s="156" t="str">
        <f>'Reported burning'!D1961</f>
        <v>Pasture renewal</v>
      </c>
      <c r="E1961" s="156" t="str">
        <f>'Reported burning'!E1961</f>
        <v>Cattle, Extensive</v>
      </c>
      <c r="F1961" s="156" t="str">
        <f>'Reported burning'!F1961</f>
        <v>Pasture</v>
      </c>
      <c r="G1961" s="156" t="str">
        <f>'Reported burning'!G1961</f>
        <v>ND</v>
      </c>
      <c r="H1961" s="156"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6" t="str">
        <f>'Reported burning'!A1962</f>
        <v>223d</v>
      </c>
      <c r="B1962" s="156" t="str">
        <f>'Reported burning'!B1962</f>
        <v>223d.2</v>
      </c>
      <c r="C1962" s="156" t="str">
        <f>'Reported burning'!C1962</f>
        <v>Human, deliberate</v>
      </c>
      <c r="D1962" s="156" t="str">
        <f>'Reported burning'!D1962</f>
        <v>Pasture renewal</v>
      </c>
      <c r="E1962" s="156" t="str">
        <f>'Reported burning'!E1962</f>
        <v>Cattle, Extensive</v>
      </c>
      <c r="F1962" s="156" t="str">
        <f>'Reported burning'!F1962</f>
        <v>Pasture</v>
      </c>
      <c r="G1962" s="156" t="str">
        <f>'Reported burning'!G1962</f>
        <v>ND</v>
      </c>
      <c r="H1962" s="156"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6" t="str">
        <f>'Reported burning'!A1963</f>
        <v>223a</v>
      </c>
      <c r="B1963" s="156" t="str">
        <f>'Reported burning'!B1963</f>
        <v>223a.3</v>
      </c>
      <c r="C1963" s="156" t="str">
        <f>'Reported burning'!C1963</f>
        <v>Human, escaped</v>
      </c>
      <c r="D1963" s="156" t="str">
        <f>'Reported burning'!D1963</f>
        <v>ND</v>
      </c>
      <c r="E1963" s="156" t="str">
        <f>'Reported burning'!E1963</f>
        <v>ND</v>
      </c>
      <c r="F1963" s="156" t="str">
        <f>'Reported burning'!F1963</f>
        <v>ND</v>
      </c>
      <c r="G1963" s="156" t="str">
        <f>'Reported burning'!G1963</f>
        <v>ND</v>
      </c>
      <c r="H1963" s="156"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5646</v>
      </c>
      <c r="AB1963" s="4" t="s">
        <v>5647</v>
      </c>
    </row>
    <row r="1964" spans="1:28" ht="85.5" customHeight="1">
      <c r="A1964" s="156" t="str">
        <f>'Reported burning'!A1964</f>
        <v>223b</v>
      </c>
      <c r="B1964" s="156" t="str">
        <f>'Reported burning'!B1964</f>
        <v>223b.3</v>
      </c>
      <c r="C1964" s="156" t="str">
        <f>'Reported burning'!C1964</f>
        <v>Human, escaped</v>
      </c>
      <c r="D1964" s="156" t="str">
        <f>'Reported burning'!D1964</f>
        <v>ND</v>
      </c>
      <c r="E1964" s="156" t="str">
        <f>'Reported burning'!E1964</f>
        <v>ND</v>
      </c>
      <c r="F1964" s="156" t="str">
        <f>'Reported burning'!F1964</f>
        <v>ND</v>
      </c>
      <c r="G1964" s="156" t="str">
        <f>'Reported burning'!G1964</f>
        <v>ND</v>
      </c>
      <c r="H1964" s="156"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5646</v>
      </c>
      <c r="AB1964" s="4" t="s">
        <v>5647</v>
      </c>
    </row>
    <row r="1965" spans="1:28" ht="85.5" customHeight="1">
      <c r="A1965" s="156" t="str">
        <f>'Reported burning'!A1965</f>
        <v>223c</v>
      </c>
      <c r="B1965" s="156" t="str">
        <f>'Reported burning'!B1965</f>
        <v>223c.3</v>
      </c>
      <c r="C1965" s="156" t="str">
        <f>'Reported burning'!C1965</f>
        <v>Human, escaped</v>
      </c>
      <c r="D1965" s="156" t="str">
        <f>'Reported burning'!D1965</f>
        <v>ND</v>
      </c>
      <c r="E1965" s="156" t="str">
        <f>'Reported burning'!E1965</f>
        <v>ND</v>
      </c>
      <c r="F1965" s="156" t="str">
        <f>'Reported burning'!F1965</f>
        <v>ND</v>
      </c>
      <c r="G1965" s="156" t="str">
        <f>'Reported burning'!G1965</f>
        <v>ND</v>
      </c>
      <c r="H1965" s="156"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5646</v>
      </c>
      <c r="AB1965" s="4" t="s">
        <v>5647</v>
      </c>
    </row>
    <row r="1966" spans="1:28" ht="85.5" customHeight="1">
      <c r="A1966" s="156" t="str">
        <f>'Reported burning'!A1966</f>
        <v>223d</v>
      </c>
      <c r="B1966" s="156" t="str">
        <f>'Reported burning'!B1966</f>
        <v>223d.3</v>
      </c>
      <c r="C1966" s="156" t="str">
        <f>'Reported burning'!C1966</f>
        <v>Human, escaped</v>
      </c>
      <c r="D1966" s="156" t="str">
        <f>'Reported burning'!D1966</f>
        <v>ND</v>
      </c>
      <c r="E1966" s="156" t="str">
        <f>'Reported burning'!E1966</f>
        <v>ND</v>
      </c>
      <c r="F1966" s="156" t="str">
        <f>'Reported burning'!F1966</f>
        <v>ND</v>
      </c>
      <c r="G1966" s="156" t="str">
        <f>'Reported burning'!G1966</f>
        <v>ND</v>
      </c>
      <c r="H1966" s="156"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5646</v>
      </c>
      <c r="AB1966" s="4" t="s">
        <v>5647</v>
      </c>
    </row>
    <row r="1967" spans="1:28" ht="40" customHeight="1">
      <c r="A1967" s="156" t="str">
        <f>'Reported burning'!A1967</f>
        <v>224a</v>
      </c>
      <c r="B1967" s="156" t="str">
        <f>'Reported burning'!B1967</f>
        <v>224a.1</v>
      </c>
      <c r="C1967" s="156" t="str">
        <f>'Reported burning'!C1967</f>
        <v>Human, deliberate</v>
      </c>
      <c r="D1967" s="156" t="str">
        <f>'Reported burning'!D1967</f>
        <v>Land clearance</v>
      </c>
      <c r="E1967" s="156" t="str">
        <f>'Reported burning'!E1967</f>
        <v>Cropping, Swidden</v>
      </c>
      <c r="F1967" s="156" t="str">
        <f>'Reported burning'!F1967</f>
        <v>Forest</v>
      </c>
      <c r="G1967" s="156" t="str">
        <f>'Reported burning'!G1967</f>
        <v>ND</v>
      </c>
      <c r="H1967" s="156"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6" t="str">
        <f>'Reported burning'!A1968</f>
        <v>224a</v>
      </c>
      <c r="B1968" s="156" t="str">
        <f>'Reported burning'!B1968</f>
        <v>224a.2</v>
      </c>
      <c r="C1968" s="156" t="str">
        <f>'Reported burning'!C1968</f>
        <v>Human, deliberate</v>
      </c>
      <c r="D1968" s="156" t="str">
        <f>'Reported burning'!D1968</f>
        <v>Land clearance</v>
      </c>
      <c r="E1968" s="156" t="str">
        <f>'Reported burning'!E1968</f>
        <v>Cropping, Monoculture, Market-oriented</v>
      </c>
      <c r="F1968" s="156" t="str">
        <f>'Reported burning'!F1968</f>
        <v>Forest</v>
      </c>
      <c r="G1968" s="156" t="str">
        <f>'Reported burning'!G1968</f>
        <v>ND</v>
      </c>
      <c r="H1968" s="156"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6" t="str">
        <f>'Reported burning'!A1969</f>
        <v>224a</v>
      </c>
      <c r="B1969" s="156" t="str">
        <f>'Reported burning'!B1969</f>
        <v>224a.3</v>
      </c>
      <c r="C1969" s="156" t="str">
        <f>'Reported burning'!C1969</f>
        <v>Human, deliberate</v>
      </c>
      <c r="D1969" s="156" t="str">
        <f>'Reported burning'!D1969</f>
        <v>Land clearance</v>
      </c>
      <c r="E1969" s="156" t="str">
        <f>'Reported burning'!E1969</f>
        <v>Cattle, Intensive</v>
      </c>
      <c r="F1969" s="156" t="str">
        <f>'Reported burning'!F1969</f>
        <v>Forest</v>
      </c>
      <c r="G1969" s="156" t="str">
        <f>'Reported burning'!G1969</f>
        <v>ND</v>
      </c>
      <c r="H1969" s="156"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6" t="str">
        <f>'Reported burning'!A1970</f>
        <v>224a</v>
      </c>
      <c r="B1970" s="156" t="str">
        <f>'Reported burning'!B1970</f>
        <v>224a.4</v>
      </c>
      <c r="C1970" s="156" t="str">
        <f>'Reported burning'!C1970</f>
        <v>Human, deliberate</v>
      </c>
      <c r="D1970" s="156" t="str">
        <f>'Reported burning'!D1970</f>
        <v>Arson</v>
      </c>
      <c r="E1970" s="156" t="str">
        <f>'Reported burning'!E1970</f>
        <v>Cropping, Monoculture, Market-oriented</v>
      </c>
      <c r="F1970" s="156" t="str">
        <f>'Reported burning'!F1970</f>
        <v>Forest</v>
      </c>
      <c r="G1970" s="156" t="str">
        <f>'Reported burning'!G1970</f>
        <v>ND</v>
      </c>
      <c r="H1970" s="156"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6" t="str">
        <f>'Reported burning'!A1971</f>
        <v>224a</v>
      </c>
      <c r="B1971" s="156" t="str">
        <f>'Reported burning'!B1971</f>
        <v>224a.5</v>
      </c>
      <c r="C1971" s="156" t="str">
        <f>'Reported burning'!C1971</f>
        <v>Human, deliberate</v>
      </c>
      <c r="D1971" s="156" t="str">
        <f>'Reported burning'!D1971</f>
        <v>Arson</v>
      </c>
      <c r="E1971" s="156" t="str">
        <f>'Reported burning'!E1971</f>
        <v>Cattle, Intensive</v>
      </c>
      <c r="F1971" s="156" t="str">
        <f>'Reported burning'!F1971</f>
        <v>Forest</v>
      </c>
      <c r="G1971" s="156" t="str">
        <f>'Reported burning'!G1971</f>
        <v>ND</v>
      </c>
      <c r="H1971" s="156"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6" t="str">
        <f>'Reported burning'!A1972</f>
        <v>225a</v>
      </c>
      <c r="B1972" s="156" t="str">
        <f>'Reported burning'!B1972</f>
        <v>225a.1</v>
      </c>
      <c r="C1972" s="156" t="str">
        <f>'Reported burning'!C1972</f>
        <v>Human, deliberate</v>
      </c>
      <c r="D1972" s="156" t="str">
        <f>'Reported burning'!D1972</f>
        <v>Cultural &amp; Spiritual</v>
      </c>
      <c r="E1972" s="156" t="str">
        <f>'Reported burning'!E1972</f>
        <v>Biodiversity conservation</v>
      </c>
      <c r="F1972" s="156" t="str">
        <f>'Reported burning'!F1972</f>
        <v>Shrubland (Mixed forest &amp; grassland)</v>
      </c>
      <c r="G1972" s="156" t="str">
        <f>'Reported burning'!G1972</f>
        <v>ND</v>
      </c>
      <c r="H1972" s="156"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5672</v>
      </c>
      <c r="AB1972" s="3"/>
    </row>
    <row r="1973" spans="1:28" ht="29">
      <c r="A1973" s="156" t="str">
        <f>'Reported burning'!A1973</f>
        <v>225a</v>
      </c>
      <c r="B1973" s="156" t="str">
        <f>'Reported burning'!B1973</f>
        <v>225a.2</v>
      </c>
      <c r="C1973" s="156" t="str">
        <f>'Reported burning'!C1973</f>
        <v>Human, deliberate</v>
      </c>
      <c r="D1973" s="156" t="str">
        <f>'Reported burning'!D1973</f>
        <v>Pyrome management</v>
      </c>
      <c r="E1973" s="156" t="str">
        <f>'Reported burning'!E1973</f>
        <v>Biodiversity conservation</v>
      </c>
      <c r="F1973" s="156" t="str">
        <f>'Reported burning'!F1973</f>
        <v>Shrubland (Mixed forest &amp; grassland)</v>
      </c>
      <c r="G1973" s="156" t="str">
        <f>'Reported burning'!G1973</f>
        <v>ND</v>
      </c>
      <c r="H1973" s="156"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5672</v>
      </c>
      <c r="AB1973" s="3"/>
    </row>
    <row r="1974" spans="1:28" ht="29">
      <c r="A1974" s="156" t="str">
        <f>'Reported burning'!A1974</f>
        <v>225a</v>
      </c>
      <c r="B1974" s="156" t="str">
        <f>'Reported burning'!B1974</f>
        <v>225a.3</v>
      </c>
      <c r="C1974" s="156" t="str">
        <f>'Reported burning'!C1974</f>
        <v>Human, deliberate</v>
      </c>
      <c r="D1974" s="156" t="str">
        <f>'Reported burning'!D1974</f>
        <v>Cultural &amp; Spiritual</v>
      </c>
      <c r="E1974" s="156" t="str">
        <f>'Reported burning'!E1974</f>
        <v>Biodiversity conservation</v>
      </c>
      <c r="F1974" s="156" t="str">
        <f>'Reported burning'!F1974</f>
        <v>Shrubland (Mixed forest &amp; grassland)</v>
      </c>
      <c r="G1974" s="156" t="str">
        <f>'Reported burning'!G1974</f>
        <v>ND</v>
      </c>
      <c r="H1974" s="156"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5672</v>
      </c>
      <c r="AB1974" s="3"/>
    </row>
    <row r="1975" spans="1:28" ht="29">
      <c r="A1975" s="156" t="str">
        <f>'Reported burning'!A1975</f>
        <v>225a</v>
      </c>
      <c r="B1975" s="156" t="str">
        <f>'Reported burning'!B1975</f>
        <v>225a.4</v>
      </c>
      <c r="C1975" s="156" t="str">
        <f>'Reported burning'!C1975</f>
        <v>Human, deliberate</v>
      </c>
      <c r="D1975" s="156" t="str">
        <f>'Reported burning'!D1975</f>
        <v>Pyrome management</v>
      </c>
      <c r="E1975" s="156" t="str">
        <f>'Reported burning'!E1975</f>
        <v>Biodiversity conservation</v>
      </c>
      <c r="F1975" s="156" t="str">
        <f>'Reported burning'!F1975</f>
        <v>Shrubland (Mixed forest &amp; grassland)</v>
      </c>
      <c r="G1975" s="156" t="str">
        <f>'Reported burning'!G1975</f>
        <v>ND</v>
      </c>
      <c r="H1975" s="156"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5672</v>
      </c>
      <c r="AB1975" s="3"/>
    </row>
    <row r="1976" spans="1:28" ht="29">
      <c r="A1976" s="156" t="str">
        <f>'Reported burning'!A1976</f>
        <v>225a</v>
      </c>
      <c r="B1976" s="156" t="str">
        <f>'Reported burning'!B1976</f>
        <v>225a.5</v>
      </c>
      <c r="C1976" s="156" t="str">
        <f>'Reported burning'!C1976</f>
        <v>Human, deliberate</v>
      </c>
      <c r="D1976" s="156" t="str">
        <f>'Reported burning'!D1976</f>
        <v>Cultural &amp; Spiritual</v>
      </c>
      <c r="E1976" s="156" t="str">
        <f>'Reported burning'!E1976</f>
        <v>Forestry, Traditional</v>
      </c>
      <c r="F1976" s="156" t="str">
        <f>'Reported burning'!F1976</f>
        <v>Shrubland (Mixed forest &amp; grassland)</v>
      </c>
      <c r="G1976" s="156" t="str">
        <f>'Reported burning'!G1976</f>
        <v>ND</v>
      </c>
      <c r="H1976" s="156"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5673</v>
      </c>
      <c r="AB1976" s="3"/>
    </row>
    <row r="1977" spans="1:28" ht="29">
      <c r="A1977" s="156" t="str">
        <f>'Reported burning'!A1977</f>
        <v>225a</v>
      </c>
      <c r="B1977" s="156" t="str">
        <f>'Reported burning'!B1977</f>
        <v>225a.6</v>
      </c>
      <c r="C1977" s="156" t="str">
        <f>'Reported burning'!C1977</f>
        <v>Human, deliberate</v>
      </c>
      <c r="D1977" s="156" t="str">
        <f>'Reported burning'!D1977</f>
        <v>Pyrome management</v>
      </c>
      <c r="E1977" s="156" t="str">
        <f>'Reported burning'!E1977</f>
        <v>Forestry, Traditional</v>
      </c>
      <c r="F1977" s="156" t="str">
        <f>'Reported burning'!F1977</f>
        <v>Shrubland (Mixed forest &amp; grassland)</v>
      </c>
      <c r="G1977" s="156" t="str">
        <f>'Reported burning'!G1977</f>
        <v>ND</v>
      </c>
      <c r="H1977" s="156"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5673</v>
      </c>
      <c r="AB1977" s="3"/>
    </row>
    <row r="1978" spans="1:28" ht="29">
      <c r="A1978" s="156" t="str">
        <f>'Reported burning'!A1978</f>
        <v>225a</v>
      </c>
      <c r="B1978" s="156" t="str">
        <f>'Reported burning'!B1978</f>
        <v>225a.7</v>
      </c>
      <c r="C1978" s="156" t="str">
        <f>'Reported burning'!C1978</f>
        <v>Human, deliberate</v>
      </c>
      <c r="D1978" s="156" t="str">
        <f>'Reported burning'!D1978</f>
        <v>Cultural &amp; Spiritual</v>
      </c>
      <c r="E1978" s="156" t="str">
        <f>'Reported burning'!E1978</f>
        <v>Forestry, Traditional</v>
      </c>
      <c r="F1978" s="156" t="str">
        <f>'Reported burning'!F1978</f>
        <v>Shrubland (Mixed forest &amp; grassland)</v>
      </c>
      <c r="G1978" s="156" t="str">
        <f>'Reported burning'!G1978</f>
        <v>ND</v>
      </c>
      <c r="H1978" s="156"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5673</v>
      </c>
      <c r="AB1978" s="3"/>
    </row>
    <row r="1979" spans="1:28" ht="29">
      <c r="A1979" s="156" t="str">
        <f>'Reported burning'!A1979</f>
        <v>225a</v>
      </c>
      <c r="B1979" s="156" t="str">
        <f>'Reported burning'!B1979</f>
        <v>225a.8</v>
      </c>
      <c r="C1979" s="156" t="str">
        <f>'Reported burning'!C1979</f>
        <v>Human, deliberate</v>
      </c>
      <c r="D1979" s="156" t="str">
        <f>'Reported burning'!D1979</f>
        <v>Pyrome management</v>
      </c>
      <c r="E1979" s="156" t="str">
        <f>'Reported burning'!E1979</f>
        <v>Forestry, Traditional</v>
      </c>
      <c r="F1979" s="156" t="str">
        <f>'Reported burning'!F1979</f>
        <v>Shrubland (Mixed forest &amp; grassland)</v>
      </c>
      <c r="G1979" s="156" t="str">
        <f>'Reported burning'!G1979</f>
        <v>ND</v>
      </c>
      <c r="H1979" s="156"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5673</v>
      </c>
      <c r="AB1979" s="3"/>
    </row>
    <row r="1980" spans="1:28" ht="24.5" customHeight="1">
      <c r="A1980" s="156" t="str">
        <f>'Reported burning'!A1980</f>
        <v>226a</v>
      </c>
      <c r="B1980" s="156" t="str">
        <f>'Reported burning'!B1980</f>
        <v>226a.1</v>
      </c>
      <c r="C1980" s="156" t="str">
        <f>'Reported burning'!C1980</f>
        <v>Human, deliberate</v>
      </c>
      <c r="D1980" s="156" t="str">
        <f>'Reported burning'!D1980</f>
        <v>Pyrome management</v>
      </c>
      <c r="E1980" s="156" t="str">
        <f>'Reported burning'!E1980</f>
        <v>Biodiversity conservation</v>
      </c>
      <c r="F1980" s="156" t="str">
        <f>'Reported burning'!F1980</f>
        <v>Forest</v>
      </c>
      <c r="G1980" s="156" t="str">
        <f>'Reported burning'!G1980</f>
        <v>ND</v>
      </c>
      <c r="H1980" s="156"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6" t="str">
        <f>'Reported burning'!A1981</f>
        <v>226a</v>
      </c>
      <c r="B1981" s="156" t="str">
        <f>'Reported burning'!B1981</f>
        <v>226a.2</v>
      </c>
      <c r="C1981" s="156" t="str">
        <f>'Reported burning'!C1981</f>
        <v>Human, deliberate</v>
      </c>
      <c r="D1981" s="156" t="str">
        <f>'Reported burning'!D1981</f>
        <v>Pyrome management</v>
      </c>
      <c r="E1981" s="156" t="str">
        <f>'Reported burning'!E1981</f>
        <v>Forestry, Industrial</v>
      </c>
      <c r="F1981" s="156" t="str">
        <f>'Reported burning'!F1981</f>
        <v>Forest</v>
      </c>
      <c r="G1981" s="156" t="str">
        <f>'Reported burning'!G1981</f>
        <v>ND</v>
      </c>
      <c r="H1981" s="156"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6" t="str">
        <f>'Reported burning'!A1982</f>
        <v>226a</v>
      </c>
      <c r="B1982" s="156" t="str">
        <f>'Reported burning'!B1982</f>
        <v>226a.3</v>
      </c>
      <c r="C1982" s="156" t="str">
        <f>'Reported burning'!C1982</f>
        <v>Human, deliberate</v>
      </c>
      <c r="D1982" s="156" t="str">
        <f>'Reported burning'!D1982</f>
        <v>Harvesting of NTFP</v>
      </c>
      <c r="E1982" s="156" t="str">
        <f>'Reported burning'!E1982</f>
        <v>Forestry, Traditional</v>
      </c>
      <c r="F1982" s="156" t="str">
        <f>'Reported burning'!F1982</f>
        <v>Forest</v>
      </c>
      <c r="G1982" s="156" t="str">
        <f>'Reported burning'!G1982</f>
        <v>ND</v>
      </c>
      <c r="H1982" s="156"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6" t="str">
        <f>'Reported burning'!A1983</f>
        <v>227a</v>
      </c>
      <c r="B1983" s="156" t="str">
        <f>'Reported burning'!B1983</f>
        <v>227a.1</v>
      </c>
      <c r="C1983" s="156" t="str">
        <f>'Reported burning'!C1983</f>
        <v>Human, deliberate</v>
      </c>
      <c r="D1983" s="156" t="str">
        <f>'Reported burning'!D1983</f>
        <v>Pyrome management</v>
      </c>
      <c r="E1983" s="156" t="str">
        <f>'Reported burning'!E1983</f>
        <v>Biodiversity conservation</v>
      </c>
      <c r="F1983" s="156" t="str">
        <f>'Reported burning'!F1983</f>
        <v>Forest</v>
      </c>
      <c r="G1983" s="156" t="str">
        <f>'Reported burning'!G1983</f>
        <v>ND</v>
      </c>
      <c r="H1983" s="156"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6" t="str">
        <f>'Reported burning'!A1984</f>
        <v>227a</v>
      </c>
      <c r="B1984" s="156" t="str">
        <f>'Reported burning'!B1984</f>
        <v>227a.2</v>
      </c>
      <c r="C1984" s="156" t="str">
        <f>'Reported burning'!C1984</f>
        <v>Human, deliberate</v>
      </c>
      <c r="D1984" s="156" t="str">
        <f>'Reported burning'!E1984</f>
        <v>Forestry, Traditional</v>
      </c>
      <c r="E1984" s="156" t="str">
        <f>'Reported burning'!E1984</f>
        <v>Forestry, Traditional</v>
      </c>
      <c r="F1984" s="156" t="str">
        <f>'Reported burning'!F1984</f>
        <v>Forest</v>
      </c>
      <c r="G1984" s="156" t="str">
        <f>'Reported burning'!G1984</f>
        <v>ND</v>
      </c>
      <c r="H1984" s="156"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6" t="str">
        <f>'Reported burning'!A1985</f>
        <v>227a</v>
      </c>
      <c r="B1985" s="156" t="str">
        <f>'Reported burning'!B1985</f>
        <v>227a.3</v>
      </c>
      <c r="C1985" s="156" t="str">
        <f>'Reported burning'!C1985</f>
        <v>Human, deliberate</v>
      </c>
      <c r="D1985" s="156" t="str">
        <f>'Reported burning'!D1985</f>
        <v>Harvesting of NTFP</v>
      </c>
      <c r="E1985" s="156" t="str">
        <f>'Reported burning'!E1985</f>
        <v>Forestry, Traditional</v>
      </c>
      <c r="F1985" s="156" t="str">
        <f>'Reported burning'!F1985</f>
        <v>Forest</v>
      </c>
      <c r="G1985" s="156" t="str">
        <f>'Reported burning'!G1985</f>
        <v>ND</v>
      </c>
      <c r="H1985" s="156"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2" t="str">
        <f>'Reported burning'!A1986</f>
        <v>228a</v>
      </c>
      <c r="B1986" s="152" t="str">
        <f>'Reported burning'!B1986</f>
        <v>228a.1</v>
      </c>
      <c r="C1986" s="152" t="str">
        <f>'Reported burning'!C1986</f>
        <v>Human, deliberate</v>
      </c>
      <c r="D1986" s="152" t="str">
        <f>'Reported burning'!D1986</f>
        <v>Crop field preparation</v>
      </c>
      <c r="E1986" s="152" t="str">
        <f>'Reported burning'!E1986</f>
        <v>Cropping, Swidden</v>
      </c>
      <c r="F1986" s="152" t="str">
        <f>'Reported burning'!F1986</f>
        <v>Forest</v>
      </c>
      <c r="G1986" s="152" t="str">
        <f>'Reported burning'!G1986</f>
        <v>ND</v>
      </c>
      <c r="H1986" s="152"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5703</v>
      </c>
      <c r="AB1986" s="3"/>
    </row>
    <row r="1987" spans="1:28" ht="30" customHeight="1">
      <c r="A1987" s="152" t="str">
        <f>'Reported burning'!A1987</f>
        <v>228a</v>
      </c>
      <c r="B1987" s="152" t="str">
        <f>'Reported burning'!B1987</f>
        <v>228a.2</v>
      </c>
      <c r="C1987" s="152" t="str">
        <f>'Reported burning'!C1987</f>
        <v>Human, deliberate</v>
      </c>
      <c r="D1987" s="152" t="str">
        <f>'Reported burning'!D1987</f>
        <v>Pasture renewal</v>
      </c>
      <c r="E1987" s="152" t="str">
        <f>'Reported burning'!E1987</f>
        <v>Cattle, Extensive</v>
      </c>
      <c r="F1987" s="152" t="str">
        <f>'Reported burning'!F1987</f>
        <v>Grassland</v>
      </c>
      <c r="G1987" s="152" t="str">
        <f>'Reported burning'!G1987</f>
        <v>ND</v>
      </c>
      <c r="H1987" s="152"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5702</v>
      </c>
      <c r="AB1987" s="3"/>
    </row>
    <row r="1988" spans="1:28" ht="30" customHeight="1">
      <c r="A1988" s="152" t="str">
        <f>'Reported burning'!A1988</f>
        <v>228a</v>
      </c>
      <c r="B1988" s="152" t="str">
        <f>'Reported burning'!B1988</f>
        <v>228a.3</v>
      </c>
      <c r="C1988" s="152" t="str">
        <f>'Reported burning'!C1988</f>
        <v>Human, deliberate</v>
      </c>
      <c r="D1988" s="152" t="str">
        <f>'Reported burning'!D1988</f>
        <v>Pasture renewal</v>
      </c>
      <c r="E1988" s="152" t="str">
        <f>'Reported burning'!E1988</f>
        <v>Cattle, Extensive</v>
      </c>
      <c r="F1988" s="152" t="str">
        <f>'Reported burning'!F1988</f>
        <v>Pasture</v>
      </c>
      <c r="G1988" s="152" t="str">
        <f>'Reported burning'!G1988</f>
        <v>ND</v>
      </c>
      <c r="H1988" s="152"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5702</v>
      </c>
      <c r="AB1988" s="3"/>
    </row>
    <row r="1989" spans="1:28" ht="30" customHeight="1">
      <c r="A1989" s="152" t="str">
        <f>'Reported burning'!A1989</f>
        <v>228a</v>
      </c>
      <c r="B1989" s="152" t="str">
        <f>'Reported burning'!B1989</f>
        <v>228a.3</v>
      </c>
      <c r="C1989" s="152" t="str">
        <f>'Reported burning'!C1989</f>
        <v>Human, deliberate</v>
      </c>
      <c r="D1989" s="152" t="str">
        <f>'Reported burning'!D1989</f>
        <v>Forest clearance</v>
      </c>
      <c r="E1989" s="152" t="str">
        <f>'Reported burning'!E1989</f>
        <v>Cattle, Extensive</v>
      </c>
      <c r="F1989" s="152" t="str">
        <f>'Reported burning'!F1989</f>
        <v>Forest</v>
      </c>
      <c r="G1989" s="152" t="str">
        <f>'Reported burning'!G1989</f>
        <v>ND</v>
      </c>
      <c r="H1989" s="152"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2" t="str">
        <f>'Reported burning'!A1990</f>
        <v>228a</v>
      </c>
      <c r="B1990" s="152" t="str">
        <f>'Reported burning'!B1990</f>
        <v>228a.4</v>
      </c>
      <c r="C1990" s="152" t="str">
        <f>'Reported burning'!C1990</f>
        <v>Human, deliberate</v>
      </c>
      <c r="D1990" s="152" t="str">
        <f>'Reported burning'!D1990</f>
        <v>Forest clearance</v>
      </c>
      <c r="E1990" s="152" t="str">
        <f>'Reported burning'!E1990</f>
        <v>Cattle, Intensive</v>
      </c>
      <c r="F1990" s="152" t="str">
        <f>'Reported burning'!F1990</f>
        <v>Forest</v>
      </c>
      <c r="G1990" s="152" t="str">
        <f>'Reported burning'!G1990</f>
        <v>ND</v>
      </c>
      <c r="H1990" s="152"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5704</v>
      </c>
      <c r="AB1990" s="3"/>
    </row>
    <row r="1991" spans="1:28" ht="32.5" customHeight="1">
      <c r="A1991" s="156" t="str">
        <f>'Reported burning'!A1991</f>
        <v>228a</v>
      </c>
      <c r="B1991" s="156" t="str">
        <f>'Reported burning'!B1991</f>
        <v>228a.5</v>
      </c>
      <c r="C1991" s="156" t="str">
        <f>'Reported burning'!C1991</f>
        <v>Human, escaped</v>
      </c>
      <c r="D1991" s="156" t="str">
        <f>'Reported burning'!D1991</f>
        <v>Crop field preparation</v>
      </c>
      <c r="E1991" s="156" t="str">
        <f>'Reported burning'!E1991</f>
        <v>Cropping, Swidden</v>
      </c>
      <c r="F1991" s="156" t="str">
        <f>'Reported burning'!F1991</f>
        <v>Forest</v>
      </c>
      <c r="G1991" s="156" t="str">
        <f>'Reported burning'!G1991</f>
        <v>ND</v>
      </c>
      <c r="H1991" s="156"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6" t="str">
        <f>'Reported burning'!A1992</f>
        <v>228a</v>
      </c>
      <c r="B1992" s="156" t="str">
        <f>'Reported burning'!B1992</f>
        <v>228a.6</v>
      </c>
      <c r="C1992" s="156" t="str">
        <f>'Reported burning'!C1992</f>
        <v>Human, escaped</v>
      </c>
      <c r="D1992" s="156" t="str">
        <f>'Reported burning'!D1992</f>
        <v>Pasture renewal</v>
      </c>
      <c r="E1992" s="156" t="str">
        <f>'Reported burning'!E1992</f>
        <v>Cattle, Extensive</v>
      </c>
      <c r="F1992" s="156" t="str">
        <f>'Reported burning'!F1992</f>
        <v>Grassland</v>
      </c>
      <c r="G1992" s="156" t="str">
        <f>'Reported burning'!G1992</f>
        <v>ND</v>
      </c>
      <c r="H1992" s="156"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6" t="str">
        <f>'Reported burning'!A1993</f>
        <v>228a</v>
      </c>
      <c r="B1993" s="156" t="str">
        <f>'Reported burning'!B1993</f>
        <v>228a.7</v>
      </c>
      <c r="C1993" s="156" t="str">
        <f>'Reported burning'!C1993</f>
        <v>Human, escaped</v>
      </c>
      <c r="D1993" s="156" t="str">
        <f>'Reported burning'!D1993</f>
        <v>Pasture renewal</v>
      </c>
      <c r="E1993" s="156" t="str">
        <f>'Reported burning'!E1993</f>
        <v>Cattle, Extensive</v>
      </c>
      <c r="F1993" s="156" t="str">
        <f>'Reported burning'!F1993</f>
        <v>Pasture</v>
      </c>
      <c r="G1993" s="156" t="str">
        <f>'Reported burning'!G1993</f>
        <v>ND</v>
      </c>
      <c r="H1993" s="156"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6" t="str">
        <f>'Reported burning'!A1994</f>
        <v>228a</v>
      </c>
      <c r="B1994" s="156" t="str">
        <f>'Reported burning'!B1994</f>
        <v>228a.8</v>
      </c>
      <c r="C1994" s="156" t="str">
        <f>'Reported burning'!C1994</f>
        <v>Human, deliberate</v>
      </c>
      <c r="D1994" s="156" t="str">
        <f>'Reported burning'!D1994</f>
        <v>Hunting</v>
      </c>
      <c r="E1994" s="156" t="str">
        <f>'Reported burning'!E1994</f>
        <v>Forestry, Traditional</v>
      </c>
      <c r="F1994" s="156" t="str">
        <f>'Reported burning'!F1994</f>
        <v>ND</v>
      </c>
      <c r="G1994" s="156" t="str">
        <f>'Reported burning'!G1994</f>
        <v>ND</v>
      </c>
      <c r="H1994" s="156"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6" t="str">
        <f>'Reported burning'!A1995</f>
        <v>229a</v>
      </c>
      <c r="B1995" s="156" t="str">
        <f>'Reported burning'!B1995</f>
        <v>229a.1</v>
      </c>
      <c r="C1995" s="156" t="str">
        <f>'Reported burning'!C1995</f>
        <v>Human, deliberate</v>
      </c>
      <c r="D1995" s="156" t="str">
        <f>'Reported burning'!D1995</f>
        <v>Crop field preparation</v>
      </c>
      <c r="E1995" s="156" t="str">
        <f>'Reported burning'!E1995</f>
        <v>Cropping, Swidden</v>
      </c>
      <c r="F1995" s="156" t="str">
        <f>'Reported burning'!F1995</f>
        <v>Forest</v>
      </c>
      <c r="G1995" s="156" t="str">
        <f>'Reported burning'!G1995</f>
        <v>ND</v>
      </c>
      <c r="H1995" s="156"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6" t="str">
        <f>'Reported burning'!A1996</f>
        <v>229a</v>
      </c>
      <c r="B1996" s="156" t="str">
        <f>'Reported burning'!B1996</f>
        <v>229a.2</v>
      </c>
      <c r="C1996" s="156" t="str">
        <f>'Reported burning'!C1996</f>
        <v>Human, deliberate</v>
      </c>
      <c r="D1996" s="156" t="str">
        <f>'Reported burning'!D1996</f>
        <v>Pasture renewal</v>
      </c>
      <c r="E1996" s="156" t="str">
        <f>'Reported burning'!E1996</f>
        <v>Cattle, Extensive</v>
      </c>
      <c r="F1996" s="156" t="str">
        <f>'Reported burning'!F1996</f>
        <v>Forest</v>
      </c>
      <c r="G1996" s="156" t="str">
        <f>'Reported burning'!G1996</f>
        <v>ND</v>
      </c>
      <c r="H1996" s="156"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6" t="str">
        <f>'Reported burning'!A1997</f>
        <v>229a</v>
      </c>
      <c r="B1997" s="156" t="str">
        <f>'Reported burning'!B1997</f>
        <v>229a.3</v>
      </c>
      <c r="C1997" s="156" t="str">
        <f>'Reported burning'!C1997</f>
        <v>Human, deliberate</v>
      </c>
      <c r="D1997" s="156" t="str">
        <f>'Reported burning'!D1997</f>
        <v>Harvesting of NTFP</v>
      </c>
      <c r="E1997" s="156" t="str">
        <f>'Reported burning'!E1997</f>
        <v>Forestry, Traditional</v>
      </c>
      <c r="F1997" s="156" t="str">
        <f>'Reported burning'!F1997</f>
        <v>Forest</v>
      </c>
      <c r="G1997" s="156" t="str">
        <f>'Reported burning'!G1997</f>
        <v>ND</v>
      </c>
      <c r="H1997" s="156"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6" t="str">
        <f>'Reported burning'!A1998</f>
        <v>229a</v>
      </c>
      <c r="B1998" s="156" t="str">
        <f>'Reported burning'!B1998</f>
        <v>229a.4</v>
      </c>
      <c r="C1998" s="156" t="str">
        <f>'Reported burning'!C1998</f>
        <v>Human, deliberate</v>
      </c>
      <c r="D1998" s="156" t="str">
        <f>'Reported burning'!D1998</f>
        <v>All</v>
      </c>
      <c r="E1998" s="156" t="str">
        <f>'Reported burning'!E1998</f>
        <v>Biodiversity conservation</v>
      </c>
      <c r="F1998" s="156" t="str">
        <f>'Reported burning'!F1998</f>
        <v>Forest</v>
      </c>
      <c r="G1998" s="156" t="str">
        <f>'Reported burning'!G1998</f>
        <v>ND</v>
      </c>
      <c r="H1998" s="156"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6" t="str">
        <f>'Reported burning'!A1999</f>
        <v>230a</v>
      </c>
      <c r="B1999" s="156" t="str">
        <f>'Reported burning'!B1999</f>
        <v>230a.1</v>
      </c>
      <c r="C1999" s="156" t="str">
        <f>'Reported burning'!C1999</f>
        <v>Human, deliberate</v>
      </c>
      <c r="D1999" s="156" t="str">
        <f>'Reported burning'!D1999</f>
        <v>Pest management</v>
      </c>
      <c r="E1999" s="156" t="str">
        <f>'Reported burning'!E1999</f>
        <v>Cropping, Monoculture, Market-oriented</v>
      </c>
      <c r="F1999" s="156" t="str">
        <f>'Reported burning'!F1999</f>
        <v>Cropland</v>
      </c>
      <c r="G1999" s="156" t="str">
        <f>'Reported burning'!G1999</f>
        <v>ND</v>
      </c>
      <c r="H1999" s="156"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5733</v>
      </c>
      <c r="AB1999" s="3"/>
    </row>
    <row r="2000" spans="1:28" ht="58">
      <c r="A2000" s="156" t="str">
        <f>'Reported burning'!A2000</f>
        <v>230b</v>
      </c>
      <c r="B2000" s="156" t="str">
        <f>'Reported burning'!B2000</f>
        <v>230b.1</v>
      </c>
      <c r="C2000" s="156" t="str">
        <f>'Reported burning'!C2000</f>
        <v>Human, deliberate</v>
      </c>
      <c r="D2000" s="156" t="str">
        <f>'Reported burning'!D2000</f>
        <v>Pest management</v>
      </c>
      <c r="E2000" s="156" t="str">
        <f>'Reported burning'!E2000</f>
        <v>Cropping, Monoculture, Market-oriented</v>
      </c>
      <c r="F2000" s="156" t="str">
        <f>'Reported burning'!F2000</f>
        <v>Cropland</v>
      </c>
      <c r="G2000" s="156" t="str">
        <f>'Reported burning'!G2000</f>
        <v>ND</v>
      </c>
      <c r="H2000" s="156"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5733</v>
      </c>
      <c r="AB2000" s="3"/>
    </row>
    <row r="2001" spans="1:28" ht="58">
      <c r="A2001" s="156" t="str">
        <f>'Reported burning'!A2001</f>
        <v>230c</v>
      </c>
      <c r="B2001" s="156" t="str">
        <f>'Reported burning'!B2001</f>
        <v>230c.1</v>
      </c>
      <c r="C2001" s="156" t="str">
        <f>'Reported burning'!C2001</f>
        <v>Human, deliberate</v>
      </c>
      <c r="D2001" s="156" t="str">
        <f>'Reported burning'!D2001</f>
        <v>Pest management</v>
      </c>
      <c r="E2001" s="156" t="str">
        <f>'Reported burning'!E2001</f>
        <v>Cropping, Monoculture, Market-oriented</v>
      </c>
      <c r="F2001" s="156" t="str">
        <f>'Reported burning'!F2001</f>
        <v>Cropland</v>
      </c>
      <c r="G2001" s="156" t="str">
        <f>'Reported burning'!G2001</f>
        <v>ND</v>
      </c>
      <c r="H2001" s="156"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5733</v>
      </c>
      <c r="AB2001" s="3"/>
    </row>
    <row r="2002" spans="1:28" ht="58">
      <c r="A2002" s="156" t="str">
        <f>'Reported burning'!A2002</f>
        <v>230d</v>
      </c>
      <c r="B2002" s="156" t="str">
        <f>'Reported burning'!B2002</f>
        <v>230d.1</v>
      </c>
      <c r="C2002" s="156" t="str">
        <f>'Reported burning'!C2002</f>
        <v>Human, deliberate</v>
      </c>
      <c r="D2002" s="156" t="str">
        <f>'Reported burning'!D2002</f>
        <v>Pest management</v>
      </c>
      <c r="E2002" s="156" t="str">
        <f>'Reported burning'!E2002</f>
        <v>Cropping, Monoculture, Market-oriented</v>
      </c>
      <c r="F2002" s="156" t="str">
        <f>'Reported burning'!F2002</f>
        <v>Cropland</v>
      </c>
      <c r="G2002" s="156" t="str">
        <f>'Reported burning'!G2002</f>
        <v>ND</v>
      </c>
      <c r="H2002" s="156"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5733</v>
      </c>
      <c r="AB2002" s="3"/>
    </row>
    <row r="2003" spans="1:28" ht="40" customHeight="1">
      <c r="A2003" s="152" t="str">
        <f>'Reported burning'!A2003</f>
        <v>231a</v>
      </c>
      <c r="B2003" s="152" t="str">
        <f>'Reported burning'!B2003</f>
        <v>231a.1</v>
      </c>
      <c r="C2003" s="152" t="str">
        <f>'Reported burning'!C2003</f>
        <v>All</v>
      </c>
      <c r="D2003" s="152" t="str">
        <f>'Reported burning'!D2003</f>
        <v>All</v>
      </c>
      <c r="E2003" s="152" t="str">
        <f>'Reported burning'!E2003</f>
        <v>All</v>
      </c>
      <c r="F2003" s="152" t="str">
        <f>'Reported burning'!F2003</f>
        <v>All</v>
      </c>
      <c r="G2003" s="152" t="str">
        <f>'Reported burning'!G2003</f>
        <v>Forest</v>
      </c>
      <c r="H2003" s="152"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5749</v>
      </c>
    </row>
    <row r="2004" spans="1:28" ht="40" customHeight="1">
      <c r="A2004" s="152" t="str">
        <f>'Reported burning'!A2004</f>
        <v>231b</v>
      </c>
      <c r="B2004" s="152" t="str">
        <f>'Reported burning'!B2004</f>
        <v>231b.1</v>
      </c>
      <c r="C2004" s="152" t="str">
        <f>'Reported burning'!C2004</f>
        <v>All</v>
      </c>
      <c r="D2004" s="152" t="str">
        <f>'Reported burning'!D2004</f>
        <v>All</v>
      </c>
      <c r="E2004" s="152" t="str">
        <f>'Reported burning'!E2004</f>
        <v>All</v>
      </c>
      <c r="F2004" s="152" t="str">
        <f>'Reported burning'!F2004</f>
        <v>All</v>
      </c>
      <c r="G2004" s="152" t="str">
        <f>'Reported burning'!G2004</f>
        <v>Forest</v>
      </c>
      <c r="H2004" s="152"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5749</v>
      </c>
    </row>
    <row r="2005" spans="1:28" ht="40" customHeight="1">
      <c r="A2005" s="152" t="str">
        <f>'Reported burning'!A2005</f>
        <v>231c</v>
      </c>
      <c r="B2005" s="152" t="str">
        <f>'Reported burning'!B2005</f>
        <v>231c.1</v>
      </c>
      <c r="C2005" s="152" t="str">
        <f>'Reported burning'!C2005</f>
        <v>All</v>
      </c>
      <c r="D2005" s="152" t="str">
        <f>'Reported burning'!D2005</f>
        <v>All</v>
      </c>
      <c r="E2005" s="152" t="str">
        <f>'Reported burning'!E2005</f>
        <v>All</v>
      </c>
      <c r="F2005" s="152" t="str">
        <f>'Reported burning'!F2005</f>
        <v>All</v>
      </c>
      <c r="G2005" s="152" t="str">
        <f>'Reported burning'!G2005</f>
        <v>Forest</v>
      </c>
      <c r="H2005" s="152"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5749</v>
      </c>
    </row>
    <row r="2006" spans="1:28" ht="51" customHeight="1">
      <c r="A2006" s="156" t="str">
        <f>'Reported burning'!A2006</f>
        <v>231a</v>
      </c>
      <c r="B2006" s="156" t="str">
        <f>'Reported burning'!B2006</f>
        <v>231a.2</v>
      </c>
      <c r="C2006" s="156" t="str">
        <f>'Reported burning'!C2006</f>
        <v>Human, deliberate</v>
      </c>
      <c r="D2006" s="156" t="str">
        <f>'Reported burning'!D2006</f>
        <v>Pyrome management</v>
      </c>
      <c r="E2006" s="156" t="str">
        <f>'Reported burning'!E2006</f>
        <v>Cropping, Monoculture, Subsistence-oriented</v>
      </c>
      <c r="F2006" s="156" t="str">
        <f>'Reported burning'!F2006</f>
        <v>Forest</v>
      </c>
      <c r="G2006" s="156" t="str">
        <f>'Reported burning'!G2006</f>
        <v>ND</v>
      </c>
      <c r="H2006" s="156"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5758</v>
      </c>
    </row>
    <row r="2007" spans="1:28" ht="51" customHeight="1">
      <c r="A2007" s="156" t="str">
        <f>'Reported burning'!A2007</f>
        <v>231b</v>
      </c>
      <c r="B2007" s="156" t="str">
        <f>'Reported burning'!B2007</f>
        <v>231b.2</v>
      </c>
      <c r="C2007" s="156" t="str">
        <f>'Reported burning'!C2007</f>
        <v>Human, deliberate</v>
      </c>
      <c r="D2007" s="156" t="str">
        <f>'Reported burning'!D2007</f>
        <v>Pyrome management</v>
      </c>
      <c r="E2007" s="156" t="str">
        <f>'Reported burning'!E2007</f>
        <v>Cropping, Monoculture, Subsistence-oriented</v>
      </c>
      <c r="F2007" s="156" t="str">
        <f>'Reported burning'!F2007</f>
        <v>Forest</v>
      </c>
      <c r="G2007" s="156" t="str">
        <f>'Reported burning'!G2007</f>
        <v>ND</v>
      </c>
      <c r="H2007" s="156"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5758</v>
      </c>
    </row>
    <row r="2008" spans="1:28" ht="51" customHeight="1">
      <c r="A2008" s="156" t="str">
        <f>'Reported burning'!A2008</f>
        <v>231c</v>
      </c>
      <c r="B2008" s="156" t="str">
        <f>'Reported burning'!B2008</f>
        <v>231c.2</v>
      </c>
      <c r="C2008" s="156" t="str">
        <f>'Reported burning'!C2008</f>
        <v>Human, deliberate</v>
      </c>
      <c r="D2008" s="156" t="str">
        <f>'Reported burning'!D2008</f>
        <v>Pyrome management</v>
      </c>
      <c r="E2008" s="156" t="str">
        <f>'Reported burning'!E2008</f>
        <v>Cropping, Monoculture, Subsistence-oriented</v>
      </c>
      <c r="F2008" s="156" t="str">
        <f>'Reported burning'!F2008</f>
        <v>Forest</v>
      </c>
      <c r="G2008" s="156" t="str">
        <f>'Reported burning'!G2008</f>
        <v>ND</v>
      </c>
      <c r="H2008" s="156"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5758</v>
      </c>
    </row>
    <row r="2009" spans="1:28" ht="65" customHeight="1">
      <c r="A2009" s="156" t="str">
        <f>'Reported burning'!A2009</f>
        <v>231a</v>
      </c>
      <c r="B2009" s="156" t="str">
        <f>'Reported burning'!B2009</f>
        <v>231a.3</v>
      </c>
      <c r="C2009" s="156" t="str">
        <f>'Reported burning'!C2009</f>
        <v>Human, deliberate</v>
      </c>
      <c r="D2009" s="156" t="str">
        <f>'Reported burning'!D2009</f>
        <v>Crop residue burning</v>
      </c>
      <c r="E2009" s="156" t="str">
        <f>'Reported burning'!E2009</f>
        <v>Cropping, Monoculture, Subsistence-oriented</v>
      </c>
      <c r="F2009" s="156" t="str">
        <f>'Reported burning'!F2009</f>
        <v>Cropland</v>
      </c>
      <c r="G2009" s="156" t="str">
        <f>'Reported burning'!G2009</f>
        <v>ND</v>
      </c>
      <c r="H2009" s="156" t="str">
        <f>'Reported burning'!H2009</f>
        <v>Presence</v>
      </c>
      <c r="I2009" s="5"/>
      <c r="J2009" s="4" t="s">
        <v>2276</v>
      </c>
      <c r="K2009" s="103" t="s">
        <v>2362</v>
      </c>
      <c r="L2009" s="4" t="s">
        <v>2276</v>
      </c>
      <c r="M2009" s="4" t="s">
        <v>2276</v>
      </c>
      <c r="N2009" s="4" t="s">
        <v>2276</v>
      </c>
      <c r="O2009" s="103" t="s">
        <v>2362</v>
      </c>
      <c r="P2009" s="4" t="s">
        <v>2276</v>
      </c>
      <c r="Q2009" s="103" t="s">
        <v>2362</v>
      </c>
      <c r="R2009" s="4" t="s">
        <v>2276</v>
      </c>
      <c r="S2009" s="21" t="s">
        <v>2389</v>
      </c>
      <c r="T2009" s="4" t="s">
        <v>2276</v>
      </c>
      <c r="U2009" s="4" t="s">
        <v>2276</v>
      </c>
      <c r="V2009" s="4" t="s">
        <v>2276</v>
      </c>
      <c r="W2009" s="4" t="s">
        <v>2276</v>
      </c>
      <c r="X2009" s="4" t="s">
        <v>2276</v>
      </c>
      <c r="Y2009" s="4" t="s">
        <v>2276</v>
      </c>
      <c r="Z2009" s="4" t="s">
        <v>2276</v>
      </c>
      <c r="AA2009" s="3"/>
      <c r="AB2009" s="4" t="s">
        <v>5763</v>
      </c>
    </row>
    <row r="2010" spans="1:28" ht="65" customHeight="1">
      <c r="A2010" s="156" t="str">
        <f>'Reported burning'!A2010</f>
        <v>231b</v>
      </c>
      <c r="B2010" s="156" t="str">
        <f>'Reported burning'!B2010</f>
        <v>231b.3</v>
      </c>
      <c r="C2010" s="156" t="str">
        <f>'Reported burning'!C2010</f>
        <v>Human, deliberate</v>
      </c>
      <c r="D2010" s="156" t="str">
        <f>'Reported burning'!D2010</f>
        <v>Crop residue burning</v>
      </c>
      <c r="E2010" s="156" t="str">
        <f>'Reported burning'!E2010</f>
        <v>Cropping, Monoculture, Subsistence-oriented</v>
      </c>
      <c r="F2010" s="156" t="str">
        <f>'Reported burning'!F2010</f>
        <v>Cropland</v>
      </c>
      <c r="G2010" s="156" t="str">
        <f>'Reported burning'!G2010</f>
        <v>ND</v>
      </c>
      <c r="H2010" s="156" t="str">
        <f>'Reported burning'!H2010</f>
        <v>Presence</v>
      </c>
      <c r="I2010" s="5"/>
      <c r="J2010" s="4" t="s">
        <v>2276</v>
      </c>
      <c r="K2010" s="103" t="s">
        <v>2362</v>
      </c>
      <c r="L2010" s="4" t="s">
        <v>2276</v>
      </c>
      <c r="M2010" s="4" t="s">
        <v>2276</v>
      </c>
      <c r="N2010" s="4" t="s">
        <v>2276</v>
      </c>
      <c r="O2010" s="103" t="s">
        <v>2362</v>
      </c>
      <c r="P2010" s="4" t="s">
        <v>2276</v>
      </c>
      <c r="Q2010" s="103" t="s">
        <v>2362</v>
      </c>
      <c r="R2010" s="4" t="s">
        <v>2276</v>
      </c>
      <c r="S2010" s="21" t="s">
        <v>2389</v>
      </c>
      <c r="T2010" s="4" t="s">
        <v>2276</v>
      </c>
      <c r="U2010" s="4" t="s">
        <v>2276</v>
      </c>
      <c r="V2010" s="4" t="s">
        <v>2276</v>
      </c>
      <c r="W2010" s="4" t="s">
        <v>2276</v>
      </c>
      <c r="X2010" s="4" t="s">
        <v>2276</v>
      </c>
      <c r="Y2010" s="4" t="s">
        <v>2276</v>
      </c>
      <c r="Z2010" s="4" t="s">
        <v>2276</v>
      </c>
      <c r="AA2010" s="3"/>
      <c r="AB2010" s="4" t="s">
        <v>5763</v>
      </c>
    </row>
    <row r="2011" spans="1:28" ht="65" customHeight="1">
      <c r="A2011" s="156" t="str">
        <f>'Reported burning'!A2011</f>
        <v>231c</v>
      </c>
      <c r="B2011" s="156" t="str">
        <f>'Reported burning'!B2011</f>
        <v>231c.3</v>
      </c>
      <c r="C2011" s="156" t="str">
        <f>'Reported burning'!C2011</f>
        <v>Human, deliberate</v>
      </c>
      <c r="D2011" s="156" t="str">
        <f>'Reported burning'!D2011</f>
        <v>Crop residue burning</v>
      </c>
      <c r="E2011" s="156" t="str">
        <f>'Reported burning'!E2011</f>
        <v>Cropping, Monoculture, Subsistence-oriented</v>
      </c>
      <c r="F2011" s="156" t="str">
        <f>'Reported burning'!F2011</f>
        <v>Cropland</v>
      </c>
      <c r="G2011" s="156" t="str">
        <f>'Reported burning'!G2011</f>
        <v>ND</v>
      </c>
      <c r="H2011" s="156" t="str">
        <f>'Reported burning'!H2011</f>
        <v>Presence</v>
      </c>
      <c r="I2011" s="5"/>
      <c r="J2011" s="4" t="s">
        <v>2276</v>
      </c>
      <c r="K2011" s="103" t="s">
        <v>2362</v>
      </c>
      <c r="L2011" s="4" t="s">
        <v>2276</v>
      </c>
      <c r="M2011" s="4" t="s">
        <v>2276</v>
      </c>
      <c r="N2011" s="4" t="s">
        <v>2276</v>
      </c>
      <c r="O2011" s="103" t="s">
        <v>2362</v>
      </c>
      <c r="P2011" s="4" t="s">
        <v>2276</v>
      </c>
      <c r="Q2011" s="103" t="s">
        <v>2362</v>
      </c>
      <c r="R2011" s="4" t="s">
        <v>2276</v>
      </c>
      <c r="S2011" s="21" t="s">
        <v>2389</v>
      </c>
      <c r="T2011" s="4" t="s">
        <v>2276</v>
      </c>
      <c r="U2011" s="4" t="s">
        <v>2276</v>
      </c>
      <c r="V2011" s="4" t="s">
        <v>2276</v>
      </c>
      <c r="W2011" s="4" t="s">
        <v>2276</v>
      </c>
      <c r="X2011" s="4" t="s">
        <v>2276</v>
      </c>
      <c r="Y2011" s="4" t="s">
        <v>2276</v>
      </c>
      <c r="Z2011" s="4" t="s">
        <v>2276</v>
      </c>
      <c r="AA2011" s="3"/>
      <c r="AB2011" s="4" t="s">
        <v>5763</v>
      </c>
    </row>
    <row r="2012" spans="1:28" ht="30" customHeight="1">
      <c r="A2012" s="156" t="str">
        <f>'Reported burning'!A2012</f>
        <v>231a</v>
      </c>
      <c r="B2012" s="156" t="str">
        <f>'Reported burning'!B2012</f>
        <v>231a.4</v>
      </c>
      <c r="C2012" s="156" t="str">
        <f>'Reported burning'!C2012</f>
        <v>Human, deliberate</v>
      </c>
      <c r="D2012" s="156" t="str">
        <f>'Reported burning'!D2012</f>
        <v>Domestic</v>
      </c>
      <c r="E2012" s="156" t="str">
        <f>'Reported burning'!E2012</f>
        <v>ND</v>
      </c>
      <c r="F2012" s="156" t="str">
        <f>'Reported burning'!F2012</f>
        <v>ND</v>
      </c>
      <c r="G2012" s="156" t="str">
        <f>'Reported burning'!G2012</f>
        <v>ND</v>
      </c>
      <c r="H2012" s="156"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5770</v>
      </c>
      <c r="AB2012" s="3"/>
    </row>
    <row r="2013" spans="1:28" ht="30" customHeight="1">
      <c r="A2013" s="156" t="str">
        <f>'Reported burning'!A2013</f>
        <v>231b</v>
      </c>
      <c r="B2013" s="156" t="str">
        <f>'Reported burning'!B2013</f>
        <v>231b.4</v>
      </c>
      <c r="C2013" s="156" t="str">
        <f>'Reported burning'!C2013</f>
        <v>Human, deliberate</v>
      </c>
      <c r="D2013" s="156" t="str">
        <f>'Reported burning'!D2013</f>
        <v>Domestic</v>
      </c>
      <c r="E2013" s="156" t="str">
        <f>'Reported burning'!E2013</f>
        <v>ND</v>
      </c>
      <c r="F2013" s="156" t="str">
        <f>'Reported burning'!F2013</f>
        <v>ND</v>
      </c>
      <c r="G2013" s="156" t="str">
        <f>'Reported burning'!G2013</f>
        <v>ND</v>
      </c>
      <c r="H2013" s="156"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5770</v>
      </c>
      <c r="AB2013" s="3"/>
    </row>
    <row r="2014" spans="1:28" ht="30" customHeight="1">
      <c r="A2014" s="156" t="str">
        <f>'Reported burning'!A2014</f>
        <v>231c</v>
      </c>
      <c r="B2014" s="156" t="str">
        <f>'Reported burning'!B2014</f>
        <v>231c.4</v>
      </c>
      <c r="C2014" s="156" t="str">
        <f>'Reported burning'!C2014</f>
        <v>Human, deliberate</v>
      </c>
      <c r="D2014" s="156" t="str">
        <f>'Reported burning'!D2014</f>
        <v>Domestic</v>
      </c>
      <c r="E2014" s="156" t="str">
        <f>'Reported burning'!E2014</f>
        <v>ND</v>
      </c>
      <c r="F2014" s="156" t="str">
        <f>'Reported burning'!F2014</f>
        <v>ND</v>
      </c>
      <c r="G2014" s="156" t="str">
        <f>'Reported burning'!G2014</f>
        <v>ND</v>
      </c>
      <c r="H2014" s="156"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5770</v>
      </c>
      <c r="AB2014" s="3"/>
    </row>
    <row r="2015" spans="1:28" ht="30" customHeight="1">
      <c r="A2015" s="156" t="str">
        <f>'Reported burning'!A2015</f>
        <v>231a</v>
      </c>
      <c r="B2015" s="156" t="str">
        <f>'Reported burning'!B2015</f>
        <v>231a.5</v>
      </c>
      <c r="C2015" s="156" t="str">
        <f>'Reported burning'!C2015</f>
        <v>Human, deliberate</v>
      </c>
      <c r="D2015" s="156" t="str">
        <f>'Reported burning'!D2015</f>
        <v>Rangeland management</v>
      </c>
      <c r="E2015" s="156" t="str">
        <f>'Reported burning'!E2015</f>
        <v>Cattle, Extensive</v>
      </c>
      <c r="F2015" s="156" t="str">
        <f>'Reported burning'!F2015</f>
        <v>Shrubland (Mixed forest &amp; grassland)</v>
      </c>
      <c r="G2015" s="156" t="str">
        <f>'Reported burning'!G2015</f>
        <v>ND</v>
      </c>
      <c r="H2015" s="156"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6" t="str">
        <f>'Reported burning'!A2016</f>
        <v>231b</v>
      </c>
      <c r="B2016" s="156" t="str">
        <f>'Reported burning'!B2016</f>
        <v>231b.5</v>
      </c>
      <c r="C2016" s="156" t="str">
        <f>'Reported burning'!C2016</f>
        <v>Human, deliberate</v>
      </c>
      <c r="D2016" s="156" t="str">
        <f>'Reported burning'!D2016</f>
        <v>Rangeland management</v>
      </c>
      <c r="E2016" s="156" t="str">
        <f>'Reported burning'!E2016</f>
        <v>Cattle, Extensive</v>
      </c>
      <c r="F2016" s="156" t="str">
        <f>'Reported burning'!F2016</f>
        <v>Shrubland (Mixed forest &amp; grassland)</v>
      </c>
      <c r="G2016" s="156" t="str">
        <f>'Reported burning'!G2016</f>
        <v>ND</v>
      </c>
      <c r="H2016" s="156"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6" t="str">
        <f>'Reported burning'!A2017</f>
        <v>231c</v>
      </c>
      <c r="B2017" s="156" t="str">
        <f>'Reported burning'!B2017</f>
        <v>231c.5</v>
      </c>
      <c r="C2017" s="156" t="str">
        <f>'Reported burning'!C2017</f>
        <v>Human, deliberate</v>
      </c>
      <c r="D2017" s="156" t="str">
        <f>'Reported burning'!D2017</f>
        <v>Rangeland management</v>
      </c>
      <c r="E2017" s="156" t="str">
        <f>'Reported burning'!E2017</f>
        <v>Cattle, Extensive</v>
      </c>
      <c r="F2017" s="156" t="str">
        <f>'Reported burning'!F2017</f>
        <v>Shrubland (Mixed forest &amp; grassland)</v>
      </c>
      <c r="G2017" s="156" t="str">
        <f>'Reported burning'!G2017</f>
        <v>ND</v>
      </c>
      <c r="H2017" s="156"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6" t="str">
        <f>'Reported burning'!A2018</f>
        <v>231a</v>
      </c>
      <c r="B2018" s="156" t="str">
        <f>'Reported burning'!B2018</f>
        <v>231a.6</v>
      </c>
      <c r="C2018" s="156" t="str">
        <f>'Reported burning'!C2018</f>
        <v>Human, deliberate</v>
      </c>
      <c r="D2018" s="156" t="str">
        <f>'Reported burning'!D2018</f>
        <v>Harvesting of NTFP</v>
      </c>
      <c r="E2018" s="156" t="str">
        <f>'Reported burning'!E2018</f>
        <v>ND</v>
      </c>
      <c r="F2018" s="156" t="str">
        <f>'Reported burning'!F2018</f>
        <v>Forest</v>
      </c>
      <c r="G2018" s="156" t="str">
        <f>'Reported burning'!G2018</f>
        <v>ND</v>
      </c>
      <c r="H2018" s="156"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6" t="str">
        <f>'Reported burning'!A2019</f>
        <v>231b</v>
      </c>
      <c r="B2019" s="156" t="str">
        <f>'Reported burning'!B2019</f>
        <v>231b.6</v>
      </c>
      <c r="C2019" s="156" t="str">
        <f>'Reported burning'!C2019</f>
        <v>Human, deliberate</v>
      </c>
      <c r="D2019" s="156" t="str">
        <f>'Reported burning'!D2019</f>
        <v>Harvesting of NTFP</v>
      </c>
      <c r="E2019" s="156" t="str">
        <f>'Reported burning'!E2019</f>
        <v>ND</v>
      </c>
      <c r="F2019" s="156" t="str">
        <f>'Reported burning'!F2019</f>
        <v>Forest</v>
      </c>
      <c r="G2019" s="156" t="str">
        <f>'Reported burning'!G2019</f>
        <v>ND</v>
      </c>
      <c r="H2019" s="156"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6" t="str">
        <f>'Reported burning'!A2020</f>
        <v>231c</v>
      </c>
      <c r="B2020" s="156" t="str">
        <f>'Reported burning'!B2020</f>
        <v>231c.6</v>
      </c>
      <c r="C2020" s="156" t="str">
        <f>'Reported burning'!C2020</f>
        <v>Human, deliberate</v>
      </c>
      <c r="D2020" s="156" t="str">
        <f>'Reported burning'!D2020</f>
        <v>Harvesting of NTFP</v>
      </c>
      <c r="E2020" s="156" t="str">
        <f>'Reported burning'!E2020</f>
        <v>ND</v>
      </c>
      <c r="F2020" s="156" t="str">
        <f>'Reported burning'!F2020</f>
        <v>Forest</v>
      </c>
      <c r="G2020" s="156" t="str">
        <f>'Reported burning'!G2020</f>
        <v>ND</v>
      </c>
      <c r="H2020" s="156"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6" t="str">
        <f>'Reported burning'!A2021</f>
        <v>231a</v>
      </c>
      <c r="B2021" s="156" t="str">
        <f>'Reported burning'!B2021</f>
        <v>231a.7</v>
      </c>
      <c r="C2021" s="156" t="str">
        <f>'Reported burning'!C2021</f>
        <v>Human, deliberate</v>
      </c>
      <c r="D2021" s="156" t="str">
        <f>'Reported burning'!D2021</f>
        <v>Forest clearance</v>
      </c>
      <c r="E2021" s="156" t="str">
        <f>'Reported burning'!E2021</f>
        <v>Cattle, Extensive</v>
      </c>
      <c r="F2021" s="156" t="str">
        <f>'Reported burning'!F2021</f>
        <v>Forest</v>
      </c>
      <c r="G2021" s="156" t="str">
        <f>'Reported burning'!G2021</f>
        <v>ND</v>
      </c>
      <c r="H2021" s="156"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6" t="str">
        <f>'Reported burning'!A2022</f>
        <v>231b</v>
      </c>
      <c r="B2022" s="156" t="str">
        <f>'Reported burning'!B2022</f>
        <v>231b.7</v>
      </c>
      <c r="C2022" s="156" t="str">
        <f>'Reported burning'!C2022</f>
        <v>Human, deliberate</v>
      </c>
      <c r="D2022" s="156" t="str">
        <f>'Reported burning'!D2022</f>
        <v>Forest clearance</v>
      </c>
      <c r="E2022" s="156" t="str">
        <f>'Reported burning'!E2022</f>
        <v>Cattle, Extensive</v>
      </c>
      <c r="F2022" s="156" t="str">
        <f>'Reported burning'!F2022</f>
        <v>Forest</v>
      </c>
      <c r="G2022" s="156" t="str">
        <f>'Reported burning'!G2022</f>
        <v>ND</v>
      </c>
      <c r="H2022" s="156"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6" t="str">
        <f>'Reported burning'!A2023</f>
        <v>231c</v>
      </c>
      <c r="B2023" s="156" t="str">
        <f>'Reported burning'!B2023</f>
        <v>231c.7</v>
      </c>
      <c r="C2023" s="156" t="str">
        <f>'Reported burning'!C2023</f>
        <v>Human, deliberate</v>
      </c>
      <c r="D2023" s="156" t="str">
        <f>'Reported burning'!D2023</f>
        <v>Forest clearance</v>
      </c>
      <c r="E2023" s="156" t="str">
        <f>'Reported burning'!E2023</f>
        <v>Cattle, Extensive</v>
      </c>
      <c r="F2023" s="156" t="str">
        <f>'Reported burning'!F2023</f>
        <v>Forest</v>
      </c>
      <c r="G2023" s="156" t="str">
        <f>'Reported burning'!G2023</f>
        <v>ND</v>
      </c>
      <c r="H2023" s="156"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6" t="str">
        <f>'Reported burning'!A2024</f>
        <v>231a</v>
      </c>
      <c r="B2024" s="156" t="str">
        <f>'Reported burning'!B2024</f>
        <v>231a.8</v>
      </c>
      <c r="C2024" s="156" t="str">
        <f>'Reported burning'!C2024</f>
        <v>Human, deliberate</v>
      </c>
      <c r="D2024" s="156" t="str">
        <f>'Reported burning'!D2024</f>
        <v>Forest clearance</v>
      </c>
      <c r="E2024" s="156" t="str">
        <f>'Reported burning'!E2024</f>
        <v>Cropping, Monoculture, Subsistence-oriented</v>
      </c>
      <c r="F2024" s="156" t="str">
        <f>'Reported burning'!F2024</f>
        <v>Forest</v>
      </c>
      <c r="G2024" s="156" t="str">
        <f>'Reported burning'!G2024</f>
        <v>ND</v>
      </c>
      <c r="H2024" s="156"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6" t="str">
        <f>'Reported burning'!A2025</f>
        <v>231b</v>
      </c>
      <c r="B2025" s="156" t="str">
        <f>'Reported burning'!B2025</f>
        <v>231b.8</v>
      </c>
      <c r="C2025" s="156" t="str">
        <f>'Reported burning'!C2025</f>
        <v>Human, deliberate</v>
      </c>
      <c r="D2025" s="156" t="str">
        <f>'Reported burning'!D2025</f>
        <v>Forest clearance</v>
      </c>
      <c r="E2025" s="156" t="str">
        <f>'Reported burning'!E2025</f>
        <v>Cropping, Monoculture, Subsistence-oriented</v>
      </c>
      <c r="F2025" s="156" t="str">
        <f>'Reported burning'!F2025</f>
        <v>Forest</v>
      </c>
      <c r="G2025" s="156" t="str">
        <f>'Reported burning'!G2025</f>
        <v>ND</v>
      </c>
      <c r="H2025" s="156"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6" t="str">
        <f>'Reported burning'!A2026</f>
        <v>231c</v>
      </c>
      <c r="B2026" s="156" t="str">
        <f>'Reported burning'!B2026</f>
        <v>231c.8</v>
      </c>
      <c r="C2026" s="156" t="str">
        <f>'Reported burning'!C2026</f>
        <v>Human, deliberate</v>
      </c>
      <c r="D2026" s="156" t="str">
        <f>'Reported burning'!D2026</f>
        <v>Forest clearance</v>
      </c>
      <c r="E2026" s="156" t="str">
        <f>'Reported burning'!E2026</f>
        <v>Cropping, Monoculture, Subsistence-oriented</v>
      </c>
      <c r="F2026" s="156" t="str">
        <f>'Reported burning'!F2026</f>
        <v>Forest</v>
      </c>
      <c r="G2026" s="156" t="str">
        <f>'Reported burning'!G2026</f>
        <v>ND</v>
      </c>
      <c r="H2026" s="156"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2" t="str">
        <f>'Reported burning'!A2027</f>
        <v>232a</v>
      </c>
      <c r="B2027" s="152" t="str">
        <f>'Reported burning'!B2027</f>
        <v>232a.1</v>
      </c>
      <c r="C2027" s="152" t="str">
        <f>'Reported burning'!C2027</f>
        <v>Human, deliberate</v>
      </c>
      <c r="D2027" s="152" t="str">
        <f>'Reported burning'!D2027</f>
        <v>Pyrome management</v>
      </c>
      <c r="E2027" s="152" t="str">
        <f>'Reported burning'!E2027</f>
        <v>All</v>
      </c>
      <c r="F2027" s="152" t="str">
        <f>'Reported burning'!F2027</f>
        <v>Forest</v>
      </c>
      <c r="G2027" s="152" t="str">
        <f>'Reported burning'!G2027</f>
        <v>ND</v>
      </c>
      <c r="H2027" s="152"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2" t="str">
        <f>'Reported burning'!A2028</f>
        <v>232a</v>
      </c>
      <c r="B2028" s="152" t="str">
        <f>'Reported burning'!B2028</f>
        <v>232a.2</v>
      </c>
      <c r="C2028" s="152" t="str">
        <f>'Reported burning'!C2028</f>
        <v>Human, deliberate</v>
      </c>
      <c r="D2028" s="152" t="str">
        <f>'Reported burning'!D2028</f>
        <v>Pyrome management</v>
      </c>
      <c r="E2028" s="152" t="str">
        <f>'Reported burning'!E2028</f>
        <v>All</v>
      </c>
      <c r="F2028" s="152" t="str">
        <f>'Reported burning'!F2028</f>
        <v>Forest</v>
      </c>
      <c r="G2028" s="152" t="str">
        <f>'Reported burning'!G2028</f>
        <v>ND</v>
      </c>
      <c r="H2028" s="152"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2" t="str">
        <f>'Reported burning'!A2029</f>
        <v>232b</v>
      </c>
      <c r="B2029" s="152" t="str">
        <f>'Reported burning'!B2029</f>
        <v>232b.1</v>
      </c>
      <c r="C2029" s="152" t="str">
        <f>'Reported burning'!C2029</f>
        <v>Human, deliberate</v>
      </c>
      <c r="D2029" s="152" t="str">
        <f>'Reported burning'!D2029</f>
        <v>Hunting</v>
      </c>
      <c r="E2029" s="152" t="str">
        <f>'Reported burning'!E2029</f>
        <v>Forestry, Traditional</v>
      </c>
      <c r="F2029" s="152" t="str">
        <f>'Reported burning'!F2029</f>
        <v>Forest</v>
      </c>
      <c r="G2029" s="152" t="str">
        <f>'Reported burning'!G2029</f>
        <v>ND</v>
      </c>
      <c r="H2029" s="152"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2" t="str">
        <f>'Reported burning'!A2030</f>
        <v>232b</v>
      </c>
      <c r="B2030" s="152" t="str">
        <f>'Reported burning'!B2030</f>
        <v>232b.2</v>
      </c>
      <c r="C2030" s="152" t="str">
        <f>'Reported burning'!C2030</f>
        <v>Human, deliberate</v>
      </c>
      <c r="D2030" s="152" t="str">
        <f>'Reported burning'!D2030</f>
        <v>Hunting</v>
      </c>
      <c r="E2030" s="152" t="str">
        <f>'Reported burning'!E2030</f>
        <v>Forestry, Traditional</v>
      </c>
      <c r="F2030" s="152" t="str">
        <f>'Reported burning'!F2030</f>
        <v>Forest</v>
      </c>
      <c r="G2030" s="152" t="str">
        <f>'Reported burning'!G2030</f>
        <v>ND</v>
      </c>
      <c r="H2030" s="152"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5795</v>
      </c>
      <c r="AB2030" s="3"/>
    </row>
    <row r="2031" spans="1:28" ht="29" customHeight="1">
      <c r="A2031" s="152" t="str">
        <f>'Reported burning'!A2031</f>
        <v>232b</v>
      </c>
      <c r="B2031" s="152" t="str">
        <f>'Reported burning'!B2031</f>
        <v>232b.3</v>
      </c>
      <c r="C2031" s="152" t="str">
        <f>'Reported burning'!C2031</f>
        <v>Human, deliberate</v>
      </c>
      <c r="D2031" s="152" t="str">
        <f>'Reported burning'!D2031</f>
        <v>Hunting</v>
      </c>
      <c r="E2031" s="152" t="str">
        <f>'Reported burning'!E2031</f>
        <v>Forestry, Traditional</v>
      </c>
      <c r="F2031" s="152" t="str">
        <f>'Reported burning'!F2031</f>
        <v>Forest</v>
      </c>
      <c r="G2031" s="152" t="str">
        <f>'Reported burning'!G2031</f>
        <v>ND</v>
      </c>
      <c r="H2031" s="152"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5795</v>
      </c>
      <c r="AB2031" s="3"/>
    </row>
    <row r="2032" spans="1:28" ht="29" customHeight="1">
      <c r="A2032" s="152" t="str">
        <f>'Reported burning'!A2032</f>
        <v>232b</v>
      </c>
      <c r="B2032" s="152" t="str">
        <f>'Reported burning'!B2032</f>
        <v>232b.4</v>
      </c>
      <c r="C2032" s="152" t="str">
        <f>'Reported burning'!C2032</f>
        <v>Human, deliberate</v>
      </c>
      <c r="D2032" s="152" t="str">
        <f>'Reported burning'!D2032</f>
        <v>Pyrome management</v>
      </c>
      <c r="E2032" s="152" t="str">
        <f>'Reported burning'!E2032</f>
        <v>Forestry, Traditional</v>
      </c>
      <c r="F2032" s="152" t="str">
        <f>'Reported burning'!F2032</f>
        <v>Forest</v>
      </c>
      <c r="G2032" s="152" t="str">
        <f>'Reported burning'!G2032</f>
        <v>ND</v>
      </c>
      <c r="H2032" s="152"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2" t="str">
        <f>'Reported burning'!A2033</f>
        <v>232b</v>
      </c>
      <c r="B2033" s="152" t="str">
        <f>'Reported burning'!B2033</f>
        <v>232b.5</v>
      </c>
      <c r="C2033" s="152" t="str">
        <f>'Reported burning'!C2033</f>
        <v>Human, deliberate</v>
      </c>
      <c r="D2033" s="152" t="str">
        <f>'Reported burning'!D2033</f>
        <v>Pyrome management</v>
      </c>
      <c r="E2033" s="152" t="str">
        <f>'Reported burning'!E2033</f>
        <v>Forestry, Traditional</v>
      </c>
      <c r="F2033" s="152" t="str">
        <f>'Reported burning'!F2033</f>
        <v>Forest</v>
      </c>
      <c r="G2033" s="152" t="str">
        <f>'Reported burning'!G2033</f>
        <v>ND</v>
      </c>
      <c r="H2033" s="152"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5795</v>
      </c>
      <c r="AB2033" s="3"/>
    </row>
    <row r="2034" spans="1:28" ht="29" customHeight="1">
      <c r="A2034" s="152" t="str">
        <f>'Reported burning'!A2034</f>
        <v>232b</v>
      </c>
      <c r="B2034" s="152" t="str">
        <f>'Reported burning'!B2034</f>
        <v>232b.6</v>
      </c>
      <c r="C2034" s="152" t="str">
        <f>'Reported burning'!C2034</f>
        <v>Human, deliberate</v>
      </c>
      <c r="D2034" s="152" t="str">
        <f>'Reported burning'!D2034</f>
        <v>Pyrome management</v>
      </c>
      <c r="E2034" s="152" t="str">
        <f>'Reported burning'!E2034</f>
        <v>Forestry, Traditional</v>
      </c>
      <c r="F2034" s="152" t="str">
        <f>'Reported burning'!F2034</f>
        <v>Forest</v>
      </c>
      <c r="G2034" s="152" t="str">
        <f>'Reported burning'!G2034</f>
        <v>ND</v>
      </c>
      <c r="H2034" s="152"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5795</v>
      </c>
      <c r="AB2034" s="3"/>
    </row>
    <row r="2035" spans="1:28" ht="29">
      <c r="A2035" s="152" t="str">
        <f>'Reported burning'!A2035</f>
        <v>233a</v>
      </c>
      <c r="B2035" s="152" t="str">
        <f>'Reported burning'!B2035</f>
        <v>233a.1</v>
      </c>
      <c r="C2035" s="152" t="str">
        <f>'Reported burning'!C2035</f>
        <v>Human, deliberate</v>
      </c>
      <c r="D2035" s="152" t="str">
        <f>'Reported burning'!D2035</f>
        <v>Crop residue burning</v>
      </c>
      <c r="E2035" s="152" t="str">
        <f>'Reported burning'!E2035</f>
        <v>Cropping, Monoculture, Market-oriented</v>
      </c>
      <c r="F2035" s="152" t="str">
        <f>'Reported burning'!F2035</f>
        <v>Cropland</v>
      </c>
      <c r="G2035" s="152" t="str">
        <f>'Reported burning'!G2035</f>
        <v>ND</v>
      </c>
      <c r="H2035" s="152"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2" t="str">
        <f>'Reported burning'!A2036</f>
        <v>233a</v>
      </c>
      <c r="B2036" s="152" t="str">
        <f>'Reported burning'!B2036</f>
        <v>233a.2</v>
      </c>
      <c r="C2036" s="152" t="str">
        <f>'Reported burning'!C2036</f>
        <v>Human, deliberate</v>
      </c>
      <c r="D2036" s="152" t="str">
        <f>'Reported burning'!D2036</f>
        <v>Domestic</v>
      </c>
      <c r="E2036" s="152" t="str">
        <f>'Reported burning'!E2036</f>
        <v>Cropping, Monoculture, Market-oriented</v>
      </c>
      <c r="F2036" s="152" t="str">
        <f>'Reported burning'!F2036</f>
        <v>ND</v>
      </c>
      <c r="G2036" s="152" t="str">
        <f>'Reported burning'!G2036</f>
        <v>ND</v>
      </c>
      <c r="H2036" s="152"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6" t="str">
        <f>'Reported burning'!A2037</f>
        <v>233a</v>
      </c>
      <c r="B2037" s="156" t="str">
        <f>'Reported burning'!B2037</f>
        <v>233a.3</v>
      </c>
      <c r="C2037" s="156" t="str">
        <f>'Reported burning'!C2037</f>
        <v>Human, deliberate</v>
      </c>
      <c r="D2037" s="156" t="str">
        <f>'Reported burning'!D2037</f>
        <v>Vegetation management</v>
      </c>
      <c r="E2037" s="156" t="str">
        <f>'Reported burning'!E2037</f>
        <v>Cropping, Monoculture, Market-oriented</v>
      </c>
      <c r="F2037" s="156" t="str">
        <f>'Reported burning'!F2037</f>
        <v>Cropland</v>
      </c>
      <c r="G2037" s="156" t="str">
        <f>'Reported burning'!G2037</f>
        <v>ND</v>
      </c>
      <c r="H2037" s="156"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6" t="str">
        <f>'Reported burning'!A2038</f>
        <v>233a</v>
      </c>
      <c r="B2038" s="156" t="str">
        <f>'Reported burning'!B2038</f>
        <v>233a.4</v>
      </c>
      <c r="C2038" s="156" t="str">
        <f>'Reported burning'!C2038</f>
        <v>Human, deliberate</v>
      </c>
      <c r="D2038" s="156" t="str">
        <f>'Reported burning'!D2038</f>
        <v>Pyrome management</v>
      </c>
      <c r="E2038" s="156" t="str">
        <f>'Reported burning'!E2038</f>
        <v>Cropping, Monoculture, Market-oriented</v>
      </c>
      <c r="F2038" s="156" t="str">
        <f>'Reported burning'!F2038</f>
        <v>Shrubland (Mixed forest &amp; grassland)</v>
      </c>
      <c r="G2038" s="156" t="str">
        <f>'Reported burning'!G2038</f>
        <v>ND</v>
      </c>
      <c r="H2038" s="156"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6" t="str">
        <f>'Reported burning'!A2039</f>
        <v>233a</v>
      </c>
      <c r="B2039" s="156" t="str">
        <f>'Reported burning'!B2039</f>
        <v>233a.5</v>
      </c>
      <c r="C2039" s="156" t="str">
        <f>'Reported burning'!C2039</f>
        <v>Human, deliberate</v>
      </c>
      <c r="D2039" s="156" t="str">
        <f>'Reported burning'!D2039</f>
        <v>Arson</v>
      </c>
      <c r="E2039" s="156" t="str">
        <f>'Reported burning'!E2039</f>
        <v>ND</v>
      </c>
      <c r="F2039" s="156" t="str">
        <f>'Reported burning'!F2039</f>
        <v>ND</v>
      </c>
      <c r="G2039" s="156" t="str">
        <f>'Reported burning'!G2039</f>
        <v>ND</v>
      </c>
      <c r="H2039" s="156"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6" t="str">
        <f>'Reported burning'!A2040</f>
        <v>233a</v>
      </c>
      <c r="B2040" s="156" t="str">
        <f>'Reported burning'!B2040</f>
        <v>233a.6</v>
      </c>
      <c r="C2040" s="156" t="str">
        <f>'Reported burning'!C2040</f>
        <v>Human, escaped</v>
      </c>
      <c r="D2040" s="156" t="str">
        <f>'Reported burning'!D2040</f>
        <v>Domestic</v>
      </c>
      <c r="E2040" s="156" t="str">
        <f>'Reported burning'!E2040</f>
        <v>Tourism manager</v>
      </c>
      <c r="F2040" s="156" t="str">
        <f>'Reported burning'!F2040</f>
        <v>ND</v>
      </c>
      <c r="G2040" s="156" t="str">
        <f>'Reported burning'!G2040</f>
        <v>ND</v>
      </c>
      <c r="H2040" s="156"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6" t="str">
        <f>'Reported burning'!A2041</f>
        <v>233a</v>
      </c>
      <c r="B2041" s="156" t="str">
        <f>'Reported burning'!B2041</f>
        <v>233a.7</v>
      </c>
      <c r="C2041" s="156" t="str">
        <f>'Reported burning'!C2041</f>
        <v>All</v>
      </c>
      <c r="D2041" s="156" t="str">
        <f>'Reported burning'!D2041</f>
        <v>All</v>
      </c>
      <c r="E2041" s="156" t="str">
        <f>'Reported burning'!E2041</f>
        <v>All</v>
      </c>
      <c r="F2041" s="156" t="str">
        <f>'Reported burning'!F2041</f>
        <v>ND</v>
      </c>
      <c r="G2041" s="156" t="str">
        <f>'Reported burning'!G2041</f>
        <v>ND</v>
      </c>
      <c r="H2041" s="156" t="str">
        <f>'Reported burning'!H2041</f>
        <v>Presence</v>
      </c>
      <c r="I2041" s="5"/>
      <c r="J2041" s="21" t="s">
        <v>2372</v>
      </c>
      <c r="K2041" s="103"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5809</v>
      </c>
    </row>
    <row r="2042" spans="1:28" ht="32.5" customHeight="1">
      <c r="A2042" s="156" t="str">
        <f>'Reported burning'!A2042</f>
        <v>234a</v>
      </c>
      <c r="B2042" s="156" t="str">
        <f>'Reported burning'!B2042</f>
        <v>234a.1</v>
      </c>
      <c r="C2042" s="156" t="str">
        <f>'Reported burning'!C2042</f>
        <v>Human, deliberate</v>
      </c>
      <c r="D2042" s="156" t="str">
        <f>'Reported burning'!D2042</f>
        <v>Crop field preparation</v>
      </c>
      <c r="E2042" s="156" t="str">
        <f>'Reported burning'!E2042</f>
        <v>Cropping, Swidden</v>
      </c>
      <c r="F2042" s="156" t="str">
        <f>'Reported burning'!F2042</f>
        <v>Secondary vegetation</v>
      </c>
      <c r="G2042" s="156" t="str">
        <f>'Reported burning'!G2042</f>
        <v>ND</v>
      </c>
      <c r="H2042" s="156"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6" t="str">
        <f>'Reported burning'!A2043</f>
        <v>234a</v>
      </c>
      <c r="B2043" s="156" t="str">
        <f>'Reported burning'!B2043</f>
        <v>234a.2</v>
      </c>
      <c r="C2043" s="156" t="str">
        <f>'Reported burning'!C2043</f>
        <v>Human, deliberate</v>
      </c>
      <c r="D2043" s="156" t="str">
        <f>'Reported burning'!D2043</f>
        <v>Crop field preparation</v>
      </c>
      <c r="E2043" s="156" t="str">
        <f>'Reported burning'!E2043</f>
        <v>Cropping, Monoculture, Market-oriented</v>
      </c>
      <c r="F2043" s="156" t="str">
        <f>'Reported burning'!F2043</f>
        <v>Secondary vegetation</v>
      </c>
      <c r="G2043" s="156" t="str">
        <f>'Reported burning'!G2043</f>
        <v>ND</v>
      </c>
      <c r="H2043" s="156"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6" t="str">
        <f>'Reported burning'!A2044</f>
        <v>234a</v>
      </c>
      <c r="B2044" s="156" t="str">
        <f>'Reported burning'!B2044</f>
        <v>234a.3</v>
      </c>
      <c r="C2044" s="156" t="str">
        <f>'Reported burning'!C2044</f>
        <v>Human, deliberate</v>
      </c>
      <c r="D2044" s="156" t="str">
        <f>'Reported burning'!D2044</f>
        <v>Land clearance</v>
      </c>
      <c r="E2044" s="156" t="str">
        <f>'Reported burning'!E2044</f>
        <v>Cropping, Monoculture, Market-oriented</v>
      </c>
      <c r="F2044" s="156" t="str">
        <f>'Reported burning'!F2044</f>
        <v>Secondary vegetation</v>
      </c>
      <c r="G2044" s="156" t="str">
        <f>'Reported burning'!G2044</f>
        <v>ND</v>
      </c>
      <c r="H2044" s="156"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6" t="str">
        <f>'Reported burning'!A2045</f>
        <v>234b</v>
      </c>
      <c r="B2045" s="156" t="str">
        <f>'Reported burning'!B2045</f>
        <v>234b.1</v>
      </c>
      <c r="C2045" s="156" t="str">
        <f>'Reported burning'!C2045</f>
        <v>Human, deliberate</v>
      </c>
      <c r="D2045" s="156" t="str">
        <f>'Reported burning'!D2045</f>
        <v>Crop field preparation</v>
      </c>
      <c r="E2045" s="156" t="str">
        <f>'Reported burning'!E2045</f>
        <v>Cropping, Swidden</v>
      </c>
      <c r="F2045" s="156" t="str">
        <f>'Reported burning'!F2045</f>
        <v>Secondary vegetation</v>
      </c>
      <c r="G2045" s="156" t="str">
        <f>'Reported burning'!G2045</f>
        <v>ND</v>
      </c>
      <c r="H2045" s="156"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6" t="str">
        <f>'Reported burning'!A2046</f>
        <v>234b</v>
      </c>
      <c r="B2046" s="156" t="str">
        <f>'Reported burning'!B2046</f>
        <v>234b.2</v>
      </c>
      <c r="C2046" s="156" t="str">
        <f>'Reported burning'!C2046</f>
        <v>Human, deliberate</v>
      </c>
      <c r="D2046" s="156" t="str">
        <f>'Reported burning'!D2046</f>
        <v>Crop field preparation</v>
      </c>
      <c r="E2046" s="156" t="str">
        <f>'Reported burning'!E2046</f>
        <v>Cropping, Monoculture, Market-oriented</v>
      </c>
      <c r="F2046" s="156" t="str">
        <f>'Reported burning'!F2046</f>
        <v>Secondary vegetation</v>
      </c>
      <c r="G2046" s="156" t="str">
        <f>'Reported burning'!G2046</f>
        <v>ND</v>
      </c>
      <c r="H2046" s="156"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6" t="str">
        <f>'Reported burning'!A2047</f>
        <v>234b</v>
      </c>
      <c r="B2047" s="156" t="str">
        <f>'Reported burning'!B2047</f>
        <v>234b.3</v>
      </c>
      <c r="C2047" s="156" t="str">
        <f>'Reported burning'!C2047</f>
        <v>Human, deliberate</v>
      </c>
      <c r="D2047" s="156" t="str">
        <f>'Reported burning'!D2047</f>
        <v>Land clearance</v>
      </c>
      <c r="E2047" s="156" t="str">
        <f>'Reported burning'!E2047</f>
        <v>Cropping, Monoculture, Market-oriented</v>
      </c>
      <c r="F2047" s="156" t="str">
        <f>'Reported burning'!F2047</f>
        <v>Secondary vegetation</v>
      </c>
      <c r="G2047" s="156" t="str">
        <f>'Reported burning'!G2047</f>
        <v>ND</v>
      </c>
      <c r="H2047" s="156"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6" t="str">
        <f>'Reported burning'!A2048</f>
        <v>235a</v>
      </c>
      <c r="B2048" s="156" t="str">
        <f>'Reported burning'!B2048</f>
        <v>235a.1</v>
      </c>
      <c r="C2048" s="156" t="str">
        <f>'Reported burning'!C2048</f>
        <v>Human, deliberate</v>
      </c>
      <c r="D2048" s="156" t="str">
        <f>'Reported burning'!D2048</f>
        <v>Crop field preparation</v>
      </c>
      <c r="E2048" s="156" t="str">
        <f>'Reported burning'!E2048</f>
        <v>Cropping, Swidden</v>
      </c>
      <c r="F2048" s="156" t="str">
        <f>'Reported burning'!F2048</f>
        <v>Cropland</v>
      </c>
      <c r="G2048" s="156" t="str">
        <f>'Reported burning'!G2048</f>
        <v>Cropland</v>
      </c>
      <c r="H2048" s="156"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5834</v>
      </c>
      <c r="AB2048" s="3"/>
    </row>
    <row r="2049" spans="1:28" ht="38" customHeight="1">
      <c r="A2049" s="156" t="str">
        <f>'Reported burning'!A2049</f>
        <v>235a</v>
      </c>
      <c r="B2049" s="156" t="str">
        <f>'Reported burning'!B2049</f>
        <v>235a.2</v>
      </c>
      <c r="C2049" s="156" t="str">
        <f>'Reported burning'!C2049</f>
        <v>Human, deliberate</v>
      </c>
      <c r="D2049" s="156" t="str">
        <f>'Reported burning'!D2049</f>
        <v>Crop field preparation</v>
      </c>
      <c r="E2049" s="156" t="str">
        <f>'Reported burning'!E2049</f>
        <v>Cropping, Swidden</v>
      </c>
      <c r="F2049" s="156" t="str">
        <f>'Reported burning'!F2049</f>
        <v>Secondary vegetation</v>
      </c>
      <c r="G2049" s="156" t="str">
        <f>'Reported burning'!G2049</f>
        <v>Cropland</v>
      </c>
      <c r="H2049" s="156"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5835</v>
      </c>
      <c r="AB2049" s="3"/>
    </row>
    <row r="2050" spans="1:28" ht="32.5" customHeight="1">
      <c r="A2050" s="156" t="str">
        <f>'Reported burning'!A2050</f>
        <v>236a</v>
      </c>
      <c r="B2050" s="156" t="str">
        <f>'Reported burning'!B2050</f>
        <v>236a.1</v>
      </c>
      <c r="C2050" s="156" t="str">
        <f>'Reported burning'!C2050</f>
        <v>Human, deliberate</v>
      </c>
      <c r="D2050" s="156" t="str">
        <f>'Reported burning'!D2050</f>
        <v>Pasture renewal</v>
      </c>
      <c r="E2050" s="156" t="str">
        <f>'Reported burning'!E2050</f>
        <v>Cattle, Extensive</v>
      </c>
      <c r="F2050" s="156" t="str">
        <f>'Reported burning'!F2050</f>
        <v>Shrubland (Mixed forest &amp; grassland)</v>
      </c>
      <c r="G2050" s="156" t="str">
        <f>'Reported burning'!G2050</f>
        <v>ND</v>
      </c>
      <c r="H2050" s="156"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6" t="str">
        <f>'Reported burning'!A2051</f>
        <v>237a</v>
      </c>
      <c r="B2051" s="156" t="str">
        <f>'Reported burning'!B2051</f>
        <v>237a.1</v>
      </c>
      <c r="C2051" s="156" t="str">
        <f>'Reported burning'!C2051</f>
        <v>Human, deliberate</v>
      </c>
      <c r="D2051" s="156" t="str">
        <f>'Reported burning'!D2051</f>
        <v>Hunting</v>
      </c>
      <c r="E2051" s="156" t="str">
        <f>'Reported burning'!E2051</f>
        <v>Forestry, Traditional</v>
      </c>
      <c r="F2051" s="156" t="str">
        <f>'Reported burning'!F2051</f>
        <v>Shrubland (Mixed forest &amp; grassland)</v>
      </c>
      <c r="G2051" s="156" t="str">
        <f>'Reported burning'!G2051</f>
        <v>Shrubland (Mixed forest &amp; grassland)</v>
      </c>
      <c r="H2051" s="156"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6" t="str">
        <f>'Reported burning'!A2052</f>
        <v>237a</v>
      </c>
      <c r="B2052" s="156" t="str">
        <f>'Reported burning'!B2052</f>
        <v>237a.2</v>
      </c>
      <c r="C2052" s="156" t="str">
        <f>'Reported burning'!C2052</f>
        <v>Human, deliberate</v>
      </c>
      <c r="D2052" s="156" t="str">
        <f>'Reported burning'!D2052</f>
        <v>Pasture renewal</v>
      </c>
      <c r="E2052" s="156" t="str">
        <f>'Reported burning'!E2052</f>
        <v>Pastoralism, Migratory</v>
      </c>
      <c r="F2052" s="156" t="str">
        <f>'Reported burning'!F2052</f>
        <v>Shrubland (Mixed forest &amp; grassland)</v>
      </c>
      <c r="G2052" s="156" t="str">
        <f>'Reported burning'!G2052</f>
        <v>Shrubland (Mixed forest &amp; grassland)</v>
      </c>
      <c r="H2052" s="156"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6" t="str">
        <f>'Reported burning'!A2053</f>
        <v>237a</v>
      </c>
      <c r="B2053" s="156" t="str">
        <f>'Reported burning'!B2053</f>
        <v>237a.3</v>
      </c>
      <c r="C2053" s="156" t="str">
        <f>'Reported burning'!C2053</f>
        <v>All</v>
      </c>
      <c r="D2053" s="156" t="str">
        <f>'Reported burning'!D2053</f>
        <v>All</v>
      </c>
      <c r="E2053" s="156" t="str">
        <f>'Reported burning'!E2053</f>
        <v>All</v>
      </c>
      <c r="F2053" s="156" t="str">
        <f>'Reported burning'!F2053</f>
        <v>ND</v>
      </c>
      <c r="G2053" s="156" t="str">
        <f>'Reported burning'!G2053</f>
        <v>Shrubland (Mixed forest &amp; grassland)</v>
      </c>
      <c r="H2053" s="156"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5853</v>
      </c>
    </row>
    <row r="2054" spans="1:28" ht="29">
      <c r="A2054" s="156" t="str">
        <f>'Reported burning'!A2054</f>
        <v>238a</v>
      </c>
      <c r="B2054" s="156" t="str">
        <f>'Reported burning'!B2054</f>
        <v>238a.1</v>
      </c>
      <c r="C2054" s="156" t="str">
        <f>'Reported burning'!C2054</f>
        <v>Human, deliberate</v>
      </c>
      <c r="D2054" s="156" t="str">
        <f>'Reported burning'!D2054</f>
        <v>Pasture renewal</v>
      </c>
      <c r="E2054" s="156" t="str">
        <f>'Reported burning'!E2054</f>
        <v>Pastoralism, Migratory</v>
      </c>
      <c r="F2054" s="156" t="str">
        <f>'Reported burning'!F2054</f>
        <v>Shrubland (Mixed forest &amp; grassland)</v>
      </c>
      <c r="G2054" s="156" t="str">
        <f>'Reported burning'!G2054</f>
        <v>ND</v>
      </c>
      <c r="H2054" s="156" t="str">
        <f>'Reported burning'!H2054</f>
        <v>Presence</v>
      </c>
      <c r="I2054" s="5"/>
      <c r="J2054" s="4" t="s">
        <v>2276</v>
      </c>
      <c r="K2054" s="187" t="s">
        <v>2276</v>
      </c>
      <c r="L2054" s="187" t="s">
        <v>2276</v>
      </c>
      <c r="M2054" s="187" t="s">
        <v>2276</v>
      </c>
      <c r="N2054" s="187" t="s">
        <v>2276</v>
      </c>
      <c r="O2054" s="21" t="s">
        <v>2373</v>
      </c>
      <c r="P2054" s="4" t="s">
        <v>2276</v>
      </c>
      <c r="Q2054" s="21" t="s">
        <v>2373</v>
      </c>
      <c r="R2054" s="187" t="s">
        <v>2276</v>
      </c>
      <c r="S2054" s="187" t="s">
        <v>2276</v>
      </c>
      <c r="T2054" s="187" t="s">
        <v>2276</v>
      </c>
      <c r="U2054" s="187" t="s">
        <v>2276</v>
      </c>
      <c r="V2054" s="187" t="s">
        <v>2276</v>
      </c>
      <c r="W2054" s="187" t="s">
        <v>2276</v>
      </c>
      <c r="X2054" s="3" t="s">
        <v>399</v>
      </c>
      <c r="Y2054" s="3" t="s">
        <v>189</v>
      </c>
      <c r="Z2054" s="4" t="s">
        <v>2276</v>
      </c>
      <c r="AA2054" s="3"/>
      <c r="AB2054" s="3"/>
    </row>
    <row r="2055" spans="1:28" ht="29">
      <c r="A2055" s="156" t="str">
        <f>'Reported burning'!A2055</f>
        <v>238a</v>
      </c>
      <c r="B2055" s="156" t="str">
        <f>'Reported burning'!B2055</f>
        <v>238a.2</v>
      </c>
      <c r="C2055" s="156" t="str">
        <f>'Reported burning'!C2055</f>
        <v>Human, escaped</v>
      </c>
      <c r="D2055" s="156" t="str">
        <f>'Reported burning'!D2055</f>
        <v>Pasture renewal</v>
      </c>
      <c r="E2055" s="156" t="str">
        <f>'Reported burning'!E2055</f>
        <v>Pastoralism, Migratory</v>
      </c>
      <c r="F2055" s="156" t="str">
        <f>'Reported burning'!F2055</f>
        <v>Shrubland (Mixed forest &amp; grassland)</v>
      </c>
      <c r="G2055" s="156" t="str">
        <f>'Reported burning'!G2055</f>
        <v>ND</v>
      </c>
      <c r="H2055" s="156" t="str">
        <f>'Reported burning'!H2055</f>
        <v>Presence</v>
      </c>
      <c r="I2055" s="5"/>
      <c r="J2055" s="187" t="s">
        <v>2276</v>
      </c>
      <c r="K2055" s="187" t="s">
        <v>2276</v>
      </c>
      <c r="L2055" s="187" t="s">
        <v>2276</v>
      </c>
      <c r="M2055" s="187" t="s">
        <v>2276</v>
      </c>
      <c r="N2055" s="187" t="s">
        <v>2276</v>
      </c>
      <c r="O2055" s="187" t="s">
        <v>2276</v>
      </c>
      <c r="P2055" s="187" t="s">
        <v>2276</v>
      </c>
      <c r="Q2055" s="187" t="s">
        <v>2276</v>
      </c>
      <c r="R2055" s="187" t="s">
        <v>2276</v>
      </c>
      <c r="S2055" s="187" t="s">
        <v>2276</v>
      </c>
      <c r="T2055" s="187" t="s">
        <v>2276</v>
      </c>
      <c r="U2055" s="187" t="s">
        <v>2276</v>
      </c>
      <c r="V2055" s="187" t="s">
        <v>2276</v>
      </c>
      <c r="W2055" s="187" t="s">
        <v>2276</v>
      </c>
      <c r="X2055" s="3" t="s">
        <v>399</v>
      </c>
      <c r="Y2055" s="3" t="s">
        <v>189</v>
      </c>
      <c r="Z2055" s="4" t="s">
        <v>2276</v>
      </c>
      <c r="AA2055" s="3"/>
      <c r="AB2055" s="3"/>
    </row>
    <row r="2056" spans="1:28" ht="32.5" customHeight="1">
      <c r="A2056" s="156" t="str">
        <f>'Reported burning'!A2056</f>
        <v>238a</v>
      </c>
      <c r="B2056" s="156" t="str">
        <f>'Reported burning'!B2056</f>
        <v>238a.3</v>
      </c>
      <c r="C2056" s="156" t="str">
        <f>'Reported burning'!C2056</f>
        <v>Lightning</v>
      </c>
      <c r="D2056" s="156" t="str">
        <f>'Reported burning'!D2056</f>
        <v>ND</v>
      </c>
      <c r="E2056" s="156" t="str">
        <f>'Reported burning'!E2056</f>
        <v>ND</v>
      </c>
      <c r="F2056" s="156" t="str">
        <f>'Reported burning'!F2056</f>
        <v>ND</v>
      </c>
      <c r="G2056" s="156" t="str">
        <f>'Reported burning'!G2056</f>
        <v>Shrubland (Mixed forest &amp; grassland)</v>
      </c>
      <c r="H2056" s="156"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7" t="s">
        <v>2276</v>
      </c>
      <c r="X2056" s="3" t="s">
        <v>399</v>
      </c>
      <c r="Y2056" s="3" t="s">
        <v>189</v>
      </c>
      <c r="Z2056" s="4" t="s">
        <v>2276</v>
      </c>
      <c r="AA2056" s="3"/>
      <c r="AB2056" s="3"/>
    </row>
    <row r="2057" spans="1:28" ht="67" customHeight="1">
      <c r="A2057" s="156" t="str">
        <f>'Reported burning'!A2057</f>
        <v>238a</v>
      </c>
      <c r="B2057" s="156" t="str">
        <f>'Reported burning'!B2057</f>
        <v>238a.4</v>
      </c>
      <c r="C2057" s="156" t="str">
        <f>'Reported burning'!C2057</f>
        <v>All</v>
      </c>
      <c r="D2057" s="156" t="str">
        <f>'Reported burning'!D2057</f>
        <v>All</v>
      </c>
      <c r="E2057" s="156" t="str">
        <f>'Reported burning'!E2057</f>
        <v>All</v>
      </c>
      <c r="F2057" s="156" t="str">
        <f>'Reported burning'!F2057</f>
        <v>ND</v>
      </c>
      <c r="G2057" s="156" t="str">
        <f>'Reported burning'!G2057</f>
        <v>Shrubland (Mixed forest &amp; grassland)</v>
      </c>
      <c r="H2057" s="156" t="str">
        <f>'Reported burning'!H2057</f>
        <v>Presence</v>
      </c>
      <c r="I2057" s="5"/>
      <c r="J2057" s="187" t="s">
        <v>2276</v>
      </c>
      <c r="K2057" s="187" t="s">
        <v>2276</v>
      </c>
      <c r="L2057" s="187" t="s">
        <v>2276</v>
      </c>
      <c r="M2057" s="187" t="s">
        <v>2276</v>
      </c>
      <c r="N2057" s="187" t="s">
        <v>2276</v>
      </c>
      <c r="O2057" s="187" t="s">
        <v>2276</v>
      </c>
      <c r="P2057" s="187" t="s">
        <v>2276</v>
      </c>
      <c r="Q2057" s="187" t="s">
        <v>2276</v>
      </c>
      <c r="R2057" s="187" t="s">
        <v>2276</v>
      </c>
      <c r="S2057" s="187" t="s">
        <v>2276</v>
      </c>
      <c r="T2057" s="187" t="s">
        <v>2276</v>
      </c>
      <c r="U2057" s="187" t="s">
        <v>2276</v>
      </c>
      <c r="V2057" s="187" t="s">
        <v>2276</v>
      </c>
      <c r="W2057" s="187" t="s">
        <v>2276</v>
      </c>
      <c r="X2057" s="3" t="s">
        <v>399</v>
      </c>
      <c r="Y2057" s="3" t="s">
        <v>189</v>
      </c>
      <c r="Z2057" s="4" t="s">
        <v>2276</v>
      </c>
      <c r="AA2057" s="3"/>
      <c r="AB2057" s="4" t="s">
        <v>5865</v>
      </c>
    </row>
    <row r="2058" spans="1:28" ht="67" customHeight="1">
      <c r="A2058" s="156" t="str">
        <f>'Reported burning'!A2058</f>
        <v>238a</v>
      </c>
      <c r="B2058" s="156" t="str">
        <f>'Reported burning'!B2058</f>
        <v>238a.5</v>
      </c>
      <c r="C2058" s="156" t="str">
        <f>'Reported burning'!C2058</f>
        <v>All</v>
      </c>
      <c r="D2058" s="156" t="str">
        <f>'Reported burning'!D2058</f>
        <v>All</v>
      </c>
      <c r="E2058" s="156" t="str">
        <f>'Reported burning'!E2058</f>
        <v>All</v>
      </c>
      <c r="F2058" s="156" t="str">
        <f>'Reported burning'!F2058</f>
        <v>ND</v>
      </c>
      <c r="G2058" s="156" t="str">
        <f>'Reported burning'!G2058</f>
        <v>Shrubland (Mixed forest &amp; grassland)</v>
      </c>
      <c r="H2058" s="156" t="str">
        <f>'Reported burning'!H2058</f>
        <v>Presence</v>
      </c>
      <c r="I2058" s="5"/>
      <c r="J2058" s="187" t="s">
        <v>2276</v>
      </c>
      <c r="K2058" s="187" t="s">
        <v>2276</v>
      </c>
      <c r="L2058" s="187" t="s">
        <v>2276</v>
      </c>
      <c r="M2058" s="187" t="s">
        <v>2276</v>
      </c>
      <c r="N2058" s="4" t="s">
        <v>2276</v>
      </c>
      <c r="O2058" s="4" t="s">
        <v>2276</v>
      </c>
      <c r="P2058" s="4" t="s">
        <v>2276</v>
      </c>
      <c r="Q2058" s="4" t="s">
        <v>2276</v>
      </c>
      <c r="R2058" s="4" t="s">
        <v>2276</v>
      </c>
      <c r="S2058" s="187" t="s">
        <v>2276</v>
      </c>
      <c r="T2058" s="187" t="s">
        <v>2276</v>
      </c>
      <c r="U2058" s="4" t="s">
        <v>2276</v>
      </c>
      <c r="V2058" s="21" t="s">
        <v>2389</v>
      </c>
      <c r="W2058" s="187" t="s">
        <v>2276</v>
      </c>
      <c r="X2058" s="3" t="s">
        <v>399</v>
      </c>
      <c r="Y2058" s="3" t="s">
        <v>189</v>
      </c>
      <c r="Z2058" s="4" t="s">
        <v>2276</v>
      </c>
      <c r="AA2058" s="3"/>
      <c r="AB2058" s="4" t="s">
        <v>5866</v>
      </c>
    </row>
    <row r="2059" spans="1:28" ht="31.5" customHeight="1">
      <c r="A2059" s="156" t="str">
        <f>'Reported burning'!A2059</f>
        <v>239a</v>
      </c>
      <c r="B2059" s="156" t="str">
        <f>'Reported burning'!B2059</f>
        <v>239a.1</v>
      </c>
      <c r="C2059" s="156" t="str">
        <f>'Reported burning'!C2059</f>
        <v>Human, deliberate</v>
      </c>
      <c r="D2059" s="156" t="str">
        <f>'Reported burning'!D2059</f>
        <v>Pasture renewal</v>
      </c>
      <c r="E2059" s="156" t="str">
        <f>'Reported burning'!E2059</f>
        <v>Pastoralism, Migratory</v>
      </c>
      <c r="F2059" s="156" t="str">
        <f>'Reported burning'!F2059</f>
        <v>Shrubland (Mixed forest &amp; grassland)</v>
      </c>
      <c r="G2059" s="156" t="str">
        <f>'Reported burning'!G2059</f>
        <v>ND</v>
      </c>
      <c r="H2059" s="156" t="str">
        <f>'Reported burning'!H2059</f>
        <v>Presence</v>
      </c>
      <c r="I2059" s="5"/>
      <c r="J2059" s="187" t="s">
        <v>2276</v>
      </c>
      <c r="K2059" s="187" t="s">
        <v>2276</v>
      </c>
      <c r="L2059" s="187" t="s">
        <v>2276</v>
      </c>
      <c r="M2059" s="187" t="s">
        <v>2276</v>
      </c>
      <c r="N2059" s="187" t="s">
        <v>2276</v>
      </c>
      <c r="O2059" s="187" t="s">
        <v>2276</v>
      </c>
      <c r="P2059" s="187" t="s">
        <v>2276</v>
      </c>
      <c r="Q2059" s="187" t="s">
        <v>2276</v>
      </c>
      <c r="R2059" s="187" t="s">
        <v>2276</v>
      </c>
      <c r="S2059" s="187" t="s">
        <v>2276</v>
      </c>
      <c r="T2059" s="187" t="s">
        <v>2276</v>
      </c>
      <c r="U2059" s="187" t="s">
        <v>2276</v>
      </c>
      <c r="V2059" s="187" t="s">
        <v>2276</v>
      </c>
      <c r="W2059" s="187" t="s">
        <v>2276</v>
      </c>
      <c r="X2059" s="187" t="s">
        <v>2276</v>
      </c>
      <c r="Y2059" s="187" t="s">
        <v>2276</v>
      </c>
      <c r="Z2059" s="187" t="s">
        <v>2276</v>
      </c>
      <c r="AA2059" s="3"/>
      <c r="AB2059" s="3"/>
    </row>
    <row r="2060" spans="1:28" ht="31.5" customHeight="1">
      <c r="A2060" s="156" t="str">
        <f>'Reported burning'!A2060</f>
        <v>239a</v>
      </c>
      <c r="B2060" s="156" t="str">
        <f>'Reported burning'!B2060</f>
        <v>239a.2</v>
      </c>
      <c r="C2060" s="156" t="str">
        <f>'Reported burning'!C2060</f>
        <v>Human, deliberate</v>
      </c>
      <c r="D2060" s="156" t="str">
        <f>'Reported burning'!D2060</f>
        <v>Crop field preparation</v>
      </c>
      <c r="E2060" s="156" t="str">
        <f>'Reported burning'!E2060</f>
        <v>Cropping, Swidden</v>
      </c>
      <c r="F2060" s="156" t="str">
        <f>'Reported burning'!F2060</f>
        <v>Secondary vegetation</v>
      </c>
      <c r="G2060" s="156" t="str">
        <f>'Reported burning'!G2060</f>
        <v>ND</v>
      </c>
      <c r="H2060" s="156" t="str">
        <f>'Reported burning'!H2060</f>
        <v>Presence</v>
      </c>
      <c r="I2060" s="5"/>
      <c r="J2060" s="187" t="s">
        <v>2276</v>
      </c>
      <c r="K2060" s="187" t="s">
        <v>2276</v>
      </c>
      <c r="L2060" s="187" t="s">
        <v>2276</v>
      </c>
      <c r="M2060" s="187" t="s">
        <v>2276</v>
      </c>
      <c r="N2060" s="187" t="s">
        <v>2276</v>
      </c>
      <c r="O2060" s="187" t="s">
        <v>2276</v>
      </c>
      <c r="P2060" s="187" t="s">
        <v>2276</v>
      </c>
      <c r="Q2060" s="187" t="s">
        <v>2276</v>
      </c>
      <c r="R2060" s="187" t="s">
        <v>2276</v>
      </c>
      <c r="S2060" s="187" t="s">
        <v>2276</v>
      </c>
      <c r="T2060" s="187" t="s">
        <v>2276</v>
      </c>
      <c r="U2060" s="187" t="s">
        <v>2276</v>
      </c>
      <c r="V2060" s="187" t="s">
        <v>2276</v>
      </c>
      <c r="W2060" s="187" t="s">
        <v>2276</v>
      </c>
      <c r="X2060" s="187" t="s">
        <v>2276</v>
      </c>
      <c r="Y2060" s="187" t="s">
        <v>2276</v>
      </c>
      <c r="Z2060" s="187" t="s">
        <v>2276</v>
      </c>
      <c r="AA2060" s="3"/>
      <c r="AB2060" s="3"/>
    </row>
    <row r="2061" spans="1:28" ht="31.5" customHeight="1">
      <c r="A2061" s="156" t="str">
        <f>'Reported burning'!A2061</f>
        <v>239b</v>
      </c>
      <c r="B2061" s="156" t="str">
        <f>'Reported burning'!B2061</f>
        <v>239b.1</v>
      </c>
      <c r="C2061" s="156" t="str">
        <f>'Reported burning'!C2061</f>
        <v>Human, deliberate</v>
      </c>
      <c r="D2061" s="156" t="str">
        <f>'Reported burning'!D2061</f>
        <v>Pasture renewal</v>
      </c>
      <c r="E2061" s="156" t="str">
        <f>'Reported burning'!E2061</f>
        <v>Pastoralism, Migratory</v>
      </c>
      <c r="F2061" s="156" t="str">
        <f>'Reported burning'!F2061</f>
        <v>Shrubland (Mixed forest &amp; grassland)</v>
      </c>
      <c r="G2061" s="156" t="str">
        <f>'Reported burning'!G2061</f>
        <v>ND</v>
      </c>
      <c r="H2061" s="156" t="str">
        <f>'Reported burning'!H2061</f>
        <v>Presence</v>
      </c>
      <c r="I2061" s="5"/>
      <c r="J2061" s="187" t="s">
        <v>2276</v>
      </c>
      <c r="K2061" s="187" t="s">
        <v>2276</v>
      </c>
      <c r="L2061" s="187" t="s">
        <v>2276</v>
      </c>
      <c r="M2061" s="187" t="s">
        <v>2276</v>
      </c>
      <c r="N2061" s="187" t="s">
        <v>2276</v>
      </c>
      <c r="O2061" s="187" t="s">
        <v>2276</v>
      </c>
      <c r="P2061" s="187" t="s">
        <v>2276</v>
      </c>
      <c r="Q2061" s="187" t="s">
        <v>2276</v>
      </c>
      <c r="R2061" s="187" t="s">
        <v>2276</v>
      </c>
      <c r="S2061" s="187" t="s">
        <v>2276</v>
      </c>
      <c r="T2061" s="187" t="s">
        <v>2276</v>
      </c>
      <c r="U2061" s="187" t="s">
        <v>2276</v>
      </c>
      <c r="V2061" s="187" t="s">
        <v>2276</v>
      </c>
      <c r="W2061" s="187" t="s">
        <v>2276</v>
      </c>
      <c r="X2061" s="187" t="s">
        <v>2276</v>
      </c>
      <c r="Y2061" s="187" t="s">
        <v>2276</v>
      </c>
      <c r="Z2061" s="187" t="s">
        <v>2276</v>
      </c>
      <c r="AA2061" s="3"/>
      <c r="AB2061" s="3"/>
    </row>
    <row r="2062" spans="1:28" ht="31.5" customHeight="1">
      <c r="A2062" s="156" t="str">
        <f>'Reported burning'!A2062</f>
        <v>239c</v>
      </c>
      <c r="B2062" s="156" t="str">
        <f>'Reported burning'!B2062</f>
        <v>239c.1</v>
      </c>
      <c r="C2062" s="156" t="str">
        <f>'Reported burning'!C2062</f>
        <v>Human, deliberate</v>
      </c>
      <c r="D2062" s="156" t="str">
        <f>'Reported burning'!D2062</f>
        <v>Hunting</v>
      </c>
      <c r="E2062" s="156" t="str">
        <f>'Reported burning'!E2062</f>
        <v>Forestry, Traditional</v>
      </c>
      <c r="F2062" s="156" t="str">
        <f>'Reported burning'!F2062</f>
        <v>Shrubland (Mixed forest &amp; grassland)</v>
      </c>
      <c r="G2062" s="156" t="str">
        <f>'Reported burning'!G2062</f>
        <v>ND</v>
      </c>
      <c r="H2062" s="156" t="str">
        <f>'Reported burning'!H2062</f>
        <v>Presence</v>
      </c>
      <c r="I2062" s="5"/>
      <c r="J2062" s="187" t="s">
        <v>2276</v>
      </c>
      <c r="K2062" s="187" t="s">
        <v>2276</v>
      </c>
      <c r="L2062" s="187" t="s">
        <v>2276</v>
      </c>
      <c r="M2062" s="187" t="s">
        <v>2276</v>
      </c>
      <c r="N2062" s="187" t="s">
        <v>2276</v>
      </c>
      <c r="O2062" s="187" t="s">
        <v>2276</v>
      </c>
      <c r="P2062" s="187" t="s">
        <v>2276</v>
      </c>
      <c r="Q2062" s="187" t="s">
        <v>2276</v>
      </c>
      <c r="R2062" s="187" t="s">
        <v>2276</v>
      </c>
      <c r="S2062" s="187" t="s">
        <v>2276</v>
      </c>
      <c r="T2062" s="187" t="s">
        <v>2276</v>
      </c>
      <c r="U2062" s="187" t="s">
        <v>2276</v>
      </c>
      <c r="V2062" s="187" t="s">
        <v>2276</v>
      </c>
      <c r="W2062" s="187" t="s">
        <v>2276</v>
      </c>
      <c r="X2062" s="187" t="s">
        <v>2276</v>
      </c>
      <c r="Y2062" s="187" t="s">
        <v>2276</v>
      </c>
      <c r="Z2062" s="187" t="s">
        <v>2276</v>
      </c>
      <c r="AA2062" s="3"/>
      <c r="AB2062" s="3"/>
    </row>
    <row r="2063" spans="1:28" ht="35.5" customHeight="1">
      <c r="A2063" s="156" t="str">
        <f>'Reported burning'!A2063</f>
        <v>240a</v>
      </c>
      <c r="B2063" s="156" t="str">
        <f>'Reported burning'!B2063</f>
        <v>240a.1</v>
      </c>
      <c r="C2063" s="156" t="str">
        <f>'Reported burning'!C2063</f>
        <v>Human, deliberate</v>
      </c>
      <c r="D2063" s="156" t="str">
        <f>'Reported burning'!D2063</f>
        <v>Land clearance</v>
      </c>
      <c r="E2063" s="156" t="str">
        <f>'Reported burning'!E2063</f>
        <v>Cattle, Extensive</v>
      </c>
      <c r="F2063" s="156" t="str">
        <f>'Reported burning'!F2063</f>
        <v>Shrubland (Mixed forest &amp; grassland)</v>
      </c>
      <c r="G2063" s="156" t="str">
        <f>'Reported burning'!G2063</f>
        <v>ND</v>
      </c>
      <c r="H2063" s="156" t="str">
        <f>'Reported burning'!H2063</f>
        <v>Presence</v>
      </c>
      <c r="I2063" s="5"/>
      <c r="J2063" s="187" t="s">
        <v>2276</v>
      </c>
      <c r="K2063" s="187" t="s">
        <v>2276</v>
      </c>
      <c r="L2063" s="187" t="s">
        <v>2276</v>
      </c>
      <c r="M2063" s="187" t="s">
        <v>2276</v>
      </c>
      <c r="N2063" s="187" t="s">
        <v>2276</v>
      </c>
      <c r="O2063" s="187" t="s">
        <v>2276</v>
      </c>
      <c r="P2063" s="187" t="s">
        <v>2276</v>
      </c>
      <c r="Q2063" s="187" t="s">
        <v>2276</v>
      </c>
      <c r="R2063" s="187" t="s">
        <v>2276</v>
      </c>
      <c r="S2063" s="187" t="s">
        <v>2276</v>
      </c>
      <c r="T2063" s="187" t="s">
        <v>2276</v>
      </c>
      <c r="U2063" s="187" t="s">
        <v>2276</v>
      </c>
      <c r="V2063" s="187" t="s">
        <v>2276</v>
      </c>
      <c r="W2063" s="187" t="s">
        <v>2276</v>
      </c>
      <c r="X2063" s="187" t="s">
        <v>2276</v>
      </c>
      <c r="Y2063" s="187" t="s">
        <v>2276</v>
      </c>
      <c r="Z2063" s="187" t="s">
        <v>2276</v>
      </c>
      <c r="AA2063" s="3"/>
      <c r="AB2063" s="3"/>
    </row>
    <row r="2064" spans="1:28" ht="35.5" customHeight="1">
      <c r="A2064" s="156" t="str">
        <f>'Reported burning'!A2064</f>
        <v>240a</v>
      </c>
      <c r="B2064" s="156" t="str">
        <f>'Reported burning'!B2064</f>
        <v>240a.2</v>
      </c>
      <c r="C2064" s="156" t="str">
        <f>'Reported burning'!C2064</f>
        <v>Human, deliberate</v>
      </c>
      <c r="D2064" s="156" t="str">
        <f>'Reported burning'!D2064</f>
        <v>Domestic</v>
      </c>
      <c r="E2064" s="156" t="str">
        <f>'Reported burning'!E2064</f>
        <v>Urban planner</v>
      </c>
      <c r="F2064" s="156" t="str">
        <f>'Reported burning'!F2064</f>
        <v>ND</v>
      </c>
      <c r="G2064" s="156" t="str">
        <f>'Reported burning'!G2064</f>
        <v>ND</v>
      </c>
      <c r="H2064" s="156" t="str">
        <f>'Reported burning'!H2064</f>
        <v>Presence</v>
      </c>
      <c r="I2064" s="5"/>
      <c r="J2064" s="187" t="s">
        <v>2276</v>
      </c>
      <c r="K2064" s="187" t="s">
        <v>2276</v>
      </c>
      <c r="L2064" s="187" t="s">
        <v>2276</v>
      </c>
      <c r="M2064" s="187" t="s">
        <v>2276</v>
      </c>
      <c r="N2064" s="187" t="s">
        <v>2276</v>
      </c>
      <c r="O2064" s="187" t="s">
        <v>2276</v>
      </c>
      <c r="P2064" s="187" t="s">
        <v>2276</v>
      </c>
      <c r="Q2064" s="187" t="s">
        <v>2276</v>
      </c>
      <c r="R2064" s="187" t="s">
        <v>2276</v>
      </c>
      <c r="S2064" s="187" t="s">
        <v>2276</v>
      </c>
      <c r="T2064" s="187" t="s">
        <v>2276</v>
      </c>
      <c r="U2064" s="187" t="s">
        <v>2276</v>
      </c>
      <c r="V2064" s="187" t="s">
        <v>2276</v>
      </c>
      <c r="W2064" s="187" t="s">
        <v>2276</v>
      </c>
      <c r="X2064" s="187" t="s">
        <v>2276</v>
      </c>
      <c r="Y2064" s="187" t="s">
        <v>2276</v>
      </c>
      <c r="Z2064" s="187" t="s">
        <v>2276</v>
      </c>
      <c r="AA2064" s="3"/>
      <c r="AB2064" s="3"/>
    </row>
    <row r="2065" spans="1:28" ht="35.5" customHeight="1">
      <c r="A2065" s="156" t="str">
        <f>'Reported burning'!A2065</f>
        <v>240a</v>
      </c>
      <c r="B2065" s="156" t="str">
        <f>'Reported burning'!B2065</f>
        <v>240a.3</v>
      </c>
      <c r="C2065" s="156" t="str">
        <f>'Reported burning'!C2065</f>
        <v>Human, escaped</v>
      </c>
      <c r="D2065" s="156" t="str">
        <f>'Reported burning'!D2065</f>
        <v>Domestic</v>
      </c>
      <c r="E2065" s="156" t="str">
        <f>'Reported burning'!E2065</f>
        <v>Urban planner</v>
      </c>
      <c r="F2065" s="156" t="str">
        <f>'Reported burning'!F2065</f>
        <v>ND</v>
      </c>
      <c r="G2065" s="156" t="str">
        <f>'Reported burning'!G2065</f>
        <v>ND</v>
      </c>
      <c r="H2065" s="156" t="str">
        <f>'Reported burning'!H2065</f>
        <v>Presence</v>
      </c>
      <c r="I2065" s="5"/>
      <c r="J2065" s="187" t="s">
        <v>2276</v>
      </c>
      <c r="K2065" s="187" t="s">
        <v>2276</v>
      </c>
      <c r="L2065" s="187" t="s">
        <v>2276</v>
      </c>
      <c r="M2065" s="187" t="s">
        <v>2276</v>
      </c>
      <c r="N2065" s="187" t="s">
        <v>2276</v>
      </c>
      <c r="O2065" s="187" t="s">
        <v>2276</v>
      </c>
      <c r="P2065" s="187" t="s">
        <v>2276</v>
      </c>
      <c r="Q2065" s="187" t="s">
        <v>2276</v>
      </c>
      <c r="R2065" s="187" t="s">
        <v>2276</v>
      </c>
      <c r="S2065" s="187" t="s">
        <v>2276</v>
      </c>
      <c r="T2065" s="187" t="s">
        <v>2276</v>
      </c>
      <c r="U2065" s="187" t="s">
        <v>2276</v>
      </c>
      <c r="V2065" s="187" t="s">
        <v>2276</v>
      </c>
      <c r="W2065" s="187" t="s">
        <v>2276</v>
      </c>
      <c r="X2065" s="187" t="s">
        <v>2276</v>
      </c>
      <c r="Y2065" s="187" t="s">
        <v>2276</v>
      </c>
      <c r="Z2065" s="187" t="s">
        <v>2276</v>
      </c>
      <c r="AA2065" s="3"/>
      <c r="AB2065" s="3"/>
    </row>
    <row r="2066" spans="1:28" ht="35.5" customHeight="1">
      <c r="A2066" s="156" t="str">
        <f>'Reported burning'!A2066</f>
        <v>240a</v>
      </c>
      <c r="B2066" s="156" t="str">
        <f>'Reported burning'!B2066</f>
        <v>240a.4</v>
      </c>
      <c r="C2066" s="156" t="str">
        <f>'Reported burning'!C2066</f>
        <v>Human, deliberate</v>
      </c>
      <c r="D2066" s="156" t="str">
        <f>'Reported burning'!D2066</f>
        <v>Domestic</v>
      </c>
      <c r="E2066" s="156" t="str">
        <f>'Reported burning'!E2066</f>
        <v>Cattle, Extensive</v>
      </c>
      <c r="F2066" s="156" t="str">
        <f>'Reported burning'!F2066</f>
        <v>ND</v>
      </c>
      <c r="G2066" s="156" t="str">
        <f>'Reported burning'!G2066</f>
        <v>ND</v>
      </c>
      <c r="H2066" s="156" t="str">
        <f>'Reported burning'!H2066</f>
        <v>Presence</v>
      </c>
      <c r="I2066" s="5"/>
      <c r="J2066" s="187" t="s">
        <v>2276</v>
      </c>
      <c r="K2066" s="187" t="s">
        <v>2276</v>
      </c>
      <c r="L2066" s="187" t="s">
        <v>2276</v>
      </c>
      <c r="M2066" s="187" t="s">
        <v>2276</v>
      </c>
      <c r="N2066" s="187" t="s">
        <v>2276</v>
      </c>
      <c r="O2066" s="187" t="s">
        <v>2276</v>
      </c>
      <c r="P2066" s="187" t="s">
        <v>2276</v>
      </c>
      <c r="Q2066" s="187" t="s">
        <v>2276</v>
      </c>
      <c r="R2066" s="187" t="s">
        <v>2276</v>
      </c>
      <c r="S2066" s="187" t="s">
        <v>2276</v>
      </c>
      <c r="T2066" s="187" t="s">
        <v>2276</v>
      </c>
      <c r="U2066" s="187" t="s">
        <v>2276</v>
      </c>
      <c r="V2066" s="187" t="s">
        <v>2276</v>
      </c>
      <c r="W2066" s="187" t="s">
        <v>2276</v>
      </c>
      <c r="X2066" s="187" t="s">
        <v>2276</v>
      </c>
      <c r="Y2066" s="187" t="s">
        <v>2276</v>
      </c>
      <c r="Z2066" s="187" t="s">
        <v>2276</v>
      </c>
      <c r="AA2066" s="3"/>
      <c r="AB2066" s="3"/>
    </row>
    <row r="2067" spans="1:28" ht="35.5" customHeight="1">
      <c r="A2067" s="156" t="str">
        <f>'Reported burning'!A2067</f>
        <v>240a</v>
      </c>
      <c r="B2067" s="156" t="str">
        <f>'Reported burning'!B2067</f>
        <v>240a.5</v>
      </c>
      <c r="C2067" s="156" t="str">
        <f>'Reported burning'!C2067</f>
        <v>Human, escaped</v>
      </c>
      <c r="D2067" s="156" t="str">
        <f>'Reported burning'!D2067</f>
        <v>Domestic</v>
      </c>
      <c r="E2067" s="156" t="str">
        <f>'Reported burning'!E2067</f>
        <v>Cattle, Extensive</v>
      </c>
      <c r="F2067" s="156" t="str">
        <f>'Reported burning'!F2067</f>
        <v>ND</v>
      </c>
      <c r="G2067" s="156" t="str">
        <f>'Reported burning'!G2067</f>
        <v>ND</v>
      </c>
      <c r="H2067" s="156" t="str">
        <f>'Reported burning'!H2067</f>
        <v>Presence</v>
      </c>
      <c r="I2067" s="5"/>
      <c r="J2067" s="187" t="s">
        <v>2276</v>
      </c>
      <c r="K2067" s="187" t="s">
        <v>2276</v>
      </c>
      <c r="L2067" s="187" t="s">
        <v>2276</v>
      </c>
      <c r="M2067" s="187" t="s">
        <v>2276</v>
      </c>
      <c r="N2067" s="187" t="s">
        <v>2276</v>
      </c>
      <c r="O2067" s="187" t="s">
        <v>2276</v>
      </c>
      <c r="P2067" s="187" t="s">
        <v>2276</v>
      </c>
      <c r="Q2067" s="187" t="s">
        <v>2276</v>
      </c>
      <c r="R2067" s="187" t="s">
        <v>2276</v>
      </c>
      <c r="S2067" s="187" t="s">
        <v>2276</v>
      </c>
      <c r="T2067" s="187" t="s">
        <v>2276</v>
      </c>
      <c r="U2067" s="187" t="s">
        <v>2276</v>
      </c>
      <c r="V2067" s="187" t="s">
        <v>2276</v>
      </c>
      <c r="W2067" s="187" t="s">
        <v>2276</v>
      </c>
      <c r="X2067" s="187" t="s">
        <v>2276</v>
      </c>
      <c r="Y2067" s="187" t="s">
        <v>2276</v>
      </c>
      <c r="Z2067" s="187" t="s">
        <v>2276</v>
      </c>
      <c r="AA2067" s="3"/>
      <c r="AB2067" s="3"/>
    </row>
    <row r="2068" spans="1:28" ht="35.5" customHeight="1">
      <c r="A2068" s="156" t="str">
        <f>'Reported burning'!A2068</f>
        <v>240a</v>
      </c>
      <c r="B2068" s="156" t="str">
        <f>'Reported burning'!B2068</f>
        <v>240a.6</v>
      </c>
      <c r="C2068" s="156" t="str">
        <f>'Reported burning'!C2068</f>
        <v>Human, deliberate</v>
      </c>
      <c r="D2068" s="156" t="str">
        <f>'Reported burning'!D2068</f>
        <v>Cultural &amp; Spiritual</v>
      </c>
      <c r="E2068" s="156" t="str">
        <f>'Reported burning'!E2068</f>
        <v>Cattle, Extensive</v>
      </c>
      <c r="F2068" s="156" t="str">
        <f>'Reported burning'!F2068</f>
        <v>ND</v>
      </c>
      <c r="G2068" s="156" t="str">
        <f>'Reported burning'!G2068</f>
        <v>ND</v>
      </c>
      <c r="H2068" s="156" t="str">
        <f>'Reported burning'!H2068</f>
        <v>Presence</v>
      </c>
      <c r="I2068" s="5"/>
      <c r="J2068" s="187" t="s">
        <v>2276</v>
      </c>
      <c r="K2068" s="187" t="s">
        <v>2276</v>
      </c>
      <c r="L2068" s="187" t="s">
        <v>2276</v>
      </c>
      <c r="M2068" s="187" t="s">
        <v>2276</v>
      </c>
      <c r="N2068" s="187" t="s">
        <v>2276</v>
      </c>
      <c r="O2068" s="187" t="s">
        <v>2276</v>
      </c>
      <c r="P2068" s="187" t="s">
        <v>2276</v>
      </c>
      <c r="Q2068" s="187" t="s">
        <v>2276</v>
      </c>
      <c r="R2068" s="187" t="s">
        <v>2276</v>
      </c>
      <c r="S2068" s="187" t="s">
        <v>2276</v>
      </c>
      <c r="T2068" s="187" t="s">
        <v>2276</v>
      </c>
      <c r="U2068" s="187" t="s">
        <v>2276</v>
      </c>
      <c r="V2068" s="187" t="s">
        <v>2276</v>
      </c>
      <c r="W2068" s="187" t="s">
        <v>2276</v>
      </c>
      <c r="X2068" s="187" t="s">
        <v>2276</v>
      </c>
      <c r="Y2068" s="187" t="s">
        <v>2276</v>
      </c>
      <c r="Z2068" s="187" t="s">
        <v>2276</v>
      </c>
      <c r="AA2068" s="3"/>
      <c r="AB2068" s="3"/>
    </row>
    <row r="2069" spans="1:28" ht="35.5" customHeight="1">
      <c r="A2069" s="156" t="str">
        <f>'Reported burning'!A2069</f>
        <v>240a</v>
      </c>
      <c r="B2069" s="156" t="str">
        <f>'Reported burning'!B2069</f>
        <v>240a.7</v>
      </c>
      <c r="C2069" s="156" t="str">
        <f>'Reported burning'!C2069</f>
        <v>Human, escaped</v>
      </c>
      <c r="D2069" s="156" t="str">
        <f>'Reported burning'!D2069</f>
        <v>Domestic</v>
      </c>
      <c r="E2069" s="156" t="str">
        <f>'Reported burning'!E2069</f>
        <v>Tourism manager</v>
      </c>
      <c r="F2069" s="156" t="str">
        <f>'Reported burning'!F2069</f>
        <v>ND</v>
      </c>
      <c r="G2069" s="156" t="str">
        <f>'Reported burning'!G2069</f>
        <v>ND</v>
      </c>
      <c r="H2069" s="156" t="str">
        <f>'Reported burning'!H2069</f>
        <v>Presence</v>
      </c>
      <c r="I2069" s="5"/>
      <c r="J2069" s="187" t="s">
        <v>2276</v>
      </c>
      <c r="K2069" s="187" t="s">
        <v>2276</v>
      </c>
      <c r="L2069" s="187" t="s">
        <v>2276</v>
      </c>
      <c r="M2069" s="187" t="s">
        <v>2276</v>
      </c>
      <c r="N2069" s="187" t="s">
        <v>2276</v>
      </c>
      <c r="O2069" s="187" t="s">
        <v>2276</v>
      </c>
      <c r="P2069" s="187" t="s">
        <v>2276</v>
      </c>
      <c r="Q2069" s="187" t="s">
        <v>2276</v>
      </c>
      <c r="R2069" s="187" t="s">
        <v>2276</v>
      </c>
      <c r="S2069" s="187" t="s">
        <v>2276</v>
      </c>
      <c r="T2069" s="187" t="s">
        <v>2276</v>
      </c>
      <c r="U2069" s="187" t="s">
        <v>2276</v>
      </c>
      <c r="V2069" s="187" t="s">
        <v>2276</v>
      </c>
      <c r="W2069" s="187" t="s">
        <v>2276</v>
      </c>
      <c r="X2069" s="187" t="s">
        <v>2276</v>
      </c>
      <c r="Y2069" s="187" t="s">
        <v>2276</v>
      </c>
      <c r="Z2069" s="187" t="s">
        <v>2276</v>
      </c>
      <c r="AA2069" s="3"/>
      <c r="AB2069" s="3"/>
    </row>
    <row r="2070" spans="1:28" ht="35.5" customHeight="1">
      <c r="A2070" s="156" t="str">
        <f>'Reported burning'!A2070</f>
        <v>240b</v>
      </c>
      <c r="B2070" s="156" t="str">
        <f>'Reported burning'!B2070</f>
        <v>240b.1</v>
      </c>
      <c r="C2070" s="156" t="str">
        <f>'Reported burning'!C2070</f>
        <v>Human, escaped</v>
      </c>
      <c r="D2070" s="156" t="str">
        <f>'Reported burning'!D2070</f>
        <v>ND</v>
      </c>
      <c r="E2070" s="156" t="str">
        <f>'Reported burning'!E2070</f>
        <v>All</v>
      </c>
      <c r="F2070" s="156" t="str">
        <f>'Reported burning'!F2070</f>
        <v>ND</v>
      </c>
      <c r="G2070" s="156" t="str">
        <f>'Reported burning'!G2070</f>
        <v>ND</v>
      </c>
      <c r="H2070" s="156" t="str">
        <f>'Reported burning'!H2070</f>
        <v>Presence</v>
      </c>
      <c r="I2070" s="5"/>
      <c r="J2070" s="21" t="s">
        <v>2367</v>
      </c>
      <c r="K2070" s="187" t="s">
        <v>2276</v>
      </c>
      <c r="L2070" s="187" t="s">
        <v>2276</v>
      </c>
      <c r="M2070" s="187" t="s">
        <v>2276</v>
      </c>
      <c r="N2070" s="187" t="s">
        <v>2276</v>
      </c>
      <c r="O2070" s="187" t="s">
        <v>2276</v>
      </c>
      <c r="P2070" s="187" t="s">
        <v>2276</v>
      </c>
      <c r="Q2070" s="187" t="s">
        <v>2276</v>
      </c>
      <c r="R2070" s="187" t="s">
        <v>2276</v>
      </c>
      <c r="S2070" s="187" t="s">
        <v>2276</v>
      </c>
      <c r="T2070" s="187" t="s">
        <v>2276</v>
      </c>
      <c r="U2070" s="187" t="s">
        <v>2276</v>
      </c>
      <c r="V2070" s="187" t="s">
        <v>2276</v>
      </c>
      <c r="W2070" s="187" t="s">
        <v>2276</v>
      </c>
      <c r="X2070" s="187" t="s">
        <v>2276</v>
      </c>
      <c r="Y2070" s="187" t="s">
        <v>2276</v>
      </c>
      <c r="Z2070" s="187" t="s">
        <v>2276</v>
      </c>
      <c r="AA2070" s="3"/>
      <c r="AB2070" s="3"/>
    </row>
    <row r="2071" spans="1:28" ht="32.5" customHeight="1">
      <c r="A2071" s="156" t="str">
        <f>'Reported burning'!A2071</f>
        <v>240b</v>
      </c>
      <c r="B2071" s="156" t="str">
        <f>'Reported burning'!B2071</f>
        <v>240b.2</v>
      </c>
      <c r="C2071" s="156" t="str">
        <f>'Reported burning'!C2071</f>
        <v>Human, deliberate</v>
      </c>
      <c r="D2071" s="156" t="str">
        <f>'Reported burning'!D2071</f>
        <v>Arson</v>
      </c>
      <c r="E2071" s="156" t="str">
        <f>'Reported burning'!E2071</f>
        <v>ND</v>
      </c>
      <c r="F2071" s="156" t="str">
        <f>'Reported burning'!F2071</f>
        <v>ND</v>
      </c>
      <c r="G2071" s="156" t="str">
        <f>'Reported burning'!G2071</f>
        <v>ND</v>
      </c>
      <c r="H2071" s="156" t="str">
        <f>'Reported burning'!H2071</f>
        <v>Presence</v>
      </c>
      <c r="I2071" s="5"/>
      <c r="J2071" s="21" t="s">
        <v>2365</v>
      </c>
      <c r="K2071" s="187" t="s">
        <v>2276</v>
      </c>
      <c r="L2071" s="187" t="s">
        <v>2276</v>
      </c>
      <c r="M2071" s="187" t="s">
        <v>2276</v>
      </c>
      <c r="N2071" s="187" t="s">
        <v>2276</v>
      </c>
      <c r="O2071" s="187" t="s">
        <v>2276</v>
      </c>
      <c r="P2071" s="187" t="s">
        <v>2276</v>
      </c>
      <c r="Q2071" s="187" t="s">
        <v>2276</v>
      </c>
      <c r="R2071" s="187" t="s">
        <v>2276</v>
      </c>
      <c r="S2071" s="187" t="s">
        <v>2276</v>
      </c>
      <c r="T2071" s="187" t="s">
        <v>2276</v>
      </c>
      <c r="U2071" s="187" t="s">
        <v>2276</v>
      </c>
      <c r="V2071" s="187" t="s">
        <v>2276</v>
      </c>
      <c r="W2071" s="187" t="s">
        <v>2276</v>
      </c>
      <c r="X2071" s="187" t="s">
        <v>2276</v>
      </c>
      <c r="Y2071" s="187" t="s">
        <v>2276</v>
      </c>
      <c r="Z2071" s="187" t="s">
        <v>2276</v>
      </c>
      <c r="AA2071" s="3"/>
      <c r="AB2071" s="3"/>
    </row>
    <row r="2072" spans="1:28" ht="100" customHeight="1">
      <c r="A2072" s="156" t="str">
        <f>'Reported burning'!A2072</f>
        <v>241a</v>
      </c>
      <c r="B2072" s="156" t="str">
        <f>'Reported burning'!B2072</f>
        <v>241a.1</v>
      </c>
      <c r="C2072" s="156" t="str">
        <f>'Reported burning'!C2072</f>
        <v>Human, deliberate</v>
      </c>
      <c r="D2072" s="156" t="str">
        <f>'Reported burning'!D2072</f>
        <v>Conservation</v>
      </c>
      <c r="E2072" s="156" t="str">
        <f>'Reported burning'!E2072</f>
        <v>Cattle, Intensive</v>
      </c>
      <c r="F2072" s="156" t="str">
        <f>'Reported burning'!F2072</f>
        <v>Grassland</v>
      </c>
      <c r="G2072" s="156" t="str">
        <f>'Reported burning'!G2072</f>
        <v>ND</v>
      </c>
      <c r="H2072" s="156"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5904</v>
      </c>
      <c r="AB2072" s="3"/>
    </row>
    <row r="2073" spans="1:28" ht="100" customHeight="1">
      <c r="A2073" s="156" t="str">
        <f>'Reported burning'!A2073</f>
        <v>241a</v>
      </c>
      <c r="B2073" s="156" t="str">
        <f>'Reported burning'!B2073</f>
        <v>241a.2</v>
      </c>
      <c r="C2073" s="156" t="str">
        <f>'Reported burning'!C2073</f>
        <v>Human, deliberate</v>
      </c>
      <c r="D2073" s="156" t="str">
        <f>'Reported burning'!D2073</f>
        <v>Conservation</v>
      </c>
      <c r="E2073" s="156" t="str">
        <f>'Reported burning'!E2073</f>
        <v>Tourism manager</v>
      </c>
      <c r="F2073" s="156" t="str">
        <f>'Reported burning'!F2073</f>
        <v>Grassland</v>
      </c>
      <c r="G2073" s="156" t="str">
        <f>'Reported burning'!G2073</f>
        <v>ND</v>
      </c>
      <c r="H2073" s="156"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5904</v>
      </c>
      <c r="AB2073" s="3"/>
    </row>
    <row r="2074" spans="1:28" ht="100" customHeight="1">
      <c r="A2074" s="156" t="str">
        <f>'Reported burning'!A2074</f>
        <v>241a</v>
      </c>
      <c r="B2074" s="156" t="str">
        <f>'Reported burning'!B2074</f>
        <v>241a.3</v>
      </c>
      <c r="C2074" s="156" t="str">
        <f>'Reported burning'!C2074</f>
        <v>Human, deliberate</v>
      </c>
      <c r="D2074" s="156" t="str">
        <f>'Reported burning'!D2074</f>
        <v>Pasture renewal</v>
      </c>
      <c r="E2074" s="156" t="str">
        <f>'Reported burning'!E2074</f>
        <v>Cattle, Intensive</v>
      </c>
      <c r="F2074" s="156" t="str">
        <f>'Reported burning'!F2074</f>
        <v>Grassland</v>
      </c>
      <c r="G2074" s="156" t="str">
        <f>'Reported burning'!G2074</f>
        <v>ND</v>
      </c>
      <c r="H2074" s="156"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5904</v>
      </c>
      <c r="AB2074" s="3"/>
    </row>
    <row r="2075" spans="1:28" ht="100" customHeight="1">
      <c r="A2075" s="156" t="str">
        <f>'Reported burning'!A2075</f>
        <v>241a</v>
      </c>
      <c r="B2075" s="156" t="str">
        <f>'Reported burning'!B2075</f>
        <v>241a.4</v>
      </c>
      <c r="C2075" s="156" t="str">
        <f>'Reported burning'!C2075</f>
        <v>Human, deliberate</v>
      </c>
      <c r="D2075" s="156" t="str">
        <f>'Reported burning'!D2075</f>
        <v>Conservation</v>
      </c>
      <c r="E2075" s="156" t="str">
        <f>'Reported burning'!E2075</f>
        <v>Biodiversity conservation</v>
      </c>
      <c r="F2075" s="156" t="str">
        <f>'Reported burning'!F2075</f>
        <v>Grassland</v>
      </c>
      <c r="G2075" s="156" t="str">
        <f>'Reported burning'!G2075</f>
        <v>ND</v>
      </c>
      <c r="H2075" s="156"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5905</v>
      </c>
      <c r="AB2075" s="3"/>
    </row>
    <row r="2076" spans="1:28" ht="33" customHeight="1">
      <c r="A2076" s="156" t="str">
        <f>'Reported burning'!A2076</f>
        <v>242a</v>
      </c>
      <c r="B2076" s="156" t="str">
        <f>'Reported burning'!B2076</f>
        <v>242a.1</v>
      </c>
      <c r="C2076" s="156" t="str">
        <f>'Reported burning'!C2076</f>
        <v>Human, deliberate</v>
      </c>
      <c r="D2076" s="156" t="str">
        <f>'Reported burning'!D2076</f>
        <v>Rangeland management</v>
      </c>
      <c r="E2076" s="156" t="str">
        <f>'Reported burning'!E2076</f>
        <v>Tourism manager</v>
      </c>
      <c r="F2076" s="156" t="str">
        <f>'Reported burning'!F2076</f>
        <v>Grassland</v>
      </c>
      <c r="G2076" s="156" t="str">
        <f>'Reported burning'!G2076</f>
        <v>ND</v>
      </c>
      <c r="H2076" s="156"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6" t="str">
        <f>'Reported burning'!A2077</f>
        <v>242a</v>
      </c>
      <c r="B2077" s="156" t="str">
        <f>'Reported burning'!B2077</f>
        <v>242a.2</v>
      </c>
      <c r="C2077" s="156" t="str">
        <f>'Reported burning'!C2077</f>
        <v>Human, deliberate</v>
      </c>
      <c r="D2077" s="156" t="str">
        <f>'Reported burning'!D2077</f>
        <v>Rangeland management</v>
      </c>
      <c r="E2077" s="156" t="str">
        <f>'Reported burning'!E2077</f>
        <v>Cattle, Intensive</v>
      </c>
      <c r="F2077" s="156" t="str">
        <f>'Reported burning'!F2077</f>
        <v>Grassland</v>
      </c>
      <c r="G2077" s="156" t="str">
        <f>'Reported burning'!G2077</f>
        <v>ND</v>
      </c>
      <c r="H2077" s="156"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6" t="str">
        <f>'Reported burning'!A2078</f>
        <v>243a</v>
      </c>
      <c r="B2078" s="156" t="str">
        <f>'Reported burning'!B2078</f>
        <v>243a.1</v>
      </c>
      <c r="C2078" s="156" t="str">
        <f>'Reported burning'!C2078</f>
        <v>Human, accidental</v>
      </c>
      <c r="D2078" s="156" t="str">
        <f>'Reported burning'!D2078</f>
        <v>Accidental</v>
      </c>
      <c r="E2078" s="156" t="str">
        <f>'Reported burning'!E2078</f>
        <v>ND</v>
      </c>
      <c r="F2078" s="156" t="str">
        <f>'Reported burning'!F2078</f>
        <v>ND</v>
      </c>
      <c r="G2078" s="156" t="str">
        <f>'Reported burning'!G2078</f>
        <v>ND</v>
      </c>
      <c r="H2078" s="156"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6" t="str">
        <f>'Reported burning'!A2079</f>
        <v>243a</v>
      </c>
      <c r="B2079" s="156" t="str">
        <f>'Reported burning'!B2079</f>
        <v>243a.2</v>
      </c>
      <c r="C2079" s="156" t="str">
        <f>'Reported burning'!C2079</f>
        <v>Human, deliberate</v>
      </c>
      <c r="D2079" s="156" t="str">
        <f>'Reported burning'!D2079</f>
        <v>Arson</v>
      </c>
      <c r="E2079" s="156" t="str">
        <f>'Reported burning'!E2079</f>
        <v>Pastoralism, Migratory</v>
      </c>
      <c r="F2079" s="156" t="str">
        <f>'Reported burning'!F2079</f>
        <v>ND</v>
      </c>
      <c r="G2079" s="156" t="str">
        <f>'Reported burning'!G2079</f>
        <v>ND</v>
      </c>
      <c r="H2079" s="156"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6" t="str">
        <f>'Reported burning'!A2080</f>
        <v>243a</v>
      </c>
      <c r="B2080" s="156" t="str">
        <f>'Reported burning'!B2080</f>
        <v>243a.3</v>
      </c>
      <c r="C2080" s="156" t="str">
        <f>'Reported burning'!C2080</f>
        <v>Human, deliberate</v>
      </c>
      <c r="D2080" s="156" t="str">
        <f>'Reported burning'!D2080</f>
        <v>Arson</v>
      </c>
      <c r="E2080" s="156" t="str">
        <f>'Reported burning'!E2080</f>
        <v>Forestry, Traditional</v>
      </c>
      <c r="F2080" s="156" t="str">
        <f>'Reported burning'!F2080</f>
        <v>ND</v>
      </c>
      <c r="G2080" s="156" t="str">
        <f>'Reported burning'!G2080</f>
        <v>ND</v>
      </c>
      <c r="H2080" s="156"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6" t="str">
        <f>'Reported burning'!A2081</f>
        <v>243a</v>
      </c>
      <c r="B2081" s="156" t="str">
        <f>'Reported burning'!B2081</f>
        <v>243a.4</v>
      </c>
      <c r="C2081" s="156" t="str">
        <f>'Reported burning'!C2081</f>
        <v>Human, deliberate</v>
      </c>
      <c r="D2081" s="156" t="str">
        <f>'Reported burning'!D2081</f>
        <v>Harvesting of NTFP</v>
      </c>
      <c r="E2081" s="156" t="str">
        <f>'Reported burning'!E2081</f>
        <v>Forestry, Traditional</v>
      </c>
      <c r="F2081" s="156" t="str">
        <f>'Reported burning'!F2081</f>
        <v>ND</v>
      </c>
      <c r="G2081" s="156" t="str">
        <f>'Reported burning'!G2081</f>
        <v>ND</v>
      </c>
      <c r="H2081" s="156"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6" t="str">
        <f>'Reported burning'!A2082</f>
        <v>243a</v>
      </c>
      <c r="B2082" s="156" t="str">
        <f>'Reported burning'!B2082</f>
        <v>243a.5</v>
      </c>
      <c r="C2082" s="156" t="str">
        <f>'Reported burning'!C2082</f>
        <v>Human, deliberate</v>
      </c>
      <c r="D2082" s="156" t="str">
        <f>'Reported burning'!D2082</f>
        <v>Hunting</v>
      </c>
      <c r="E2082" s="156" t="str">
        <f>'Reported burning'!E2082</f>
        <v>Forestry, Traditional</v>
      </c>
      <c r="F2082" s="156" t="str">
        <f>'Reported burning'!F2082</f>
        <v>ND</v>
      </c>
      <c r="G2082" s="156" t="str">
        <f>'Reported burning'!G2082</f>
        <v>ND</v>
      </c>
      <c r="H2082" s="156"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6" t="str">
        <f>'Reported burning'!A2083</f>
        <v>243a</v>
      </c>
      <c r="B2083" s="156" t="str">
        <f>'Reported burning'!B2083</f>
        <v>243a.6</v>
      </c>
      <c r="C2083" s="156" t="str">
        <f>'Reported burning'!C2083</f>
        <v>Human, deliberate</v>
      </c>
      <c r="D2083" s="156" t="str">
        <f>'Reported burning'!D2083</f>
        <v>Pasture renewal</v>
      </c>
      <c r="E2083" s="156" t="str">
        <f>'Reported burning'!E2083</f>
        <v>Pastoralism, Migratory</v>
      </c>
      <c r="F2083" s="156" t="str">
        <f>'Reported burning'!F2083</f>
        <v>ND</v>
      </c>
      <c r="G2083" s="156" t="str">
        <f>'Reported burning'!G2083</f>
        <v>ND</v>
      </c>
      <c r="H2083" s="156"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6" t="str">
        <f>'Reported burning'!A2084</f>
        <v>243a</v>
      </c>
      <c r="B2084" s="156" t="str">
        <f>'Reported burning'!B2084</f>
        <v>243a.7</v>
      </c>
      <c r="C2084" s="156" t="str">
        <f>'Reported burning'!C2084</f>
        <v>Human, deliberate</v>
      </c>
      <c r="D2084" s="156" t="str">
        <f>'Reported burning'!D2084</f>
        <v>Accessibility</v>
      </c>
      <c r="E2084" s="156" t="str">
        <f>'Reported burning'!E2084</f>
        <v>Pastoralism, Migratory</v>
      </c>
      <c r="F2084" s="156" t="str">
        <f>'Reported burning'!F2084</f>
        <v>ND</v>
      </c>
      <c r="G2084" s="156" t="str">
        <f>'Reported burning'!G2084</f>
        <v>ND</v>
      </c>
      <c r="H2084" s="156"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6" t="str">
        <f>'Reported burning'!A2085</f>
        <v>243a</v>
      </c>
      <c r="B2085" s="156" t="str">
        <f>'Reported burning'!B2085</f>
        <v>243a.8</v>
      </c>
      <c r="C2085" s="156" t="str">
        <f>'Reported burning'!C2085</f>
        <v>Human, escaped</v>
      </c>
      <c r="D2085" s="156" t="str">
        <f>'Reported burning'!D2085</f>
        <v>Charcoal production</v>
      </c>
      <c r="E2085" s="156" t="str">
        <f>'Reported burning'!E2085</f>
        <v>Forestry, Small-scale</v>
      </c>
      <c r="F2085" s="156" t="str">
        <f>'Reported burning'!F2085</f>
        <v>ND</v>
      </c>
      <c r="G2085" s="156" t="str">
        <f>'Reported burning'!G2085</f>
        <v>ND</v>
      </c>
      <c r="H2085" s="156"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6" t="str">
        <f>'Reported burning'!A2086</f>
        <v>243a</v>
      </c>
      <c r="B2086" s="156" t="str">
        <f>'Reported burning'!B2086</f>
        <v>243a.9</v>
      </c>
      <c r="C2086" s="156" t="str">
        <f>'Reported burning'!C2086</f>
        <v>Human, deliberate</v>
      </c>
      <c r="D2086" s="156" t="str">
        <f>'Reported burning'!D2086</f>
        <v>Crop field preparation</v>
      </c>
      <c r="E2086" s="156" t="str">
        <f>'Reported burning'!E2086</f>
        <v>Cropping, Swidden</v>
      </c>
      <c r="F2086" s="156" t="str">
        <f>'Reported burning'!F2086</f>
        <v>ND</v>
      </c>
      <c r="G2086" s="156" t="str">
        <f>'Reported burning'!G2086</f>
        <v>ND</v>
      </c>
      <c r="H2086" s="156"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6" t="str">
        <f>'Reported burning'!A2087</f>
        <v>243a</v>
      </c>
      <c r="B2087" s="156" t="str">
        <f>'Reported burning'!B2087</f>
        <v>243a.10</v>
      </c>
      <c r="C2087" s="156" t="str">
        <f>'Reported burning'!C2087</f>
        <v>Human, escaped</v>
      </c>
      <c r="D2087" s="156" t="str">
        <f>'Reported burning'!D2087</f>
        <v>ND</v>
      </c>
      <c r="E2087" s="156" t="str">
        <f>'Reported burning'!E2087</f>
        <v>ND</v>
      </c>
      <c r="F2087" s="156" t="str">
        <f>'Reported burning'!F2087</f>
        <v>ND</v>
      </c>
      <c r="G2087" s="156" t="str">
        <f>'Reported burning'!G2087</f>
        <v>ND</v>
      </c>
      <c r="H2087" s="156"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5924</v>
      </c>
    </row>
    <row r="2088" spans="1:28" ht="50.5" customHeight="1">
      <c r="A2088" s="156" t="str">
        <f>'Reported burning'!A2088</f>
        <v>243a</v>
      </c>
      <c r="B2088" s="156" t="str">
        <f>'Reported burning'!B2088</f>
        <v>243a.11</v>
      </c>
      <c r="C2088" s="156" t="str">
        <f>'Reported burning'!C2088</f>
        <v>Human, escaped</v>
      </c>
      <c r="D2088" s="156" t="str">
        <f>'Reported burning'!D2088</f>
        <v>ND</v>
      </c>
      <c r="E2088" s="156" t="str">
        <f>'Reported burning'!E2088</f>
        <v>ND</v>
      </c>
      <c r="F2088" s="156" t="str">
        <f>'Reported burning'!F2088</f>
        <v>ND</v>
      </c>
      <c r="G2088" s="156" t="str">
        <f>'Reported burning'!G2088</f>
        <v>ND</v>
      </c>
      <c r="H2088" s="156"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5924</v>
      </c>
    </row>
    <row r="2089" spans="1:28" ht="46.5" customHeight="1">
      <c r="A2089" s="156" t="str">
        <f>'Reported burning'!A2089</f>
        <v>243a</v>
      </c>
      <c r="B2089" s="156" t="str">
        <f>'Reported burning'!B2089</f>
        <v>243a.12</v>
      </c>
      <c r="C2089" s="156" t="str">
        <f>'Reported burning'!C2089</f>
        <v>Human, deliberate</v>
      </c>
      <c r="D2089" s="156" t="str">
        <f>'Reported burning'!D2089</f>
        <v>Pyrome management</v>
      </c>
      <c r="E2089" s="156" t="str">
        <f>'Reported burning'!E2089</f>
        <v>Biodiversity conservation</v>
      </c>
      <c r="F2089" s="156" t="str">
        <f>'Reported burning'!F2089</f>
        <v>ND</v>
      </c>
      <c r="G2089" s="156" t="str">
        <f>'Reported burning'!G2089</f>
        <v>ND</v>
      </c>
      <c r="H2089" s="156"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5926</v>
      </c>
      <c r="AB2089" s="3"/>
    </row>
    <row r="2090" spans="1:28" ht="46.5" customHeight="1">
      <c r="A2090" s="156" t="str">
        <f>'Reported burning'!A2090</f>
        <v>243a</v>
      </c>
      <c r="B2090" s="156" t="str">
        <f>'Reported burning'!B2090</f>
        <v>243a.13</v>
      </c>
      <c r="C2090" s="156" t="str">
        <f>'Reported burning'!C2090</f>
        <v>Human, deliberate</v>
      </c>
      <c r="D2090" s="156" t="str">
        <f>'Reported burning'!D2090</f>
        <v>Conservation</v>
      </c>
      <c r="E2090" s="156" t="str">
        <f>'Reported burning'!E2090</f>
        <v>Biodiversity conservation</v>
      </c>
      <c r="F2090" s="156" t="str">
        <f>'Reported burning'!F2090</f>
        <v>ND</v>
      </c>
      <c r="G2090" s="156" t="str">
        <f>'Reported burning'!G2090</f>
        <v>ND</v>
      </c>
      <c r="H2090" s="156"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5926</v>
      </c>
      <c r="AB2090" s="3"/>
    </row>
    <row r="2091" spans="1:28" ht="29">
      <c r="A2091" s="156" t="str">
        <f>'Reported burning'!A2091</f>
        <v>244a</v>
      </c>
      <c r="B2091" s="156" t="str">
        <f>'Reported burning'!B2091</f>
        <v>244a.1</v>
      </c>
      <c r="C2091" s="156" t="str">
        <f>'Reported burning'!C2091</f>
        <v>Human, deliberate</v>
      </c>
      <c r="D2091" s="156" t="str">
        <f>'Reported burning'!D2091</f>
        <v>Hunting</v>
      </c>
      <c r="E2091" s="156" t="str">
        <f>'Reported burning'!E2091</f>
        <v>Forestry, Traditional</v>
      </c>
      <c r="F2091" s="156" t="str">
        <f>'Reported burning'!F2091</f>
        <v>Shrubland (Mixed forest &amp; grassland)</v>
      </c>
      <c r="G2091" s="156" t="str">
        <f>'Reported burning'!G2091</f>
        <v>ND</v>
      </c>
      <c r="H2091" s="156"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6" t="str">
        <f>'Reported burning'!A2092</f>
        <v>244a</v>
      </c>
      <c r="B2092" s="156" t="str">
        <f>'Reported burning'!B2092</f>
        <v>244a.2</v>
      </c>
      <c r="C2092" s="156" t="str">
        <f>'Reported burning'!C2092</f>
        <v>Human, deliberate</v>
      </c>
      <c r="D2092" s="156" t="str">
        <f>'Reported burning'!D2092</f>
        <v>Accessibility</v>
      </c>
      <c r="E2092" s="156" t="str">
        <f>'Reported burning'!E2092</f>
        <v>Forestry, Traditional</v>
      </c>
      <c r="F2092" s="156" t="str">
        <f>'Reported burning'!F2092</f>
        <v>Shrubland (Mixed forest &amp; grassland)</v>
      </c>
      <c r="G2092" s="156" t="str">
        <f>'Reported burning'!G2092</f>
        <v>ND</v>
      </c>
      <c r="H2092" s="156"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6" t="str">
        <f>'Reported burning'!A2093</f>
        <v>244a</v>
      </c>
      <c r="B2093" s="156" t="str">
        <f>'Reported burning'!B2093</f>
        <v>244a.3</v>
      </c>
      <c r="C2093" s="156" t="str">
        <f>'Reported burning'!C2093</f>
        <v>Human, deliberate</v>
      </c>
      <c r="D2093" s="156" t="str">
        <f>'Reported burning'!D2093</f>
        <v>Pyrome management</v>
      </c>
      <c r="E2093" s="156" t="str">
        <f>'Reported burning'!E2093</f>
        <v>Forestry, Traditional</v>
      </c>
      <c r="F2093" s="156" t="str">
        <f>'Reported burning'!F2093</f>
        <v>Shrubland (Mixed forest &amp; grassland)</v>
      </c>
      <c r="G2093" s="156" t="str">
        <f>'Reported burning'!G2093</f>
        <v>ND</v>
      </c>
      <c r="H2093" s="156"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6" t="str">
        <f>'Reported burning'!A2094</f>
        <v>244a</v>
      </c>
      <c r="B2094" s="156" t="str">
        <f>'Reported burning'!B2094</f>
        <v>244a.4</v>
      </c>
      <c r="C2094" s="156" t="str">
        <f>'Reported burning'!C2094</f>
        <v>Human, deliberate</v>
      </c>
      <c r="D2094" s="156" t="str">
        <f>'Reported burning'!D2094</f>
        <v>Cultural &amp; Spiritual</v>
      </c>
      <c r="E2094" s="156" t="str">
        <f>'Reported burning'!E2094</f>
        <v>Forestry, Traditional</v>
      </c>
      <c r="F2094" s="156" t="str">
        <f>'Reported burning'!F2094</f>
        <v>Shrubland (Mixed forest &amp; grassland)</v>
      </c>
      <c r="G2094" s="156" t="str">
        <f>'Reported burning'!G2094</f>
        <v>ND</v>
      </c>
      <c r="H2094" s="156"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6" t="str">
        <f>'Reported burning'!A2095</f>
        <v>244a</v>
      </c>
      <c r="B2095" s="156" t="str">
        <f>'Reported burning'!B2095</f>
        <v>244a.5</v>
      </c>
      <c r="C2095" s="156" t="str">
        <f>'Reported burning'!C2095</f>
        <v>Human, deliberate</v>
      </c>
      <c r="D2095" s="156" t="str">
        <f>'Reported burning'!D2095</f>
        <v>Conservation</v>
      </c>
      <c r="E2095" s="156" t="str">
        <f>'Reported burning'!E2095</f>
        <v>Forestry, Traditional</v>
      </c>
      <c r="F2095" s="156" t="str">
        <f>'Reported burning'!F2095</f>
        <v>Shrubland (Mixed forest &amp; grassland)</v>
      </c>
      <c r="G2095" s="156" t="str">
        <f>'Reported burning'!G2095</f>
        <v>ND</v>
      </c>
      <c r="H2095" s="156"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6" t="str">
        <f>'Reported burning'!A2096</f>
        <v>244a</v>
      </c>
      <c r="B2096" s="156" t="str">
        <f>'Reported burning'!B2096</f>
        <v>244a.6</v>
      </c>
      <c r="C2096" s="156" t="str">
        <f>'Reported burning'!C2096</f>
        <v>Human, deliberate</v>
      </c>
      <c r="D2096" s="156" t="str">
        <f>'Reported burning'!D2096</f>
        <v>Arson</v>
      </c>
      <c r="E2096" s="156" t="str">
        <f>'Reported burning'!E2096</f>
        <v>Forestry, Traditional</v>
      </c>
      <c r="F2096" s="156" t="str">
        <f>'Reported burning'!F2096</f>
        <v>Shrubland (Mixed forest &amp; grassland)</v>
      </c>
      <c r="G2096" s="156" t="str">
        <f>'Reported burning'!G2096</f>
        <v>ND</v>
      </c>
      <c r="H2096" s="156"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6" t="str">
        <f>'Reported burning'!A2097</f>
        <v>244a</v>
      </c>
      <c r="B2097" s="156" t="str">
        <f>'Reported burning'!B2097</f>
        <v>244a.7</v>
      </c>
      <c r="C2097" s="156" t="str">
        <f>'Reported burning'!C2097</f>
        <v>Human, deliberate</v>
      </c>
      <c r="D2097" s="156" t="str">
        <f>'Reported burning'!D2097</f>
        <v>Crop field preparation</v>
      </c>
      <c r="E2097" s="156" t="str">
        <f>'Reported burning'!E2097</f>
        <v>Cropping, Swidden</v>
      </c>
      <c r="F2097" s="156" t="str">
        <f>'Reported burning'!F2097</f>
        <v>Shrubland (Mixed forest &amp; grassland)</v>
      </c>
      <c r="G2097" s="156" t="str">
        <f>'Reported burning'!G2097</f>
        <v>ND</v>
      </c>
      <c r="H2097" s="156"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6" t="str">
        <f>'Reported burning'!A2098</f>
        <v>245a</v>
      </c>
      <c r="B2098" s="156" t="str">
        <f>'Reported burning'!B2098</f>
        <v>245a.1</v>
      </c>
      <c r="C2098" s="156" t="str">
        <f>'Reported burning'!C2098</f>
        <v>Human, deliberate</v>
      </c>
      <c r="D2098" s="156" t="str">
        <f>'Reported burning'!D2098</f>
        <v>Arson</v>
      </c>
      <c r="E2098" s="156" t="str">
        <f>'Reported burning'!E2098</f>
        <v>Cropping, Swidden</v>
      </c>
      <c r="F2098" s="156" t="str">
        <f>'Reported burning'!F2098</f>
        <v>Cropland</v>
      </c>
      <c r="G2098" s="156" t="str">
        <f>'Reported burning'!G2098</f>
        <v>ND</v>
      </c>
      <c r="H2098" s="156"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5955</v>
      </c>
      <c r="AB2098" s="3"/>
    </row>
    <row r="2099" spans="1:28" ht="29">
      <c r="A2099" s="156" t="str">
        <f>'Reported burning'!A2099</f>
        <v>246a</v>
      </c>
      <c r="B2099" s="156" t="str">
        <f>'Reported burning'!B2099</f>
        <v>246a.1</v>
      </c>
      <c r="C2099" s="156" t="str">
        <f>'Reported burning'!C2099</f>
        <v>Human, deliberate</v>
      </c>
      <c r="D2099" s="156" t="str">
        <f>'Reported burning'!D2099</f>
        <v>Conservation</v>
      </c>
      <c r="E2099" s="156" t="str">
        <f>'Reported burning'!E2099</f>
        <v>Biodiversity conservation</v>
      </c>
      <c r="F2099" s="156" t="str">
        <f>'Reported burning'!F2099</f>
        <v>Forest</v>
      </c>
      <c r="G2099" s="156" t="str">
        <f>'Reported burning'!G2099</f>
        <v>ND</v>
      </c>
      <c r="H2099" s="156"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5962</v>
      </c>
      <c r="AB2099" s="3"/>
    </row>
    <row r="2100" spans="1:28" ht="29">
      <c r="A2100" s="156" t="str">
        <f>'Reported burning'!A2100</f>
        <v>246a</v>
      </c>
      <c r="B2100" s="156" t="str">
        <f>'Reported burning'!B2100</f>
        <v>246a.2</v>
      </c>
      <c r="C2100" s="156" t="str">
        <f>'Reported burning'!C2100</f>
        <v>Human, deliberate</v>
      </c>
      <c r="D2100" s="156" t="str">
        <f>'Reported burning'!D2100</f>
        <v>Conservation</v>
      </c>
      <c r="E2100" s="156" t="str">
        <f>'Reported burning'!E2100</f>
        <v>Forestry, Traditional</v>
      </c>
      <c r="F2100" s="156" t="str">
        <f>'Reported burning'!F2100</f>
        <v>Forest</v>
      </c>
      <c r="G2100" s="156" t="str">
        <f>'Reported burning'!G2100</f>
        <v>ND</v>
      </c>
      <c r="H2100" s="156"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5962</v>
      </c>
      <c r="AB2100" s="3"/>
    </row>
    <row r="2101" spans="1:28" ht="29">
      <c r="A2101" s="156" t="str">
        <f>'Reported burning'!A2101</f>
        <v>246a</v>
      </c>
      <c r="B2101" s="156" t="str">
        <f>'Reported burning'!B2101</f>
        <v>246a.3</v>
      </c>
      <c r="C2101" s="156" t="str">
        <f>'Reported burning'!C2101</f>
        <v>Human, deliberate</v>
      </c>
      <c r="D2101" s="156" t="str">
        <f>'Reported burning'!D2101</f>
        <v>Harvesting of NTFP</v>
      </c>
      <c r="E2101" s="156" t="str">
        <f>'Reported burning'!E2101</f>
        <v>Forestry, Traditional</v>
      </c>
      <c r="F2101" s="156" t="str">
        <f>'Reported burning'!F2101</f>
        <v>Forest</v>
      </c>
      <c r="G2101" s="156" t="str">
        <f>'Reported burning'!G2101</f>
        <v>ND</v>
      </c>
      <c r="H2101" s="156"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5962</v>
      </c>
      <c r="AB2101" s="3"/>
    </row>
    <row r="2102" spans="1:28" ht="89" customHeight="1">
      <c r="A2102" s="156" t="str">
        <f>'Reported burning'!A2102</f>
        <v>247a</v>
      </c>
      <c r="B2102" s="156" t="str">
        <f>'Reported burning'!B2102</f>
        <v>247a.1</v>
      </c>
      <c r="C2102" s="156" t="str">
        <f>'Reported burning'!C2102</f>
        <v>Human, deliberate</v>
      </c>
      <c r="D2102" s="156" t="str">
        <f>'Reported burning'!D2102</f>
        <v>Forest clearance</v>
      </c>
      <c r="E2102" s="156" t="str">
        <f>'Reported burning'!E2102</f>
        <v>Cropping, Intensive</v>
      </c>
      <c r="F2102" s="156" t="str">
        <f>'Reported burning'!F2102</f>
        <v>Forest</v>
      </c>
      <c r="G2102" s="156" t="str">
        <f>'Reported burning'!G2102</f>
        <v>ND</v>
      </c>
      <c r="H2102" s="156"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5979</v>
      </c>
      <c r="AB2102" s="4" t="s">
        <v>5978</v>
      </c>
    </row>
    <row r="2103" spans="1:28" ht="84.5" customHeight="1">
      <c r="A2103" s="156" t="str">
        <f>'Reported burning'!A2103</f>
        <v>247a</v>
      </c>
      <c r="B2103" s="156" t="str">
        <f>'Reported burning'!B2103</f>
        <v>247a.2</v>
      </c>
      <c r="C2103" s="156" t="str">
        <f>'Reported burning'!C2103</f>
        <v>Human, deliberate</v>
      </c>
      <c r="D2103" s="156" t="str">
        <f>'Reported burning'!D2103</f>
        <v>Forest clearance</v>
      </c>
      <c r="E2103" s="156" t="str">
        <f>'Reported burning'!E2103</f>
        <v>Cropping, Monoculture, Market-oriented</v>
      </c>
      <c r="F2103" s="156" t="str">
        <f>'Reported burning'!F2103</f>
        <v>Forest</v>
      </c>
      <c r="G2103" s="156" t="str">
        <f>'Reported burning'!G2103</f>
        <v>ND</v>
      </c>
      <c r="H2103" s="156"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5979</v>
      </c>
      <c r="AB2103" s="4" t="s">
        <v>5978</v>
      </c>
    </row>
    <row r="2104" spans="1:28" ht="52.5" customHeight="1">
      <c r="A2104" s="156" t="str">
        <f>'Reported burning'!A2104</f>
        <v>247a</v>
      </c>
      <c r="B2104" s="156" t="str">
        <f>'Reported burning'!B2104</f>
        <v>247a.3</v>
      </c>
      <c r="C2104" s="156" t="str">
        <f>'Reported burning'!C2104</f>
        <v>Human, deliberate</v>
      </c>
      <c r="D2104" s="156" t="str">
        <f>'Reported burning'!D2104</f>
        <v>Forest clearance</v>
      </c>
      <c r="E2104" s="156" t="str">
        <f>'Reported burning'!E2104</f>
        <v>Cropping, Swidden</v>
      </c>
      <c r="F2104" s="156" t="str">
        <f>'Reported burning'!F2104</f>
        <v>Forest</v>
      </c>
      <c r="G2104" s="156" t="str">
        <f>'Reported burning'!G2104</f>
        <v>ND</v>
      </c>
      <c r="H2104" s="156"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5978</v>
      </c>
    </row>
    <row r="2105" spans="1:28" ht="34" customHeight="1">
      <c r="A2105" s="156" t="str">
        <f>'Reported burning'!A2105</f>
        <v>247a</v>
      </c>
      <c r="B2105" s="156" t="str">
        <f>'Reported burning'!B2105</f>
        <v>247a.4</v>
      </c>
      <c r="C2105" s="156" t="str">
        <f>'Reported burning'!C2105</f>
        <v>Human, deliberate</v>
      </c>
      <c r="D2105" s="156" t="str">
        <f>'Reported burning'!D2105</f>
        <v>Arson</v>
      </c>
      <c r="E2105" s="156" t="str">
        <f>'Reported burning'!E2105</f>
        <v>Cropping, Swidden</v>
      </c>
      <c r="F2105" s="156" t="str">
        <f>'Reported burning'!F2105</f>
        <v>Cropland</v>
      </c>
      <c r="G2105" s="156" t="str">
        <f>'Reported burning'!G2105</f>
        <v>ND</v>
      </c>
      <c r="H2105" s="156"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6" t="str">
        <f>'Reported burning'!A2106</f>
        <v>247a</v>
      </c>
      <c r="B2106" s="156" t="str">
        <f>'Reported burning'!B2106</f>
        <v>247a.5</v>
      </c>
      <c r="C2106" s="156" t="str">
        <f>'Reported burning'!C2106</f>
        <v>Human, deliberate</v>
      </c>
      <c r="D2106" s="156" t="str">
        <f>'Reported burning'!D2106</f>
        <v>Arson</v>
      </c>
      <c r="E2106" s="156" t="str">
        <f>'Reported burning'!E2106</f>
        <v>Cropping, Monoculture, Market-oriented</v>
      </c>
      <c r="F2106" s="156" t="str">
        <f>'Reported burning'!F2106</f>
        <v>Cropland</v>
      </c>
      <c r="G2106" s="156" t="str">
        <f>'Reported burning'!G2106</f>
        <v>ND</v>
      </c>
      <c r="H2106" s="156"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6" t="str">
        <f>'Reported burning'!A2107</f>
        <v>248a</v>
      </c>
      <c r="B2107" s="156" t="str">
        <f>'Reported burning'!B2107</f>
        <v>248a.1</v>
      </c>
      <c r="C2107" s="156" t="str">
        <f>'Reported burning'!C2107</f>
        <v>Human, deliberate</v>
      </c>
      <c r="D2107" s="156" t="str">
        <f>'Reported burning'!D2107</f>
        <v>Crop field preparation</v>
      </c>
      <c r="E2107" s="156" t="str">
        <f>'Reported burning'!E2107</f>
        <v>Cropping, Swidden</v>
      </c>
      <c r="F2107" s="156" t="str">
        <f>'Reported burning'!F2107</f>
        <v>Secondary vegetation</v>
      </c>
      <c r="G2107" s="156" t="str">
        <f>'Reported burning'!G2107</f>
        <v>ND</v>
      </c>
      <c r="H2107" s="156"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5990</v>
      </c>
      <c r="AB2107" s="4" t="s">
        <v>5989</v>
      </c>
    </row>
    <row r="2108" spans="1:28" ht="71.5" customHeight="1">
      <c r="A2108" s="156" t="str">
        <f>'Reported burning'!A2108</f>
        <v>248a</v>
      </c>
      <c r="B2108" s="156" t="str">
        <f>'Reported burning'!B2108</f>
        <v>248a.2</v>
      </c>
      <c r="C2108" s="156" t="str">
        <f>'Reported burning'!C2108</f>
        <v>Human, deliberate</v>
      </c>
      <c r="D2108" s="156" t="str">
        <f>'Reported burning'!D2108</f>
        <v>Crop field preparation</v>
      </c>
      <c r="E2108" s="156" t="str">
        <f>'Reported burning'!E2108</f>
        <v>Tourism manager</v>
      </c>
      <c r="F2108" s="156" t="str">
        <f>'Reported burning'!F2108</f>
        <v>Secondary vegetation</v>
      </c>
      <c r="G2108" s="156" t="str">
        <f>'Reported burning'!G2108</f>
        <v>ND</v>
      </c>
      <c r="H2108" s="156"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5991</v>
      </c>
      <c r="AB2108" s="4" t="s">
        <v>5989</v>
      </c>
    </row>
    <row r="2109" spans="1:28" ht="41" customHeight="1">
      <c r="A2109" s="156" t="str">
        <f>'Reported burning'!A2109</f>
        <v>249a</v>
      </c>
      <c r="B2109" s="156" t="str">
        <f>'Reported burning'!B2109</f>
        <v>249a.1</v>
      </c>
      <c r="C2109" s="156" t="str">
        <f>'Reported burning'!C2109</f>
        <v>Human, deliberate</v>
      </c>
      <c r="D2109" s="156" t="str">
        <f>'Reported burning'!D2109</f>
        <v>All</v>
      </c>
      <c r="E2109" s="156" t="str">
        <f>'Reported burning'!E2109</f>
        <v>Forestry, Traditional</v>
      </c>
      <c r="F2109" s="156" t="str">
        <f>'Reported burning'!F2109</f>
        <v>Shrubland (Mixed forest &amp; grassland)</v>
      </c>
      <c r="G2109" s="156" t="str">
        <f>'Reported burning'!G2109</f>
        <v>Shrubland (Mixed forest &amp; grassland)</v>
      </c>
      <c r="H2109" s="156" t="str">
        <f>'Reported burning'!H2109</f>
        <v>Presence</v>
      </c>
      <c r="I2109" s="5"/>
      <c r="J2109" s="21" t="s">
        <v>2368</v>
      </c>
      <c r="K2109" s="103"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6" t="str">
        <f>'Reported burning'!A2110</f>
        <v>249a</v>
      </c>
      <c r="B2110" s="156" t="str">
        <f>'Reported burning'!B2110</f>
        <v>249a.2</v>
      </c>
      <c r="C2110" s="156" t="str">
        <f>'Reported burning'!C2110</f>
        <v>Human, deliberate</v>
      </c>
      <c r="D2110" s="156" t="str">
        <f>'Reported burning'!D2110</f>
        <v>All</v>
      </c>
      <c r="E2110" s="156" t="str">
        <f>'Reported burning'!E2110</f>
        <v>Forestry, Traditional</v>
      </c>
      <c r="F2110" s="156" t="str">
        <f>'Reported burning'!F2110</f>
        <v>Shrubland (Mixed forest &amp; grassland)</v>
      </c>
      <c r="G2110" s="156" t="str">
        <f>'Reported burning'!G2110</f>
        <v>Shrubland (Mixed forest &amp; grassland)</v>
      </c>
      <c r="H2110" s="156" t="str">
        <f>'Reported burning'!H2110</f>
        <v>Presence</v>
      </c>
      <c r="I2110" s="5"/>
      <c r="J2110" s="21" t="s">
        <v>2368</v>
      </c>
      <c r="K2110" s="103"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6" t="str">
        <f>'Reported burning'!A2111</f>
        <v>249a</v>
      </c>
      <c r="B2111" s="156" t="str">
        <f>'Reported burning'!B2111</f>
        <v>249a.3</v>
      </c>
      <c r="C2111" s="156" t="str">
        <f>'Reported burning'!C2111</f>
        <v>Human, escaped</v>
      </c>
      <c r="D2111" s="156" t="str">
        <f>'Reported burning'!D2111</f>
        <v>All</v>
      </c>
      <c r="E2111" s="156" t="str">
        <f>'Reported burning'!E2111</f>
        <v>Forestry, Traditional</v>
      </c>
      <c r="F2111" s="156" t="str">
        <f>'Reported burning'!F2111</f>
        <v>Shrubland (Mixed forest &amp; grassland)</v>
      </c>
      <c r="G2111" s="156" t="str">
        <f>'Reported burning'!G2111</f>
        <v>Shrubland (Mixed forest &amp; grassland)</v>
      </c>
      <c r="H2111" s="156"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6" t="str">
        <f>'Reported burning'!A2112</f>
        <v>249b</v>
      </c>
      <c r="B2112" s="156" t="str">
        <f>'Reported burning'!B2112</f>
        <v>249b.1</v>
      </c>
      <c r="C2112" s="156" t="str">
        <f>'Reported burning'!C2112</f>
        <v>Lightning</v>
      </c>
      <c r="D2112" s="156" t="str">
        <f>'Reported burning'!D2112</f>
        <v>ND</v>
      </c>
      <c r="E2112" s="156" t="str">
        <f>'Reported burning'!E2112</f>
        <v>ND</v>
      </c>
      <c r="F2112" s="156" t="str">
        <f>'Reported burning'!F2112</f>
        <v>ND</v>
      </c>
      <c r="G2112" s="156" t="str">
        <f>'Reported burning'!G2112</f>
        <v>Shrubland (Mixed forest &amp; grassland)</v>
      </c>
      <c r="H2112" s="156" t="str">
        <f>'Reported burning'!H2112</f>
        <v>Presence</v>
      </c>
      <c r="I2112" s="5"/>
      <c r="J2112" s="21" t="s">
        <v>2366</v>
      </c>
      <c r="K2112" s="4" t="s">
        <v>2276</v>
      </c>
      <c r="L2112" s="103"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6" t="str">
        <f>'Reported burning'!A2113</f>
        <v>249b</v>
      </c>
      <c r="B2113" s="156" t="str">
        <f>'Reported burning'!B2113</f>
        <v>249b.2</v>
      </c>
      <c r="C2113" s="156" t="str">
        <f>'Reported burning'!C2113</f>
        <v>Lightning</v>
      </c>
      <c r="D2113" s="156" t="str">
        <f>'Reported burning'!D2113</f>
        <v>ND</v>
      </c>
      <c r="E2113" s="156" t="str">
        <f>'Reported burning'!E2113</f>
        <v>ND</v>
      </c>
      <c r="F2113" s="156" t="str">
        <f>'Reported burning'!F2113</f>
        <v>ND</v>
      </c>
      <c r="G2113" s="156" t="str">
        <f>'Reported burning'!G2113</f>
        <v>Shrubland (Mixed forest &amp; grassland)</v>
      </c>
      <c r="H2113" s="156" t="str">
        <f>'Reported burning'!H2113</f>
        <v>Presence</v>
      </c>
      <c r="I2113" s="5"/>
      <c r="J2113" s="21" t="s">
        <v>2366</v>
      </c>
      <c r="K2113" s="4" t="s">
        <v>2276</v>
      </c>
      <c r="L2113" s="103"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6" t="str">
        <f>'Reported burning'!A2114</f>
        <v>249a</v>
      </c>
      <c r="B2114" s="156" t="str">
        <f>'Reported burning'!B2114</f>
        <v>249a.4</v>
      </c>
      <c r="C2114" s="156" t="str">
        <f>'Reported burning'!C2114</f>
        <v>Human, deliberate</v>
      </c>
      <c r="D2114" s="156" t="str">
        <f>'Reported burning'!D2114</f>
        <v>Harvesting of NTFP</v>
      </c>
      <c r="E2114" s="156" t="str">
        <f>'Reported burning'!E2114</f>
        <v>Forestry, Traditional</v>
      </c>
      <c r="F2114" s="156" t="str">
        <f>'Reported burning'!F2114</f>
        <v>Shrubland (Mixed forest &amp; grassland)</v>
      </c>
      <c r="G2114" s="156" t="str">
        <f>'Reported burning'!G2114</f>
        <v>Shrubland (Mixed forest &amp; grassland)</v>
      </c>
      <c r="H2114" s="156"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6" t="str">
        <f>'Reported burning'!A2115</f>
        <v>249a</v>
      </c>
      <c r="B2115" s="156" t="str">
        <f>'Reported burning'!B2115</f>
        <v>249a.5</v>
      </c>
      <c r="C2115" s="156" t="str">
        <f>'Reported burning'!C2115</f>
        <v>Human, deliberate</v>
      </c>
      <c r="D2115" s="156" t="str">
        <f>'Reported burning'!D2115</f>
        <v>Hunting</v>
      </c>
      <c r="E2115" s="156" t="str">
        <f>'Reported burning'!E2115</f>
        <v>Forestry, Traditional</v>
      </c>
      <c r="F2115" s="156" t="str">
        <f>'Reported burning'!F2115</f>
        <v>Shrubland (Mixed forest &amp; grassland)</v>
      </c>
      <c r="G2115" s="156" t="str">
        <f>'Reported burning'!G2115</f>
        <v>Shrubland (Mixed forest &amp; grassland)</v>
      </c>
      <c r="H2115" s="156"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6" t="str">
        <f>'Reported burning'!A2116</f>
        <v>250a</v>
      </c>
      <c r="B2116" s="156" t="str">
        <f>'Reported burning'!B2116</f>
        <v>250a.1</v>
      </c>
      <c r="C2116" s="156" t="str">
        <f>'Reported burning'!C2116</f>
        <v>Human, deliberate</v>
      </c>
      <c r="D2116" s="156" t="str">
        <f>'Reported burning'!D2116</f>
        <v>Crop field preparation</v>
      </c>
      <c r="E2116" s="156" t="str">
        <f>'Reported burning'!E2116</f>
        <v>Cropping, Swidden</v>
      </c>
      <c r="F2116" s="156" t="str">
        <f>'Reported burning'!F2116</f>
        <v>Secondary vegetation</v>
      </c>
      <c r="G2116" s="156" t="str">
        <f>'Reported burning'!G2116</f>
        <v>ND</v>
      </c>
      <c r="H2116" s="156"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6" t="str">
        <f>'Reported burning'!A2117</f>
        <v>250a</v>
      </c>
      <c r="B2117" s="156" t="str">
        <f>'Reported burning'!B2117</f>
        <v>250a.2</v>
      </c>
      <c r="C2117" s="156" t="str">
        <f>'Reported burning'!C2117</f>
        <v>Human, deliberate</v>
      </c>
      <c r="D2117" s="156" t="str">
        <f>'Reported burning'!D2117</f>
        <v>Pasture renewal</v>
      </c>
      <c r="E2117" s="156" t="str">
        <f>'Reported burning'!E2117</f>
        <v>Cattle, Extensive</v>
      </c>
      <c r="F2117" s="156" t="str">
        <f>'Reported burning'!F2117</f>
        <v>Shrubland (Mixed forest &amp; grassland)</v>
      </c>
      <c r="G2117" s="156" t="str">
        <f>'Reported burning'!G2117</f>
        <v>ND</v>
      </c>
      <c r="H2117" s="156"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6016</v>
      </c>
    </row>
    <row r="2118" spans="1:28" ht="31.5" customHeight="1">
      <c r="A2118" s="156" t="str">
        <f>'Reported burning'!A2118</f>
        <v>250a</v>
      </c>
      <c r="B2118" s="156" t="str">
        <f>'Reported burning'!B2118</f>
        <v>250a.3</v>
      </c>
      <c r="C2118" s="156" t="str">
        <f>'Reported burning'!C2118</f>
        <v>Human, deliberate</v>
      </c>
      <c r="D2118" s="156" t="str">
        <f>'Reported burning'!D2118</f>
        <v>Pasture renewal</v>
      </c>
      <c r="E2118" s="156" t="str">
        <f>'Reported burning'!E2118</f>
        <v>Cattle, Extensive</v>
      </c>
      <c r="F2118" s="156" t="str">
        <f>'Reported burning'!F2118</f>
        <v>Pasture</v>
      </c>
      <c r="G2118" s="156" t="str">
        <f>'Reported burning'!G2118</f>
        <v>ND</v>
      </c>
      <c r="H2118" s="156"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6016</v>
      </c>
    </row>
    <row r="2119" spans="1:28" ht="48" customHeight="1">
      <c r="A2119" s="156" t="str">
        <f>'Reported burning'!A2119</f>
        <v>251a</v>
      </c>
      <c r="B2119" s="156" t="str">
        <f>'Reported burning'!B2119</f>
        <v>251a.1</v>
      </c>
      <c r="C2119" s="156" t="str">
        <f>'Reported burning'!C2119</f>
        <v>Human, deliberate</v>
      </c>
      <c r="D2119" s="156" t="str">
        <f>'Reported burning'!D2119</f>
        <v>Harvesting of NTFP</v>
      </c>
      <c r="E2119" s="156" t="str">
        <f>'Reported burning'!E2119</f>
        <v>Forestry, Traditional</v>
      </c>
      <c r="F2119" s="156" t="str">
        <f>'Reported burning'!F2119</f>
        <v>Forest</v>
      </c>
      <c r="G2119" s="156" t="str">
        <f>'Reported burning'!G2119</f>
        <v>ND</v>
      </c>
      <c r="H2119" s="156"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6029</v>
      </c>
      <c r="AB2119" s="3"/>
    </row>
    <row r="2120" spans="1:28" ht="48" customHeight="1">
      <c r="A2120" s="156" t="str">
        <f>'Reported burning'!A2120</f>
        <v>251a</v>
      </c>
      <c r="B2120" s="156" t="str">
        <f>'Reported burning'!B2120</f>
        <v>251a.2</v>
      </c>
      <c r="C2120" s="156" t="str">
        <f>'Reported burning'!C2120</f>
        <v>Human, deliberate</v>
      </c>
      <c r="D2120" s="156" t="str">
        <f>'Reported burning'!D2120</f>
        <v>Conservation</v>
      </c>
      <c r="E2120" s="156" t="str">
        <f>'Reported burning'!E2120</f>
        <v>Forestry, Traditional</v>
      </c>
      <c r="F2120" s="156" t="str">
        <f>'Reported burning'!F2120</f>
        <v>Forest</v>
      </c>
      <c r="G2120" s="156" t="str">
        <f>'Reported burning'!G2120</f>
        <v>ND</v>
      </c>
      <c r="H2120" s="156"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6029</v>
      </c>
      <c r="AB2120" s="3"/>
    </row>
    <row r="2121" spans="1:28" ht="48" customHeight="1">
      <c r="A2121" s="156" t="str">
        <f>'Reported burning'!A2121</f>
        <v>251a</v>
      </c>
      <c r="B2121" s="156" t="str">
        <f>'Reported burning'!B2121</f>
        <v>251a.3</v>
      </c>
      <c r="C2121" s="156" t="str">
        <f>'Reported burning'!C2121</f>
        <v>Human, deliberate</v>
      </c>
      <c r="D2121" s="156" t="str">
        <f>'Reported burning'!D2121</f>
        <v>Cultural &amp; Spiritual</v>
      </c>
      <c r="E2121" s="156" t="str">
        <f>'Reported burning'!E2121</f>
        <v>Forestry, Traditional</v>
      </c>
      <c r="F2121" s="156" t="str">
        <f>'Reported burning'!F2121</f>
        <v>Forest</v>
      </c>
      <c r="G2121" s="156" t="str">
        <f>'Reported burning'!G2121</f>
        <v>ND</v>
      </c>
      <c r="H2121" s="156"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6029</v>
      </c>
      <c r="AB2121" s="3"/>
    </row>
    <row r="2122" spans="1:28" ht="48" customHeight="1">
      <c r="A2122" s="156" t="str">
        <f>'Reported burning'!A2122</f>
        <v>251a</v>
      </c>
      <c r="B2122" s="156" t="str">
        <f>'Reported burning'!B2122</f>
        <v>251a.4</v>
      </c>
      <c r="C2122" s="156" t="str">
        <f>'Reported burning'!C2122</f>
        <v>Human, deliberate</v>
      </c>
      <c r="D2122" s="156" t="str">
        <f>'Reported burning'!D2122</f>
        <v>Conservation</v>
      </c>
      <c r="E2122" s="156" t="str">
        <f>'Reported burning'!E2122</f>
        <v>Biodiversity conservation</v>
      </c>
      <c r="F2122" s="156" t="str">
        <f>'Reported burning'!F2122</f>
        <v>Forest</v>
      </c>
      <c r="G2122" s="156" t="str">
        <f>'Reported burning'!G2122</f>
        <v>ND</v>
      </c>
      <c r="H2122" s="156"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6029</v>
      </c>
      <c r="AB2122" s="3"/>
    </row>
    <row r="2123" spans="1:28" ht="49" customHeight="1">
      <c r="A2123" s="156" t="str">
        <f>'Reported burning'!A2123</f>
        <v>251a</v>
      </c>
      <c r="B2123" s="156" t="str">
        <f>'Reported burning'!B2123</f>
        <v>251a.5</v>
      </c>
      <c r="C2123" s="156" t="str">
        <f>'Reported burning'!C2123</f>
        <v>Human, deliberate</v>
      </c>
      <c r="D2123" s="156" t="str">
        <f>'Reported burning'!D2123</f>
        <v>Harvesting of NTFP</v>
      </c>
      <c r="E2123" s="156" t="str">
        <f>'Reported burning'!E2123</f>
        <v>Forestry, Traditional</v>
      </c>
      <c r="F2123" s="156" t="str">
        <f>'Reported burning'!F2123</f>
        <v>Forest</v>
      </c>
      <c r="G2123" s="156" t="str">
        <f>'Reported burning'!G2123</f>
        <v>ND</v>
      </c>
      <c r="H2123" s="156"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6030</v>
      </c>
      <c r="AB2123" s="3"/>
    </row>
    <row r="2124" spans="1:28" ht="49" customHeight="1">
      <c r="A2124" s="156" t="str">
        <f>'Reported burning'!A2124</f>
        <v>251a</v>
      </c>
      <c r="B2124" s="156" t="str">
        <f>'Reported burning'!B2124</f>
        <v>251a.6</v>
      </c>
      <c r="C2124" s="156" t="str">
        <f>'Reported burning'!C2124</f>
        <v>Human, deliberate</v>
      </c>
      <c r="D2124" s="156" t="str">
        <f>'Reported burning'!D2124</f>
        <v>Conservation</v>
      </c>
      <c r="E2124" s="156" t="str">
        <f>'Reported burning'!E2124</f>
        <v>Forestry, Traditional</v>
      </c>
      <c r="F2124" s="156" t="str">
        <f>'Reported burning'!F2124</f>
        <v>Forest</v>
      </c>
      <c r="G2124" s="156" t="str">
        <f>'Reported burning'!G2124</f>
        <v>ND</v>
      </c>
      <c r="H2124" s="156"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6030</v>
      </c>
      <c r="AB2124" s="3"/>
    </row>
    <row r="2125" spans="1:28" ht="49" customHeight="1">
      <c r="A2125" s="156" t="str">
        <f>'Reported burning'!A2125</f>
        <v>251a</v>
      </c>
      <c r="B2125" s="156" t="str">
        <f>'Reported burning'!B2125</f>
        <v>251a.7</v>
      </c>
      <c r="C2125" s="156" t="str">
        <f>'Reported burning'!C2125</f>
        <v>Human, deliberate</v>
      </c>
      <c r="D2125" s="156" t="str">
        <f>'Reported burning'!D2125</f>
        <v>Cultural &amp; Spiritual</v>
      </c>
      <c r="E2125" s="156" t="str">
        <f>'Reported burning'!E2125</f>
        <v>Forestry, Traditional</v>
      </c>
      <c r="F2125" s="156" t="str">
        <f>'Reported burning'!F2125</f>
        <v>Forest</v>
      </c>
      <c r="G2125" s="156" t="str">
        <f>'Reported burning'!G2125</f>
        <v>ND</v>
      </c>
      <c r="H2125" s="156"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6030</v>
      </c>
      <c r="AB2125" s="3"/>
    </row>
    <row r="2126" spans="1:28" ht="49" customHeight="1">
      <c r="A2126" s="156" t="str">
        <f>'Reported burning'!A2126</f>
        <v>251a</v>
      </c>
      <c r="B2126" s="156" t="str">
        <f>'Reported burning'!B2126</f>
        <v>251a.8</v>
      </c>
      <c r="C2126" s="156" t="str">
        <f>'Reported burning'!C2126</f>
        <v>Human, deliberate</v>
      </c>
      <c r="D2126" s="156" t="str">
        <f>'Reported burning'!D2126</f>
        <v>Conservation</v>
      </c>
      <c r="E2126" s="156" t="str">
        <f>'Reported burning'!E2126</f>
        <v>Biodiversity conservation</v>
      </c>
      <c r="F2126" s="156" t="str">
        <f>'Reported burning'!F2126</f>
        <v>Forest</v>
      </c>
      <c r="G2126" s="156" t="str">
        <f>'Reported burning'!G2126</f>
        <v>ND</v>
      </c>
      <c r="H2126" s="156"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6030</v>
      </c>
      <c r="AB2126" s="3"/>
    </row>
    <row r="2127" spans="1:28" ht="34.5" customHeight="1">
      <c r="A2127" s="156" t="str">
        <f>'Reported burning'!A2127</f>
        <v>252a</v>
      </c>
      <c r="B2127" s="156" t="str">
        <f>'Reported burning'!B2127</f>
        <v>252a.1</v>
      </c>
      <c r="C2127" s="156" t="str">
        <f>'Reported burning'!C2127</f>
        <v>Human, deliberate</v>
      </c>
      <c r="D2127" s="156" t="str">
        <f>'Reported burning'!D2127</f>
        <v>Conservation</v>
      </c>
      <c r="E2127" s="156" t="str">
        <f>'Reported burning'!E2127</f>
        <v>Biodiversity conservation</v>
      </c>
      <c r="F2127" s="156" t="str">
        <f>'Reported burning'!F2127</f>
        <v>Grassland</v>
      </c>
      <c r="G2127" s="156" t="str">
        <f>'Reported burning'!G2127</f>
        <v>ND</v>
      </c>
      <c r="H2127" s="156"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6" t="str">
        <f>'Reported burning'!A2128</f>
        <v>252a</v>
      </c>
      <c r="B2128" s="156" t="str">
        <f>'Reported burning'!B2128</f>
        <v>252a.2</v>
      </c>
      <c r="C2128" s="156" t="str">
        <f>'Reported burning'!C2128</f>
        <v>Human, deliberate</v>
      </c>
      <c r="D2128" s="156" t="str">
        <f>'Reported burning'!D2128</f>
        <v>Pasture renewal</v>
      </c>
      <c r="E2128" s="156" t="str">
        <f>'Reported burning'!E2128</f>
        <v>Cattle, Extensive</v>
      </c>
      <c r="F2128" s="156" t="str">
        <f>'Reported burning'!F2128</f>
        <v>Grassland</v>
      </c>
      <c r="G2128" s="156" t="str">
        <f>'Reported burning'!G2128</f>
        <v>ND</v>
      </c>
      <c r="H2128" s="156"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6" t="str">
        <f>'Reported burning'!A2129</f>
        <v>252a</v>
      </c>
      <c r="B2129" s="156" t="str">
        <f>'Reported burning'!B2129</f>
        <v>252a.3</v>
      </c>
      <c r="C2129" s="156" t="str">
        <f>'Reported burning'!C2129</f>
        <v>Human, deliberate</v>
      </c>
      <c r="D2129" s="156" t="str">
        <f>'Reported burning'!D2129</f>
        <v>All</v>
      </c>
      <c r="E2129" s="156" t="str">
        <f>'Reported burning'!E2129</f>
        <v>Abandoned agricultural land</v>
      </c>
      <c r="F2129" s="156" t="str">
        <f>'Reported burning'!F2129</f>
        <v>Grassland</v>
      </c>
      <c r="G2129" s="156" t="str">
        <f>'Reported burning'!G2129</f>
        <v>ND</v>
      </c>
      <c r="H2129" s="156"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6" t="str">
        <f>'Reported burning'!A2130</f>
        <v>253a</v>
      </c>
      <c r="B2130" s="156" t="str">
        <f>'Reported burning'!B2130</f>
        <v>253a.1</v>
      </c>
      <c r="C2130" s="156" t="str">
        <f>'Reported burning'!C2130</f>
        <v>Human, deliberate</v>
      </c>
      <c r="D2130" s="156" t="str">
        <f>'Reported burning'!D2130</f>
        <v>Pasture renewal</v>
      </c>
      <c r="E2130" s="156" t="str">
        <f>'Reported burning'!E2130</f>
        <v>Pastoralism, Migratory</v>
      </c>
      <c r="F2130" s="156" t="str">
        <f>'Reported burning'!F2130</f>
        <v>Grassland</v>
      </c>
      <c r="G2130" s="156" t="str">
        <f>'Reported burning'!G2130</f>
        <v>ND</v>
      </c>
      <c r="H2130" s="156"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6047</v>
      </c>
      <c r="AB2130" s="3"/>
    </row>
    <row r="2131" spans="1:29" ht="48" customHeight="1">
      <c r="A2131" s="156" t="str">
        <f>'Reported burning'!A2131</f>
        <v>253a</v>
      </c>
      <c r="B2131" s="156" t="str">
        <f>'Reported burning'!B2131</f>
        <v>253a.2</v>
      </c>
      <c r="C2131" s="156" t="str">
        <f>'Reported burning'!C2131</f>
        <v>Human, deliberate</v>
      </c>
      <c r="D2131" s="156" t="str">
        <f>'Reported burning'!D2131</f>
        <v>Pasture renewal</v>
      </c>
      <c r="E2131" s="156" t="str">
        <f>'Reported burning'!E2131</f>
        <v>Mixed cropping-livestock small holder, Market-oriented</v>
      </c>
      <c r="F2131" s="156" t="str">
        <f>'Reported burning'!F2131</f>
        <v>Grassland</v>
      </c>
      <c r="G2131" s="156" t="str">
        <f>'Reported burning'!G2131</f>
        <v>ND</v>
      </c>
      <c r="H2131" s="156"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6046</v>
      </c>
      <c r="AB2131" s="3"/>
    </row>
    <row r="2132" spans="1:29" ht="48" customHeight="1">
      <c r="A2132" s="156" t="str">
        <f>'Reported burning'!A2132</f>
        <v>253a</v>
      </c>
      <c r="B2132" s="156" t="str">
        <f>'Reported burning'!B2132</f>
        <v>253a.3</v>
      </c>
      <c r="C2132" s="156" t="str">
        <f>'Reported burning'!C2132</f>
        <v>Human, deliberate</v>
      </c>
      <c r="D2132" s="156" t="str">
        <f>'Reported burning'!D2132</f>
        <v>Pasture renewal</v>
      </c>
      <c r="E2132" s="156" t="str">
        <f>'Reported burning'!E2132</f>
        <v>Abandoned agricultural land</v>
      </c>
      <c r="F2132" s="156" t="str">
        <f>'Reported burning'!F2132</f>
        <v>Grassland</v>
      </c>
      <c r="G2132" s="156" t="str">
        <f>'Reported burning'!G2132</f>
        <v>ND</v>
      </c>
      <c r="H2132" s="156"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6" t="str">
        <f>'Reported burning'!A2133</f>
        <v>254a</v>
      </c>
      <c r="B2133" s="156" t="str">
        <f>'Reported burning'!B2133</f>
        <v>254a.1</v>
      </c>
      <c r="C2133" s="156" t="str">
        <f>'Reported burning'!C2133</f>
        <v>Human, deliberate</v>
      </c>
      <c r="D2133" s="156" t="str">
        <f>'Reported burning'!D2133</f>
        <v>Crop field preparation</v>
      </c>
      <c r="E2133" s="156" t="str">
        <f>'Reported burning'!E2133</f>
        <v>Cropping, Swidden</v>
      </c>
      <c r="F2133" s="156" t="str">
        <f>'Reported burning'!F2133</f>
        <v>Secondary vegetation</v>
      </c>
      <c r="G2133" s="156" t="str">
        <f>'Reported burning'!G2133</f>
        <v>ND</v>
      </c>
      <c r="H2133" s="156"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6" t="str">
        <f>'Reported burning'!A2134</f>
        <v>254a</v>
      </c>
      <c r="B2134" s="156" t="str">
        <f>'Reported burning'!B2134</f>
        <v>254a.2</v>
      </c>
      <c r="C2134" s="156" t="str">
        <f>'Reported burning'!C2134</f>
        <v>Human, deliberate</v>
      </c>
      <c r="D2134" s="156" t="str">
        <f>'Reported burning'!D2134</f>
        <v>Pasture renewal</v>
      </c>
      <c r="E2134" s="156" t="str">
        <f>'Reported burning'!E2134</f>
        <v>Cattle, Extensive</v>
      </c>
      <c r="F2134" s="156" t="str">
        <f>'Reported burning'!F2134</f>
        <v>Pasture</v>
      </c>
      <c r="G2134" s="156" t="str">
        <f>'Reported burning'!G2134</f>
        <v>ND</v>
      </c>
      <c r="H2134" s="156"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6" t="str">
        <f>'Reported burning'!A2135</f>
        <v>254a</v>
      </c>
      <c r="B2135" s="156" t="str">
        <f>'Reported burning'!B2135</f>
        <v>254a.3</v>
      </c>
      <c r="C2135" s="156" t="str">
        <f>'Reported burning'!C2135</f>
        <v>Human, escaped</v>
      </c>
      <c r="D2135" s="156" t="str">
        <f>'Reported burning'!D2135</f>
        <v>Crop field preparation</v>
      </c>
      <c r="E2135" s="156" t="str">
        <f>'Reported burning'!E2135</f>
        <v>Cropping, Swidden</v>
      </c>
      <c r="F2135" s="156" t="str">
        <f>'Reported burning'!F2135</f>
        <v>Secondary vegetation</v>
      </c>
      <c r="G2135" s="156" t="str">
        <f>'Reported burning'!G2135</f>
        <v>ND</v>
      </c>
      <c r="H2135" s="156"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6057</v>
      </c>
      <c r="AB2135" s="3"/>
      <c r="AC2135" s="3"/>
    </row>
    <row r="2136" spans="1:29" ht="38" customHeight="1">
      <c r="A2136" s="156" t="str">
        <f>'Reported burning'!A2136</f>
        <v>255b</v>
      </c>
      <c r="B2136" s="156" t="str">
        <f>'Reported burning'!B2136</f>
        <v>255b.1</v>
      </c>
      <c r="C2136" s="156" t="str">
        <f>'Reported burning'!C2136</f>
        <v>Human, deliberate</v>
      </c>
      <c r="D2136" s="156" t="str">
        <f>'Reported burning'!D2136</f>
        <v>Crop field preparation</v>
      </c>
      <c r="E2136" s="156" t="str">
        <f>'Reported burning'!E2136</f>
        <v>Cropping, Swidden</v>
      </c>
      <c r="F2136" s="156" t="str">
        <f>'Reported burning'!F2136</f>
        <v>Forest</v>
      </c>
      <c r="G2136" s="156" t="str">
        <f>'Reported burning'!G2136</f>
        <v>ND</v>
      </c>
      <c r="H2136" s="156"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6" t="str">
        <f>'Reported burning'!A2137</f>
        <v>255b</v>
      </c>
      <c r="B2137" s="156" t="str">
        <f>'Reported burning'!B2137</f>
        <v>255b.2</v>
      </c>
      <c r="C2137" s="156" t="str">
        <f>'Reported burning'!C2137</f>
        <v>Human, deliberate</v>
      </c>
      <c r="D2137" s="156" t="str">
        <f>'Reported burning'!D2137</f>
        <v>Forest clearance</v>
      </c>
      <c r="E2137" s="156" t="str">
        <f>'Reported burning'!E2137</f>
        <v>Cattle, Extensive</v>
      </c>
      <c r="F2137" s="156" t="str">
        <f>'Reported burning'!F2137</f>
        <v>Forest</v>
      </c>
      <c r="G2137" s="156" t="str">
        <f>'Reported burning'!G2137</f>
        <v>ND</v>
      </c>
      <c r="H2137" s="156"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6" t="str">
        <f>'Reported burning'!A2138</f>
        <v>255c</v>
      </c>
      <c r="B2138" s="156" t="str">
        <f>'Reported burning'!B2138</f>
        <v>255c.1</v>
      </c>
      <c r="C2138" s="156" t="str">
        <f>'Reported burning'!C2138</f>
        <v>Human, deliberate</v>
      </c>
      <c r="D2138" s="156" t="str">
        <f>'Reported burning'!D2138</f>
        <v>Forest clearance</v>
      </c>
      <c r="E2138" s="156" t="str">
        <f>'Reported burning'!E2138</f>
        <v>Cattle, Extensive</v>
      </c>
      <c r="F2138" s="156" t="str">
        <f>'Reported burning'!F2138</f>
        <v>Forest</v>
      </c>
      <c r="G2138" s="156" t="str">
        <f>'Reported burning'!G2138</f>
        <v>ND</v>
      </c>
      <c r="H2138" s="156"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6" t="str">
        <f>'Reported burning'!A2139</f>
        <v>255b</v>
      </c>
      <c r="B2139" s="156" t="str">
        <f>'Reported burning'!B2139</f>
        <v>255b.3</v>
      </c>
      <c r="C2139" s="156" t="str">
        <f>'Reported burning'!C2139</f>
        <v>Human, deliberate</v>
      </c>
      <c r="D2139" s="156" t="str">
        <f>'Reported burning'!D2139</f>
        <v>Pasture renewal</v>
      </c>
      <c r="E2139" s="156" t="str">
        <f>'Reported burning'!E2139</f>
        <v>Cattle, Extensive</v>
      </c>
      <c r="F2139" s="156" t="str">
        <f>'Reported burning'!F2139</f>
        <v>Pasture</v>
      </c>
      <c r="G2139" s="156" t="str">
        <f>'Reported burning'!G2139</f>
        <v>ND</v>
      </c>
      <c r="H2139" s="156"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6" t="str">
        <f>'Reported burning'!A2140</f>
        <v>255c</v>
      </c>
      <c r="B2140" s="156" t="str">
        <f>'Reported burning'!B2140</f>
        <v>255c.2</v>
      </c>
      <c r="C2140" s="156" t="str">
        <f>'Reported burning'!C2140</f>
        <v>Human, deliberate</v>
      </c>
      <c r="D2140" s="156" t="str">
        <f>'Reported burning'!D2140</f>
        <v>Pasture renewal</v>
      </c>
      <c r="E2140" s="156" t="str">
        <f>'Reported burning'!E2140</f>
        <v>Cattle, Extensive</v>
      </c>
      <c r="F2140" s="156" t="str">
        <f>'Reported burning'!F2140</f>
        <v>Pasture</v>
      </c>
      <c r="G2140" s="156" t="str">
        <f>'Reported burning'!G2140</f>
        <v>ND</v>
      </c>
      <c r="H2140" s="156"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6" t="str">
        <f>'Reported burning'!A2141</f>
        <v>255c</v>
      </c>
      <c r="B2141" s="156" t="str">
        <f>'Reported burning'!B2141</f>
        <v>255c.3</v>
      </c>
      <c r="C2141" s="156" t="str">
        <f>'Reported burning'!C2141</f>
        <v>Human, deliberate</v>
      </c>
      <c r="D2141" s="156" t="str">
        <f>'Reported burning'!D2141</f>
        <v>Pasture renewal</v>
      </c>
      <c r="E2141" s="156" t="str">
        <f>'Reported burning'!E2141</f>
        <v>Cattle, Intensive</v>
      </c>
      <c r="F2141" s="156" t="str">
        <f>'Reported burning'!F2141</f>
        <v>Pasture</v>
      </c>
      <c r="G2141" s="156" t="str">
        <f>'Reported burning'!G2141</f>
        <v>ND</v>
      </c>
      <c r="H2141" s="156"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6" t="str">
        <f>'Reported burning'!A2142</f>
        <v>256a</v>
      </c>
      <c r="B2142" s="156" t="str">
        <f>'Reported burning'!B2142</f>
        <v>256a.1</v>
      </c>
      <c r="C2142" s="156" t="str">
        <f>'Reported burning'!C2142</f>
        <v>Human, deliberate</v>
      </c>
      <c r="D2142" s="156" t="str">
        <f>'Reported burning'!D2142</f>
        <v>Rangeland management</v>
      </c>
      <c r="E2142" s="156" t="str">
        <f>'Reported burning'!E2142</f>
        <v>Cattle, Extensive</v>
      </c>
      <c r="F2142" s="156" t="str">
        <f>'Reported burning'!F2142</f>
        <v>Shrubland (Mixed forest &amp; grassland)</v>
      </c>
      <c r="G2142" s="156" t="str">
        <f>'Reported burning'!G2142</f>
        <v>ND</v>
      </c>
      <c r="H2142" s="156"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6" t="str">
        <f>'Reported burning'!A2143</f>
        <v>256a</v>
      </c>
      <c r="B2143" s="156" t="str">
        <f>'Reported burning'!B2143</f>
        <v>256a.2</v>
      </c>
      <c r="C2143" s="156" t="str">
        <f>'Reported burning'!C2143</f>
        <v>Human, deliberate</v>
      </c>
      <c r="D2143" s="156" t="str">
        <f>'Reported burning'!D2143</f>
        <v>Rangeland management</v>
      </c>
      <c r="E2143" s="156" t="str">
        <f>'Reported burning'!E2143</f>
        <v>Pastoralism, Migratory</v>
      </c>
      <c r="F2143" s="156" t="str">
        <f>'Reported burning'!F2143</f>
        <v>Shrubland (Mixed forest &amp; grassland)</v>
      </c>
      <c r="G2143" s="156" t="str">
        <f>'Reported burning'!G2143</f>
        <v>ND</v>
      </c>
      <c r="H2143" s="156"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6" t="str">
        <f>'Reported burning'!A2144</f>
        <v>256a</v>
      </c>
      <c r="B2144" s="156" t="str">
        <f>'Reported burning'!B2144</f>
        <v>256a.3</v>
      </c>
      <c r="C2144" s="156" t="str">
        <f>'Reported burning'!C2144</f>
        <v>Human, deliberate</v>
      </c>
      <c r="D2144" s="156" t="str">
        <f>'Reported burning'!D2144</f>
        <v>Rangeland management</v>
      </c>
      <c r="E2144" s="156" t="str">
        <f>'Reported burning'!E2144</f>
        <v>Cropping, Swidden</v>
      </c>
      <c r="F2144" s="156" t="str">
        <f>'Reported burning'!F2144</f>
        <v>Shrubland (Mixed forest &amp; grassland)</v>
      </c>
      <c r="G2144" s="156" t="str">
        <f>'Reported burning'!G2144</f>
        <v>ND</v>
      </c>
      <c r="H2144" s="156"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4" customFormat="1" ht="65" customHeight="1">
      <c r="A2145" s="156" t="str">
        <f>'Reported burning'!A2145</f>
        <v>257a</v>
      </c>
      <c r="B2145" s="156" t="str">
        <f>'Reported burning'!B2145</f>
        <v>257a.1</v>
      </c>
      <c r="C2145" s="156" t="str">
        <f>'Reported burning'!C2145</f>
        <v>Human, deliberate</v>
      </c>
      <c r="D2145" s="156" t="str">
        <f>'Reported burning'!D2145</f>
        <v>Rangeland management</v>
      </c>
      <c r="E2145" s="156" t="str">
        <f>'Reported burning'!E2145</f>
        <v>Pastoralism, Migratory</v>
      </c>
      <c r="F2145" s="156" t="str">
        <f>'Reported burning'!F2145</f>
        <v>Shrubland (Mixed forest &amp; grassland)</v>
      </c>
      <c r="G2145" s="156" t="str">
        <f>'Reported burning'!G2145</f>
        <v>ND</v>
      </c>
      <c r="H2145" s="156" t="str">
        <f>'Reported burning'!H2145</f>
        <v>Presence</v>
      </c>
      <c r="I2145" s="5"/>
      <c r="J2145" s="205" t="s">
        <v>2276</v>
      </c>
      <c r="K2145" s="205" t="s">
        <v>2276</v>
      </c>
      <c r="L2145" s="205" t="s">
        <v>2276</v>
      </c>
      <c r="M2145" s="205" t="s">
        <v>2276</v>
      </c>
      <c r="N2145" s="205" t="s">
        <v>2276</v>
      </c>
      <c r="O2145" s="205" t="s">
        <v>2276</v>
      </c>
      <c r="P2145" s="205" t="s">
        <v>2276</v>
      </c>
      <c r="Q2145" s="205" t="s">
        <v>2276</v>
      </c>
      <c r="R2145" s="205" t="s">
        <v>2276</v>
      </c>
      <c r="S2145" s="205" t="s">
        <v>2276</v>
      </c>
      <c r="T2145" s="205" t="s">
        <v>2276</v>
      </c>
      <c r="U2145" s="205" t="s">
        <v>2276</v>
      </c>
      <c r="V2145" s="205" t="s">
        <v>2276</v>
      </c>
      <c r="W2145" s="21" t="s">
        <v>2375</v>
      </c>
      <c r="X2145" s="205" t="s">
        <v>68</v>
      </c>
      <c r="Y2145" s="205" t="s">
        <v>188</v>
      </c>
      <c r="Z2145" s="205" t="s">
        <v>2655</v>
      </c>
      <c r="AA2145" s="4" t="s">
        <v>7055</v>
      </c>
      <c r="AB2145" s="4" t="s">
        <v>7058</v>
      </c>
    </row>
    <row r="2146" spans="1:28" s="204" customFormat="1" ht="65" customHeight="1">
      <c r="A2146" s="156" t="str">
        <f>'Reported burning'!A2146</f>
        <v>257a</v>
      </c>
      <c r="B2146" s="156" t="str">
        <f>'Reported burning'!B2146</f>
        <v>257a.2</v>
      </c>
      <c r="C2146" s="156" t="str">
        <f>'Reported burning'!C2146</f>
        <v>Human, deliberate</v>
      </c>
      <c r="D2146" s="156" t="str">
        <f>'Reported burning'!D2146</f>
        <v>Crop field preparation</v>
      </c>
      <c r="E2146" s="156" t="str">
        <f>'Reported burning'!E2146</f>
        <v>Cropping, Swidden</v>
      </c>
      <c r="F2146" s="156" t="str">
        <f>'Reported burning'!F2146</f>
        <v>Secondary vegetation</v>
      </c>
      <c r="G2146" s="156" t="str">
        <f>'Reported burning'!G2146</f>
        <v>ND</v>
      </c>
      <c r="H2146" s="156" t="str">
        <f>'Reported burning'!H2146</f>
        <v>Presence</v>
      </c>
      <c r="I2146" s="5"/>
      <c r="J2146" s="205" t="s">
        <v>2276</v>
      </c>
      <c r="K2146" s="205" t="s">
        <v>2276</v>
      </c>
      <c r="L2146" s="205" t="s">
        <v>2276</v>
      </c>
      <c r="M2146" s="205" t="s">
        <v>2276</v>
      </c>
      <c r="N2146" s="205" t="s">
        <v>2276</v>
      </c>
      <c r="O2146" s="205" t="s">
        <v>2276</v>
      </c>
      <c r="P2146" s="205" t="s">
        <v>2276</v>
      </c>
      <c r="Q2146" s="205" t="s">
        <v>2276</v>
      </c>
      <c r="R2146" s="205" t="s">
        <v>2276</v>
      </c>
      <c r="S2146" s="205" t="s">
        <v>2276</v>
      </c>
      <c r="T2146" s="205" t="s">
        <v>2276</v>
      </c>
      <c r="U2146" s="205" t="s">
        <v>2276</v>
      </c>
      <c r="V2146" s="205" t="s">
        <v>2276</v>
      </c>
      <c r="W2146" s="21" t="s">
        <v>2404</v>
      </c>
      <c r="X2146" s="205" t="s">
        <v>2276</v>
      </c>
      <c r="Y2146" s="205" t="s">
        <v>2276</v>
      </c>
      <c r="Z2146" s="205" t="s">
        <v>2276</v>
      </c>
      <c r="AA2146" s="205"/>
      <c r="AB2146" s="4" t="s">
        <v>7059</v>
      </c>
    </row>
    <row r="2147" spans="1:28" s="204" customFormat="1" ht="65" customHeight="1">
      <c r="A2147" s="156" t="str">
        <f>'Reported burning'!A2147</f>
        <v>257b</v>
      </c>
      <c r="B2147" s="156" t="str">
        <f>'Reported burning'!B2147</f>
        <v>257b.1</v>
      </c>
      <c r="C2147" s="156" t="str">
        <f>'Reported burning'!C2147</f>
        <v>Human, deliberate</v>
      </c>
      <c r="D2147" s="156" t="str">
        <f>'Reported burning'!D2147</f>
        <v>Rangeland management</v>
      </c>
      <c r="E2147" s="156" t="str">
        <f>'Reported burning'!E2147</f>
        <v>Pastoralism, Migratory</v>
      </c>
      <c r="F2147" s="156" t="str">
        <f>'Reported burning'!F2147</f>
        <v>Shrubland (Mixed forest &amp; grassland)</v>
      </c>
      <c r="G2147" s="156" t="str">
        <f>'Reported burning'!G2147</f>
        <v>ND</v>
      </c>
      <c r="H2147" s="156" t="str">
        <f>'Reported burning'!H2147</f>
        <v>Presence</v>
      </c>
      <c r="I2147" s="5"/>
      <c r="J2147" s="205" t="s">
        <v>2276</v>
      </c>
      <c r="K2147" s="205" t="s">
        <v>2276</v>
      </c>
      <c r="L2147" s="205" t="s">
        <v>2276</v>
      </c>
      <c r="M2147" s="205" t="s">
        <v>2276</v>
      </c>
      <c r="N2147" s="205" t="s">
        <v>2276</v>
      </c>
      <c r="O2147" s="205" t="s">
        <v>2276</v>
      </c>
      <c r="P2147" s="205" t="s">
        <v>2276</v>
      </c>
      <c r="Q2147" s="205" t="s">
        <v>2276</v>
      </c>
      <c r="R2147" s="205" t="s">
        <v>2276</v>
      </c>
      <c r="S2147" s="205" t="s">
        <v>2276</v>
      </c>
      <c r="T2147" s="205" t="s">
        <v>2276</v>
      </c>
      <c r="U2147" s="205" t="s">
        <v>2276</v>
      </c>
      <c r="V2147" s="205" t="s">
        <v>2276</v>
      </c>
      <c r="W2147" s="21" t="s">
        <v>2375</v>
      </c>
      <c r="X2147" s="205" t="s">
        <v>68</v>
      </c>
      <c r="Y2147" s="205" t="s">
        <v>188</v>
      </c>
      <c r="Z2147" s="205" t="s">
        <v>2655</v>
      </c>
      <c r="AA2147" s="4" t="s">
        <v>7055</v>
      </c>
      <c r="AB2147" s="4" t="s">
        <v>7058</v>
      </c>
    </row>
    <row r="2148" spans="1:28" s="204" customFormat="1" ht="65" customHeight="1">
      <c r="A2148" s="156" t="str">
        <f>'Reported burning'!A2148</f>
        <v>257b</v>
      </c>
      <c r="B2148" s="156" t="str">
        <f>'Reported burning'!B2148</f>
        <v>257b.2</v>
      </c>
      <c r="C2148" s="156" t="str">
        <f>'Reported burning'!C2148</f>
        <v>Human, deliberate</v>
      </c>
      <c r="D2148" s="156" t="str">
        <f>'Reported burning'!D2148</f>
        <v>Crop field preparation</v>
      </c>
      <c r="E2148" s="156" t="str">
        <f>'Reported burning'!E2148</f>
        <v>Cropping, Swidden</v>
      </c>
      <c r="F2148" s="156" t="str">
        <f>'Reported burning'!F2148</f>
        <v>Secondary vegetation</v>
      </c>
      <c r="G2148" s="156" t="str">
        <f>'Reported burning'!G2148</f>
        <v>ND</v>
      </c>
      <c r="H2148" s="156" t="str">
        <f>'Reported burning'!H2148</f>
        <v>Presence</v>
      </c>
      <c r="I2148" s="5"/>
      <c r="J2148" s="205" t="s">
        <v>2276</v>
      </c>
      <c r="K2148" s="205" t="s">
        <v>2276</v>
      </c>
      <c r="L2148" s="205" t="s">
        <v>2276</v>
      </c>
      <c r="M2148" s="205" t="s">
        <v>2276</v>
      </c>
      <c r="N2148" s="205" t="s">
        <v>2276</v>
      </c>
      <c r="O2148" s="205" t="s">
        <v>2276</v>
      </c>
      <c r="P2148" s="205" t="s">
        <v>2276</v>
      </c>
      <c r="Q2148" s="205" t="s">
        <v>2276</v>
      </c>
      <c r="R2148" s="205" t="s">
        <v>2276</v>
      </c>
      <c r="S2148" s="205" t="s">
        <v>2276</v>
      </c>
      <c r="T2148" s="205" t="s">
        <v>2276</v>
      </c>
      <c r="U2148" s="205" t="s">
        <v>2276</v>
      </c>
      <c r="V2148" s="205" t="s">
        <v>2276</v>
      </c>
      <c r="W2148" s="205" t="s">
        <v>2276</v>
      </c>
      <c r="X2148" s="205" t="s">
        <v>2276</v>
      </c>
      <c r="Y2148" s="205" t="s">
        <v>2276</v>
      </c>
      <c r="Z2148" s="205" t="s">
        <v>2276</v>
      </c>
      <c r="AA2148" s="205"/>
      <c r="AB2148" s="205"/>
    </row>
    <row r="2149" spans="1:28" ht="46" customHeight="1">
      <c r="A2149" s="156" t="str">
        <f>'Reported burning'!A2149</f>
        <v>258a</v>
      </c>
      <c r="B2149" s="156" t="str">
        <f>'Reported burning'!B2149</f>
        <v>258a.1</v>
      </c>
      <c r="C2149" s="156" t="str">
        <f>'Reported burning'!C2149</f>
        <v>Lightning</v>
      </c>
      <c r="D2149" s="156" t="s">
        <v>2276</v>
      </c>
      <c r="E2149" s="156" t="str">
        <f>'Reported burning'!E2149</f>
        <v>ND</v>
      </c>
      <c r="F2149" s="156" t="str">
        <f>'Reported burning'!F2149</f>
        <v>ND</v>
      </c>
      <c r="G2149" s="156" t="str">
        <f>'Reported burning'!G2149</f>
        <v>Forest</v>
      </c>
      <c r="H2149" s="156" t="str">
        <f>'Reported burning'!H2149</f>
        <v>Presence</v>
      </c>
      <c r="I2149" s="3"/>
      <c r="J2149" s="21" t="s">
        <v>2276</v>
      </c>
      <c r="K2149" s="103"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6" t="str">
        <f>'Reported burning'!A2150</f>
        <v>258a</v>
      </c>
      <c r="B2150" s="156" t="str">
        <f>'Reported burning'!B2150</f>
        <v>258a.2</v>
      </c>
      <c r="C2150" s="156" t="str">
        <f>'Reported burning'!C2150</f>
        <v>Human, escaped</v>
      </c>
      <c r="D2150" s="156" t="str">
        <f>'Reported burning'!D2150</f>
        <v>Domestic</v>
      </c>
      <c r="E2150" s="156" t="str">
        <f>'Reported burning'!E2150</f>
        <v>Tourism manager</v>
      </c>
      <c r="F2150" s="156" t="str">
        <f>'Reported burning'!F2150</f>
        <v>ND</v>
      </c>
      <c r="G2150" s="156" t="str">
        <f>'Reported burning'!G2150</f>
        <v>Forest</v>
      </c>
      <c r="H2150" s="156" t="str">
        <f>'Reported burning'!H2150</f>
        <v>Presence</v>
      </c>
      <c r="I2150" s="3"/>
      <c r="J2150" s="21" t="s">
        <v>2276</v>
      </c>
      <c r="K2150" s="103"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4" customFormat="1" ht="46" customHeight="1">
      <c r="A2151" s="156" t="str">
        <f>'Reported burning'!A2151</f>
        <v>258a</v>
      </c>
      <c r="B2151" s="156" t="str">
        <f>'Reported burning'!B2151</f>
        <v>258a.3</v>
      </c>
      <c r="C2151" s="156" t="str">
        <f>'Reported burning'!C2151</f>
        <v>Human, deliberate</v>
      </c>
      <c r="D2151" s="156" t="str">
        <f>'Reported burning'!D2151</f>
        <v>Pyrome management</v>
      </c>
      <c r="E2151" s="156" t="str">
        <f>'Reported burning'!E2151</f>
        <v>Forestry, Industrial</v>
      </c>
      <c r="F2151" s="156" t="str">
        <f>'Reported burning'!F2151</f>
        <v>Forest</v>
      </c>
      <c r="G2151" s="156" t="str">
        <f>'Reported burning'!G2151</f>
        <v>Forest</v>
      </c>
      <c r="H2151" s="156" t="str">
        <f>'Reported burning'!H2151</f>
        <v>Presence</v>
      </c>
      <c r="I2151" s="205"/>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5"/>
      <c r="AB2151" s="205"/>
    </row>
    <row r="2152" spans="1:28" ht="46" customHeight="1">
      <c r="A2152" s="156" t="str">
        <f>'Reported burning'!A2152</f>
        <v>258a</v>
      </c>
      <c r="B2152" s="156" t="str">
        <f>'Reported burning'!B2152</f>
        <v>258a.4</v>
      </c>
      <c r="C2152" s="156" t="str">
        <f>'Reported burning'!C2152</f>
        <v>Human, deliberate</v>
      </c>
      <c r="D2152" s="156" t="str">
        <f>'Reported burning'!D2152</f>
        <v>Pyrome management</v>
      </c>
      <c r="E2152" s="156" t="str">
        <f>'Reported burning'!E2152</f>
        <v>Biodiversity conservation</v>
      </c>
      <c r="F2152" s="156" t="str">
        <f>'Reported burning'!F2152</f>
        <v>Forest</v>
      </c>
      <c r="G2152" s="156" t="str">
        <f>'Reported burning'!G2152</f>
        <v>Forest</v>
      </c>
      <c r="H2152" s="156" t="str">
        <f>'Reported burning'!H2152</f>
        <v>Presence</v>
      </c>
      <c r="I2152" s="3"/>
      <c r="J2152" s="21" t="s">
        <v>2276</v>
      </c>
      <c r="K2152" s="103"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6" t="str">
        <f>'Reported burning'!A2153</f>
        <v>258b</v>
      </c>
      <c r="B2153" s="156" t="str">
        <f>'Reported burning'!B2153</f>
        <v>258b.1</v>
      </c>
      <c r="C2153" s="156" t="str">
        <f>'Reported burning'!C2153</f>
        <v>Human, accidental</v>
      </c>
      <c r="D2153" s="156" t="str">
        <f>'Reported burning'!D2153</f>
        <v>Accidental</v>
      </c>
      <c r="E2153" s="156" t="str">
        <f>'Reported burning'!E2153</f>
        <v>Urban planner</v>
      </c>
      <c r="F2153" s="156" t="str">
        <f>'Reported burning'!F2153</f>
        <v>ND</v>
      </c>
      <c r="G2153" s="156" t="str">
        <f>'Reported burning'!G2153</f>
        <v>Forest</v>
      </c>
      <c r="H2153" s="156" t="str">
        <f>'Reported burning'!H2153</f>
        <v>Presence</v>
      </c>
      <c r="I2153" s="3"/>
      <c r="J2153" s="21" t="s">
        <v>2276</v>
      </c>
      <c r="K2153" s="103"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6189</v>
      </c>
      <c r="AB2153" s="3"/>
    </row>
    <row r="2154" spans="1:28" ht="46" customHeight="1">
      <c r="A2154" s="156" t="str">
        <f>'Reported burning'!A2154</f>
        <v>258b</v>
      </c>
      <c r="B2154" s="156" t="str">
        <f>'Reported burning'!B2154</f>
        <v>258b.2</v>
      </c>
      <c r="C2154" s="156" t="str">
        <f>'Reported burning'!C2154</f>
        <v>Human, accidental</v>
      </c>
      <c r="D2154" s="156" t="str">
        <f>'Reported burning'!D2154</f>
        <v>ND</v>
      </c>
      <c r="E2154" s="156" t="str">
        <f>'Reported burning'!E2154</f>
        <v>Tourism manager</v>
      </c>
      <c r="F2154" s="156" t="str">
        <f>'Reported burning'!F2154</f>
        <v>ND</v>
      </c>
      <c r="G2154" s="156" t="str">
        <f>'Reported burning'!G2154</f>
        <v>Forest</v>
      </c>
      <c r="H2154" s="156" t="str">
        <f>'Reported burning'!H2154</f>
        <v>Presence</v>
      </c>
      <c r="I2154" s="3"/>
      <c r="J2154" s="21" t="s">
        <v>2276</v>
      </c>
      <c r="K2154" s="103"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6189</v>
      </c>
      <c r="AB2154" s="3"/>
    </row>
    <row r="2155" spans="1:28" ht="46" customHeight="1">
      <c r="A2155" s="156" t="str">
        <f>'Reported burning'!A2155</f>
        <v>258b</v>
      </c>
      <c r="B2155" s="156" t="str">
        <f>'Reported burning'!B2155</f>
        <v>258b.3</v>
      </c>
      <c r="C2155" s="156" t="str">
        <f>'Reported burning'!C2155</f>
        <v>Human, deliberate</v>
      </c>
      <c r="D2155" s="156" t="str">
        <f>'Reported burning'!D2155</f>
        <v>Pyrome management</v>
      </c>
      <c r="E2155" s="156" t="str">
        <f>'Reported burning'!E2155</f>
        <v>Biodiversity conservation</v>
      </c>
      <c r="F2155" s="156" t="str">
        <f>'Reported burning'!F2155</f>
        <v>Forest</v>
      </c>
      <c r="G2155" s="156" t="str">
        <f>'Reported burning'!G2155</f>
        <v>Forest</v>
      </c>
      <c r="H2155" s="156" t="str">
        <f>'Reported burning'!H2155</f>
        <v>Presence</v>
      </c>
      <c r="I2155" s="3"/>
      <c r="J2155" s="21" t="s">
        <v>2276</v>
      </c>
      <c r="K2155" s="103"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6" t="str">
        <f>'Reported burning'!A2156</f>
        <v>258b</v>
      </c>
      <c r="B2156" s="156" t="str">
        <f>'Reported burning'!B2156</f>
        <v>258b.4</v>
      </c>
      <c r="C2156" s="156" t="str">
        <f>'Reported burning'!C2156</f>
        <v>Human, deliberate</v>
      </c>
      <c r="D2156" s="156" t="str">
        <f>'Reported burning'!D2156</f>
        <v>Pyrome management</v>
      </c>
      <c r="E2156" s="156" t="str">
        <f>'Reported burning'!E2156</f>
        <v>Forestry, Industrial</v>
      </c>
      <c r="F2156" s="156" t="str">
        <f>'Reported burning'!F2156</f>
        <v>Forest</v>
      </c>
      <c r="G2156" s="156" t="str">
        <f>'Reported burning'!G2156</f>
        <v>Forest</v>
      </c>
      <c r="H2156" s="156"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4" customFormat="1" ht="46" customHeight="1">
      <c r="A2157" s="156" t="str">
        <f>'Reported burning'!A2157</f>
        <v>258c</v>
      </c>
      <c r="B2157" s="156" t="str">
        <f>'Reported burning'!B2157</f>
        <v>258c.1</v>
      </c>
      <c r="C2157" s="156" t="str">
        <f>'Reported burning'!C2157</f>
        <v>Human, deliberate</v>
      </c>
      <c r="D2157" s="156" t="str">
        <f>'Reported burning'!D2157</f>
        <v>Pyrome management</v>
      </c>
      <c r="E2157" s="156" t="str">
        <f>'Reported burning'!E2157</f>
        <v>Biodiversity conservation</v>
      </c>
      <c r="F2157" s="156" t="str">
        <f>'Reported burning'!F2157</f>
        <v>Forest</v>
      </c>
      <c r="G2157" s="156" t="str">
        <f>'Reported burning'!G2157</f>
        <v>Forest</v>
      </c>
      <c r="H2157" s="156" t="str">
        <f>'Reported burning'!H2157</f>
        <v>Presence</v>
      </c>
      <c r="I2157" s="205"/>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5"/>
      <c r="AB2157" s="205"/>
    </row>
    <row r="2158" spans="1:28" s="204" customFormat="1" ht="46" customHeight="1">
      <c r="A2158" s="156" t="str">
        <f>'Reported burning'!A2158</f>
        <v>258c</v>
      </c>
      <c r="B2158" s="156" t="str">
        <f>'Reported burning'!B2158</f>
        <v>258c.2</v>
      </c>
      <c r="C2158" s="156" t="str">
        <f>'Reported burning'!C2158</f>
        <v>Human, deliberate</v>
      </c>
      <c r="D2158" s="156" t="str">
        <f>'Reported burning'!D2158</f>
        <v>Pyrome management</v>
      </c>
      <c r="E2158" s="156" t="str">
        <f>'Reported burning'!E2158</f>
        <v>Forestry, Industrial</v>
      </c>
      <c r="F2158" s="156" t="str">
        <f>'Reported burning'!F2158</f>
        <v>Forest</v>
      </c>
      <c r="G2158" s="156" t="str">
        <f>'Reported burning'!G2158</f>
        <v>Forest</v>
      </c>
      <c r="H2158" s="156" t="str">
        <f>'Reported burning'!H2158</f>
        <v>Presence</v>
      </c>
      <c r="I2158" s="205"/>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5"/>
      <c r="AB2158" s="205"/>
    </row>
    <row r="2159" spans="1:28" s="204" customFormat="1" ht="46" customHeight="1">
      <c r="A2159" s="156" t="str">
        <f>'Reported burning'!A2159</f>
        <v>258d</v>
      </c>
      <c r="B2159" s="156" t="str">
        <f>'Reported burning'!B2159</f>
        <v>258d.1</v>
      </c>
      <c r="C2159" s="156" t="str">
        <f>'Reported burning'!C2159</f>
        <v>Human, deliberate</v>
      </c>
      <c r="D2159" s="156" t="str">
        <f>'Reported burning'!D2159</f>
        <v>Pyrome management</v>
      </c>
      <c r="E2159" s="156" t="str">
        <f>'Reported burning'!E2159</f>
        <v>Biodiversity conservation</v>
      </c>
      <c r="F2159" s="156" t="str">
        <f>'Reported burning'!F2159</f>
        <v>Forest</v>
      </c>
      <c r="G2159" s="156" t="str">
        <f>'Reported burning'!G2159</f>
        <v>Forest</v>
      </c>
      <c r="H2159" s="156" t="str">
        <f>'Reported burning'!H2159</f>
        <v>Presence</v>
      </c>
      <c r="I2159" s="205"/>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5"/>
      <c r="AB2159" s="205"/>
    </row>
    <row r="2160" spans="1:28" s="204" customFormat="1" ht="46" customHeight="1">
      <c r="A2160" s="156" t="str">
        <f>'Reported burning'!A2160</f>
        <v>258d</v>
      </c>
      <c r="B2160" s="156" t="str">
        <f>'Reported burning'!B2160</f>
        <v>258d.2</v>
      </c>
      <c r="C2160" s="156" t="str">
        <f>'Reported burning'!C2160</f>
        <v>Human, deliberate</v>
      </c>
      <c r="D2160" s="156" t="str">
        <f>'Reported burning'!D2160</f>
        <v>Pyrome management</v>
      </c>
      <c r="E2160" s="156" t="str">
        <f>'Reported burning'!E2160</f>
        <v>Forestry, Industrial</v>
      </c>
      <c r="F2160" s="156" t="str">
        <f>'Reported burning'!F2160</f>
        <v>Forest</v>
      </c>
      <c r="G2160" s="156" t="str">
        <f>'Reported burning'!G2160</f>
        <v>Forest</v>
      </c>
      <c r="H2160" s="156" t="str">
        <f>'Reported burning'!H2160</f>
        <v>Presence</v>
      </c>
      <c r="I2160" s="205"/>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5"/>
      <c r="AB2160" s="205"/>
    </row>
    <row r="2161" spans="1:28" s="204" customFormat="1" ht="46" customHeight="1">
      <c r="A2161" s="156" t="str">
        <f>'Reported burning'!A2161</f>
        <v>258e</v>
      </c>
      <c r="B2161" s="156" t="str">
        <f>'Reported burning'!B2161</f>
        <v>258e.1</v>
      </c>
      <c r="C2161" s="156" t="str">
        <f>'Reported burning'!C2161</f>
        <v>Human, deliberate</v>
      </c>
      <c r="D2161" s="156" t="str">
        <f>'Reported burning'!D2161</f>
        <v>Pyrome management</v>
      </c>
      <c r="E2161" s="156" t="str">
        <f>'Reported burning'!E2161</f>
        <v>Biodiversity conservation</v>
      </c>
      <c r="F2161" s="156" t="str">
        <f>'Reported burning'!F2161</f>
        <v>Forest</v>
      </c>
      <c r="G2161" s="156" t="str">
        <f>'Reported burning'!G2161</f>
        <v>Forest</v>
      </c>
      <c r="H2161" s="156" t="str">
        <f>'Reported burning'!H2161</f>
        <v>Presence</v>
      </c>
      <c r="I2161" s="205"/>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5"/>
      <c r="AB2161" s="205"/>
    </row>
    <row r="2162" spans="1:28" s="204" customFormat="1" ht="46" customHeight="1">
      <c r="A2162" s="156" t="str">
        <f>'Reported burning'!A2162</f>
        <v>258e</v>
      </c>
      <c r="B2162" s="156" t="str">
        <f>'Reported burning'!B2162</f>
        <v>258e.2</v>
      </c>
      <c r="C2162" s="156" t="str">
        <f>'Reported burning'!C2162</f>
        <v>Human, deliberate</v>
      </c>
      <c r="D2162" s="156" t="str">
        <f>'Reported burning'!D2162</f>
        <v>Pyrome management</v>
      </c>
      <c r="E2162" s="156" t="str">
        <f>'Reported burning'!E2162</f>
        <v>Forestry, Industrial</v>
      </c>
      <c r="F2162" s="156" t="str">
        <f>'Reported burning'!F2162</f>
        <v>Forest</v>
      </c>
      <c r="G2162" s="156" t="str">
        <f>'Reported burning'!G2162</f>
        <v>Forest</v>
      </c>
      <c r="H2162" s="156" t="str">
        <f>'Reported burning'!H2162</f>
        <v>Presence</v>
      </c>
      <c r="I2162" s="205"/>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5"/>
      <c r="AB2162" s="205"/>
    </row>
    <row r="2163" spans="1:28" ht="46" customHeight="1">
      <c r="A2163" s="156" t="str">
        <f>'Reported burning'!A2163</f>
        <v>259a</v>
      </c>
      <c r="B2163" s="156" t="str">
        <f>'Reported burning'!B2163</f>
        <v>259a.1</v>
      </c>
      <c r="C2163" s="156" t="str">
        <f>'Reported burning'!C2163</f>
        <v>Unknown</v>
      </c>
      <c r="D2163" s="156" t="str">
        <f>'Reported burning'!D2163</f>
        <v>ND</v>
      </c>
      <c r="E2163" s="156" t="str">
        <f>'Reported burning'!E2163</f>
        <v>ND</v>
      </c>
      <c r="F2163" s="156" t="str">
        <f>'Reported burning'!F2163</f>
        <v>ND</v>
      </c>
      <c r="G2163" s="156" t="str">
        <f>'Reported burning'!G2163</f>
        <v>Shrubland (Mixed forest &amp; grassland)</v>
      </c>
      <c r="H2163" s="156" t="str">
        <f>'Reported burning'!H2163</f>
        <v>Presence</v>
      </c>
      <c r="I2163" s="3">
        <v>2007</v>
      </c>
      <c r="J2163" s="21" t="s">
        <v>2276</v>
      </c>
      <c r="K2163" s="103"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6736</v>
      </c>
    </row>
    <row r="2164" spans="1:28" s="204" customFormat="1" ht="46" customHeight="1">
      <c r="A2164" s="156" t="str">
        <f>'Reported burning'!A2164</f>
        <v>259a</v>
      </c>
      <c r="B2164" s="156" t="str">
        <f>'Reported burning'!B2164</f>
        <v>259a.2</v>
      </c>
      <c r="C2164" s="156" t="str">
        <f>'Reported burning'!C2164</f>
        <v>Unknown</v>
      </c>
      <c r="D2164" s="156" t="str">
        <f>'Reported burning'!D2164</f>
        <v>ND</v>
      </c>
      <c r="E2164" s="156" t="str">
        <f>'Reported burning'!E2164</f>
        <v>ND</v>
      </c>
      <c r="F2164" s="156" t="str">
        <f>'Reported burning'!F2164</f>
        <v>ND</v>
      </c>
      <c r="G2164" s="156" t="str">
        <f>'Reported burning'!G2164</f>
        <v>Shrubland (Mixed forest &amp; grassland)</v>
      </c>
      <c r="H2164" s="156" t="str">
        <f>'Reported burning'!H2164</f>
        <v>Presence</v>
      </c>
      <c r="I2164" s="205">
        <v>2000</v>
      </c>
      <c r="J2164" s="21" t="s">
        <v>2276</v>
      </c>
      <c r="K2164" s="103"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5" t="s">
        <v>34</v>
      </c>
      <c r="Y2164" s="205" t="s">
        <v>405</v>
      </c>
      <c r="Z2164" s="205" t="s">
        <v>2276</v>
      </c>
      <c r="AA2164" s="205"/>
      <c r="AB2164" s="4" t="s">
        <v>6736</v>
      </c>
    </row>
    <row r="2165" spans="1:28" s="204" customFormat="1" ht="46" customHeight="1">
      <c r="A2165" s="156" t="str">
        <f>'Reported burning'!A2165</f>
        <v>259a</v>
      </c>
      <c r="B2165" s="156" t="str">
        <f>'Reported burning'!B2165</f>
        <v>259a.3</v>
      </c>
      <c r="C2165" s="156" t="str">
        <f>'Reported burning'!C2165</f>
        <v>Unknown</v>
      </c>
      <c r="D2165" s="156" t="str">
        <f>'Reported burning'!D2165</f>
        <v>ND</v>
      </c>
      <c r="E2165" s="156" t="str">
        <f>'Reported burning'!E2165</f>
        <v>ND</v>
      </c>
      <c r="F2165" s="156" t="str">
        <f>'Reported burning'!F2165</f>
        <v>ND</v>
      </c>
      <c r="G2165" s="156" t="str">
        <f>'Reported burning'!G2165</f>
        <v>Shrubland (Mixed forest &amp; grassland)</v>
      </c>
      <c r="H2165" s="156" t="str">
        <f>'Reported burning'!H2165</f>
        <v>Presence</v>
      </c>
      <c r="I2165" s="205">
        <v>2001</v>
      </c>
      <c r="J2165" s="21" t="s">
        <v>2276</v>
      </c>
      <c r="K2165" s="103"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5" t="s">
        <v>34</v>
      </c>
      <c r="Y2165" s="205" t="s">
        <v>405</v>
      </c>
      <c r="Z2165" s="205" t="s">
        <v>2276</v>
      </c>
      <c r="AA2165" s="205"/>
      <c r="AB2165" s="4" t="s">
        <v>6736</v>
      </c>
    </row>
    <row r="2166" spans="1:28" s="204" customFormat="1" ht="46" customHeight="1">
      <c r="A2166" s="156" t="str">
        <f>'Reported burning'!A2166</f>
        <v>259a</v>
      </c>
      <c r="B2166" s="156" t="str">
        <f>'Reported burning'!B2166</f>
        <v>259a.4</v>
      </c>
      <c r="C2166" s="156" t="str">
        <f>'Reported burning'!C2166</f>
        <v>Unknown</v>
      </c>
      <c r="D2166" s="156" t="str">
        <f>'Reported burning'!D2166</f>
        <v>ND</v>
      </c>
      <c r="E2166" s="156" t="str">
        <f>'Reported burning'!E2166</f>
        <v>ND</v>
      </c>
      <c r="F2166" s="156" t="str">
        <f>'Reported burning'!F2166</f>
        <v>ND</v>
      </c>
      <c r="G2166" s="156" t="str">
        <f>'Reported burning'!G2166</f>
        <v>Shrubland (Mixed forest &amp; grassland)</v>
      </c>
      <c r="H2166" s="156" t="str">
        <f>'Reported burning'!H2166</f>
        <v>Presence</v>
      </c>
      <c r="I2166" s="205">
        <v>2002</v>
      </c>
      <c r="J2166" s="21" t="s">
        <v>2276</v>
      </c>
      <c r="K2166" s="103"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5" t="s">
        <v>34</v>
      </c>
      <c r="Y2166" s="205" t="s">
        <v>405</v>
      </c>
      <c r="Z2166" s="205" t="s">
        <v>2276</v>
      </c>
      <c r="AA2166" s="205"/>
      <c r="AB2166" s="4" t="s">
        <v>6736</v>
      </c>
    </row>
    <row r="2167" spans="1:28" s="204" customFormat="1" ht="46" customHeight="1">
      <c r="A2167" s="156" t="str">
        <f>'Reported burning'!A2167</f>
        <v>259a</v>
      </c>
      <c r="B2167" s="156" t="str">
        <f>'Reported burning'!B2167</f>
        <v>259a.5</v>
      </c>
      <c r="C2167" s="156" t="str">
        <f>'Reported burning'!C2167</f>
        <v>Unknown</v>
      </c>
      <c r="D2167" s="156" t="str">
        <f>'Reported burning'!D2167</f>
        <v>ND</v>
      </c>
      <c r="E2167" s="156" t="str">
        <f>'Reported burning'!E2167</f>
        <v>ND</v>
      </c>
      <c r="F2167" s="156" t="str">
        <f>'Reported burning'!F2167</f>
        <v>ND</v>
      </c>
      <c r="G2167" s="156" t="str">
        <f>'Reported burning'!G2167</f>
        <v>Shrubland (Mixed forest &amp; grassland)</v>
      </c>
      <c r="H2167" s="156" t="str">
        <f>'Reported burning'!H2167</f>
        <v>Presence</v>
      </c>
      <c r="I2167" s="205">
        <v>2003</v>
      </c>
      <c r="J2167" s="21" t="s">
        <v>2276</v>
      </c>
      <c r="K2167" s="103"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5" t="s">
        <v>34</v>
      </c>
      <c r="Y2167" s="205" t="s">
        <v>405</v>
      </c>
      <c r="Z2167" s="205" t="s">
        <v>2276</v>
      </c>
      <c r="AA2167" s="205"/>
      <c r="AB2167" s="4" t="s">
        <v>6736</v>
      </c>
    </row>
    <row r="2168" spans="1:28" s="204" customFormat="1" ht="46" customHeight="1">
      <c r="A2168" s="156" t="str">
        <f>'Reported burning'!A2168</f>
        <v>259a</v>
      </c>
      <c r="B2168" s="156" t="str">
        <f>'Reported burning'!B2168</f>
        <v>259a.6</v>
      </c>
      <c r="C2168" s="156" t="str">
        <f>'Reported burning'!C2168</f>
        <v>Unknown</v>
      </c>
      <c r="D2168" s="156" t="str">
        <f>'Reported burning'!D2168</f>
        <v>ND</v>
      </c>
      <c r="E2168" s="156" t="str">
        <f>'Reported burning'!E2168</f>
        <v>ND</v>
      </c>
      <c r="F2168" s="156" t="str">
        <f>'Reported burning'!F2168</f>
        <v>ND</v>
      </c>
      <c r="G2168" s="156" t="str">
        <f>'Reported burning'!G2168</f>
        <v>Shrubland (Mixed forest &amp; grassland)</v>
      </c>
      <c r="H2168" s="156" t="str">
        <f>'Reported burning'!H2168</f>
        <v>Presence</v>
      </c>
      <c r="I2168" s="205">
        <v>2004</v>
      </c>
      <c r="J2168" s="21" t="s">
        <v>2276</v>
      </c>
      <c r="K2168" s="103"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5" t="s">
        <v>34</v>
      </c>
      <c r="Y2168" s="205" t="s">
        <v>405</v>
      </c>
      <c r="Z2168" s="205" t="s">
        <v>2276</v>
      </c>
      <c r="AA2168" s="205"/>
      <c r="AB2168" s="4" t="s">
        <v>6736</v>
      </c>
    </row>
    <row r="2169" spans="1:28" s="204" customFormat="1" ht="46" customHeight="1">
      <c r="A2169" s="156" t="str">
        <f>'Reported burning'!A2169</f>
        <v>259a</v>
      </c>
      <c r="B2169" s="156" t="str">
        <f>'Reported burning'!B2169</f>
        <v>259a.7</v>
      </c>
      <c r="C2169" s="156" t="str">
        <f>'Reported burning'!C2169</f>
        <v>Unknown</v>
      </c>
      <c r="D2169" s="156" t="str">
        <f>'Reported burning'!D2169</f>
        <v>ND</v>
      </c>
      <c r="E2169" s="156" t="str">
        <f>'Reported burning'!E2169</f>
        <v>ND</v>
      </c>
      <c r="F2169" s="156" t="str">
        <f>'Reported burning'!F2169</f>
        <v>ND</v>
      </c>
      <c r="G2169" s="156" t="str">
        <f>'Reported burning'!G2169</f>
        <v>Shrubland (Mixed forest &amp; grassland)</v>
      </c>
      <c r="H2169" s="156" t="str">
        <f>'Reported burning'!H2169</f>
        <v>Presence</v>
      </c>
      <c r="I2169" s="205">
        <v>2005</v>
      </c>
      <c r="J2169" s="21" t="s">
        <v>2276</v>
      </c>
      <c r="K2169" s="103"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5" t="s">
        <v>34</v>
      </c>
      <c r="Y2169" s="205" t="s">
        <v>405</v>
      </c>
      <c r="Z2169" s="205" t="s">
        <v>2276</v>
      </c>
      <c r="AA2169" s="205"/>
      <c r="AB2169" s="4" t="s">
        <v>6736</v>
      </c>
    </row>
    <row r="2170" spans="1:28" s="204" customFormat="1" ht="46" customHeight="1">
      <c r="A2170" s="156" t="str">
        <f>'Reported burning'!A2170</f>
        <v>259a</v>
      </c>
      <c r="B2170" s="156" t="str">
        <f>'Reported burning'!B2170</f>
        <v>259a.8</v>
      </c>
      <c r="C2170" s="156" t="str">
        <f>'Reported burning'!C2170</f>
        <v>Unknown</v>
      </c>
      <c r="D2170" s="156" t="str">
        <f>'Reported burning'!D2170</f>
        <v>ND</v>
      </c>
      <c r="E2170" s="156" t="str">
        <f>'Reported burning'!E2170</f>
        <v>ND</v>
      </c>
      <c r="F2170" s="156" t="str">
        <f>'Reported burning'!F2170</f>
        <v>ND</v>
      </c>
      <c r="G2170" s="156" t="str">
        <f>'Reported burning'!G2170</f>
        <v>Shrubland (Mixed forest &amp; grassland)</v>
      </c>
      <c r="H2170" s="156" t="str">
        <f>'Reported burning'!H2170</f>
        <v>Presence</v>
      </c>
      <c r="I2170" s="205">
        <v>2006</v>
      </c>
      <c r="J2170" s="21" t="s">
        <v>2276</v>
      </c>
      <c r="K2170" s="103"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5" t="s">
        <v>34</v>
      </c>
      <c r="Y2170" s="205" t="s">
        <v>405</v>
      </c>
      <c r="Z2170" s="205" t="s">
        <v>2276</v>
      </c>
      <c r="AA2170" s="205"/>
      <c r="AB2170" s="4" t="s">
        <v>6736</v>
      </c>
    </row>
    <row r="2171" spans="1:28" ht="46" customHeight="1">
      <c r="A2171" s="156" t="str">
        <f>'Reported burning'!A2171</f>
        <v>260a</v>
      </c>
      <c r="B2171" s="156" t="str">
        <f>'Reported burning'!B2171</f>
        <v>260a.1</v>
      </c>
      <c r="C2171" s="156" t="str">
        <f>'Reported burning'!C2171</f>
        <v>All</v>
      </c>
      <c r="D2171" s="156" t="str">
        <f>'Reported burning'!D2171</f>
        <v>All</v>
      </c>
      <c r="E2171" s="156" t="str">
        <f>'Reported burning'!E2171</f>
        <v>All</v>
      </c>
      <c r="F2171" s="156" t="str">
        <f>'Reported burning'!F2171</f>
        <v>ND</v>
      </c>
      <c r="G2171" s="156" t="str">
        <f>'Reported burning'!G2171</f>
        <v>ND</v>
      </c>
      <c r="H2171" s="156" t="str">
        <f>'Reported burning'!H2171</f>
        <v>Presence</v>
      </c>
      <c r="I2171" s="4">
        <v>2003</v>
      </c>
      <c r="J2171" s="21" t="s">
        <v>2276</v>
      </c>
      <c r="K2171" s="103"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6744</v>
      </c>
    </row>
    <row r="2172" spans="1:28" ht="52.5" customHeight="1">
      <c r="A2172" s="156" t="str">
        <f>'Reported burning'!A2172</f>
        <v>260a</v>
      </c>
      <c r="B2172" s="156" t="str">
        <f>'Reported burning'!B2172</f>
        <v>260a.2</v>
      </c>
      <c r="C2172" s="156" t="str">
        <f>'Reported burning'!C2173</f>
        <v>All</v>
      </c>
      <c r="D2172" s="156" t="str">
        <f>'Reported burning'!D2173</f>
        <v>All</v>
      </c>
      <c r="E2172" s="156" t="str">
        <f>'Reported burning'!E2173</f>
        <v>All</v>
      </c>
      <c r="F2172" s="156" t="str">
        <f>'Reported burning'!F2173</f>
        <v>ND</v>
      </c>
      <c r="G2172" s="156" t="str">
        <f>'Reported burning'!G2173</f>
        <v>Forest</v>
      </c>
      <c r="H2172" s="156" t="str">
        <f>'Reported burning'!H2173</f>
        <v>Presence</v>
      </c>
      <c r="I2172" s="4">
        <v>2003</v>
      </c>
      <c r="J2172" s="21" t="s">
        <v>2276</v>
      </c>
      <c r="K2172" s="103"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6744</v>
      </c>
    </row>
    <row r="2173" spans="1:28" s="204" customFormat="1" ht="48.5" customHeight="1">
      <c r="A2173" s="156" t="str">
        <f>'Reported burning'!A2173</f>
        <v>260a</v>
      </c>
      <c r="B2173" s="156" t="str">
        <f>'Reported burning'!B2173</f>
        <v>260a.3</v>
      </c>
      <c r="C2173" s="156" t="str">
        <f>'Reported burning'!C2173</f>
        <v>All</v>
      </c>
      <c r="D2173" s="156" t="str">
        <f>'Reported burning'!D2173</f>
        <v>All</v>
      </c>
      <c r="E2173" s="156" t="str">
        <f>'Reported burning'!E2173</f>
        <v>All</v>
      </c>
      <c r="F2173" s="156" t="str">
        <f>'Reported burning'!F2173</f>
        <v>ND</v>
      </c>
      <c r="G2173" s="156" t="str">
        <f>'Reported burning'!G2173</f>
        <v>Forest</v>
      </c>
      <c r="H2173" s="156" t="str">
        <f>'Reported burning'!H2173</f>
        <v>Presence</v>
      </c>
      <c r="I2173" s="4">
        <v>2005</v>
      </c>
      <c r="J2173" s="21" t="s">
        <v>2276</v>
      </c>
      <c r="K2173" s="103"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6745</v>
      </c>
    </row>
    <row r="2174" spans="1:28" s="204" customFormat="1" ht="48" customHeight="1">
      <c r="A2174" s="156" t="str">
        <f>'Reported burning'!A2174</f>
        <v>260a</v>
      </c>
      <c r="B2174" s="156" t="str">
        <f>'Reported burning'!B2174</f>
        <v>260a.4</v>
      </c>
      <c r="C2174" s="156" t="str">
        <f>'Reported burning'!C2175</f>
        <v>All</v>
      </c>
      <c r="D2174" s="156" t="str">
        <f>'Reported burning'!D2175</f>
        <v>All</v>
      </c>
      <c r="E2174" s="156" t="str">
        <f>'Reported burning'!E2175</f>
        <v>All</v>
      </c>
      <c r="F2174" s="156" t="str">
        <f>'Reported burning'!F2175</f>
        <v>ND</v>
      </c>
      <c r="G2174" s="156" t="str">
        <f>'Reported burning'!G2175</f>
        <v>ND</v>
      </c>
      <c r="H2174" s="156" t="str">
        <f>'Reported burning'!H2175</f>
        <v>Presence</v>
      </c>
      <c r="I2174" s="4">
        <v>2002</v>
      </c>
      <c r="J2174" s="21" t="s">
        <v>2276</v>
      </c>
      <c r="K2174" s="103"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6745</v>
      </c>
    </row>
    <row r="2175" spans="1:28" s="204" customFormat="1" ht="52.5" customHeight="1">
      <c r="A2175" s="156" t="str">
        <f>'Reported burning'!A2175</f>
        <v>260a</v>
      </c>
      <c r="B2175" s="156" t="str">
        <f>'Reported burning'!B2175</f>
        <v>260a.5</v>
      </c>
      <c r="C2175" s="156" t="str">
        <f>'Reported burning'!C2175</f>
        <v>All</v>
      </c>
      <c r="D2175" s="156" t="str">
        <f>'Reported burning'!D2175</f>
        <v>All</v>
      </c>
      <c r="E2175" s="156" t="str">
        <f>'Reported burning'!E2175</f>
        <v>All</v>
      </c>
      <c r="F2175" s="156" t="str">
        <f>'Reported burning'!F2175</f>
        <v>ND</v>
      </c>
      <c r="G2175" s="156" t="str">
        <f>'Reported burning'!G2175</f>
        <v>ND</v>
      </c>
      <c r="H2175" s="156" t="str">
        <f>'Reported burning'!H2175</f>
        <v>Presence</v>
      </c>
      <c r="I2175" s="4">
        <v>2006</v>
      </c>
      <c r="J2175" s="21" t="s">
        <v>2276</v>
      </c>
      <c r="K2175" s="103"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6745</v>
      </c>
    </row>
    <row r="2176" spans="1:28" s="204" customFormat="1" ht="46" customHeight="1">
      <c r="A2176" s="156" t="str">
        <f>'Reported burning'!A2176</f>
        <v>260a</v>
      </c>
      <c r="B2176" s="156" t="str">
        <f>'Reported burning'!B2176</f>
        <v>260a.6</v>
      </c>
      <c r="C2176" s="156" t="str">
        <f>'Reported burning'!C2177</f>
        <v>Human, deliberate</v>
      </c>
      <c r="D2176" s="156" t="str">
        <f>'Reported burning'!D2177</f>
        <v>Arson</v>
      </c>
      <c r="E2176" s="156" t="str">
        <f>'Reported burning'!E2177</f>
        <v>ND</v>
      </c>
      <c r="F2176" s="156" t="str">
        <f>'Reported burning'!F2177</f>
        <v>ND</v>
      </c>
      <c r="G2176" s="156" t="str">
        <f>'Reported burning'!G2177</f>
        <v>ND</v>
      </c>
      <c r="H2176" s="156" t="str">
        <f>'Reported burning'!H2177</f>
        <v>Presence</v>
      </c>
      <c r="I2176" s="205"/>
      <c r="J2176" s="21" t="s">
        <v>2276</v>
      </c>
      <c r="K2176" s="103" t="s">
        <v>2276</v>
      </c>
      <c r="L2176" s="103" t="s">
        <v>2276</v>
      </c>
      <c r="M2176" s="103" t="s">
        <v>2276</v>
      </c>
      <c r="N2176" s="103" t="s">
        <v>2276</v>
      </c>
      <c r="O2176" s="103" t="s">
        <v>2276</v>
      </c>
      <c r="P2176" s="103" t="s">
        <v>2276</v>
      </c>
      <c r="Q2176" s="103" t="s">
        <v>2276</v>
      </c>
      <c r="R2176" s="103" t="s">
        <v>2276</v>
      </c>
      <c r="S2176" s="103" t="s">
        <v>2276</v>
      </c>
      <c r="T2176" s="103" t="s">
        <v>2276</v>
      </c>
      <c r="U2176" s="103" t="s">
        <v>2276</v>
      </c>
      <c r="V2176" s="103" t="s">
        <v>2276</v>
      </c>
      <c r="W2176" s="103" t="s">
        <v>2276</v>
      </c>
      <c r="X2176" s="103" t="s">
        <v>2276</v>
      </c>
      <c r="Y2176" s="103" t="s">
        <v>2276</v>
      </c>
      <c r="Z2176" s="103" t="s">
        <v>2276</v>
      </c>
      <c r="AA2176" s="4"/>
      <c r="AB2176" s="205"/>
    </row>
    <row r="2177" spans="1:28" ht="46" customHeight="1">
      <c r="A2177" s="156" t="str">
        <f>'Reported burning'!A2177</f>
        <v>260b</v>
      </c>
      <c r="B2177" s="156" t="str">
        <f>'Reported burning'!B2177</f>
        <v>260b.1</v>
      </c>
      <c r="C2177" s="156" t="str">
        <f>'Reported burning'!C2177</f>
        <v>Human, deliberate</v>
      </c>
      <c r="D2177" s="156" t="str">
        <f>'Reported burning'!D2177</f>
        <v>Arson</v>
      </c>
      <c r="E2177" s="156" t="str">
        <f>'Reported burning'!E2177</f>
        <v>ND</v>
      </c>
      <c r="F2177" s="156" t="str">
        <f>'Reported burning'!F2177</f>
        <v>ND</v>
      </c>
      <c r="G2177" s="156" t="str">
        <f>'Reported burning'!G2177</f>
        <v>ND</v>
      </c>
      <c r="H2177" s="156" t="str">
        <f>'Reported burning'!H2177</f>
        <v>Presence</v>
      </c>
      <c r="I2177" s="3"/>
      <c r="J2177" s="21" t="s">
        <v>2276</v>
      </c>
      <c r="K2177" s="103"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5" t="s">
        <v>64</v>
      </c>
      <c r="AA2177" s="3"/>
      <c r="AB2177" s="3"/>
    </row>
    <row r="2178" spans="1:28" s="204" customFormat="1" ht="46" customHeight="1">
      <c r="A2178" s="156" t="str">
        <f>'Reported burning'!A2178</f>
        <v>260b</v>
      </c>
      <c r="B2178" s="156" t="str">
        <f>'Reported burning'!B2178</f>
        <v>260b.2</v>
      </c>
      <c r="C2178" s="156" t="str">
        <f>'Reported burning'!C2178</f>
        <v>All</v>
      </c>
      <c r="D2178" s="156" t="str">
        <f>'Reported burning'!D2178</f>
        <v>All</v>
      </c>
      <c r="E2178" s="156" t="str">
        <f>'Reported burning'!E2178</f>
        <v>All</v>
      </c>
      <c r="F2178" s="156" t="str">
        <f>'Reported burning'!F2178</f>
        <v>ND</v>
      </c>
      <c r="G2178" s="156" t="str">
        <f>'Reported burning'!G2178</f>
        <v>ND</v>
      </c>
      <c r="H2178" s="156" t="str">
        <f>'Reported burning'!H2178</f>
        <v>Presence</v>
      </c>
      <c r="I2178" s="205"/>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5" t="s">
        <v>64</v>
      </c>
      <c r="AA2178" s="205"/>
      <c r="AB2178" s="205"/>
    </row>
    <row r="2179" spans="1:28" s="204" customFormat="1" ht="46" customHeight="1">
      <c r="A2179" s="156" t="str">
        <f>'Reported burning'!A2179</f>
        <v>260c</v>
      </c>
      <c r="B2179" s="156" t="str">
        <f>'Reported burning'!B2179</f>
        <v>260c.1</v>
      </c>
      <c r="C2179" s="156" t="str">
        <f>'Reported burning'!C2179</f>
        <v>All</v>
      </c>
      <c r="D2179" s="156" t="str">
        <f>'Reported burning'!D2179</f>
        <v>All</v>
      </c>
      <c r="E2179" s="156" t="str">
        <f>'Reported burning'!E2179</f>
        <v>All</v>
      </c>
      <c r="F2179" s="156" t="str">
        <f>'Reported burning'!F2179</f>
        <v>ND</v>
      </c>
      <c r="G2179" s="156" t="str">
        <f>'Reported burning'!G2179</f>
        <v>ND</v>
      </c>
      <c r="H2179" s="156" t="str">
        <f>'Reported burning'!H2179</f>
        <v>Presence</v>
      </c>
      <c r="I2179" s="205"/>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5"/>
      <c r="AB2179" s="205"/>
    </row>
    <row r="2180" spans="1:28" ht="46" customHeight="1">
      <c r="A2180" s="156" t="str">
        <f>'Reported burning'!A2180</f>
        <v>260d</v>
      </c>
      <c r="B2180" s="156" t="str">
        <f>'Reported burning'!B2180</f>
        <v>260d.1</v>
      </c>
      <c r="C2180" s="156" t="str">
        <f>'Reported burning'!C2180</f>
        <v>All</v>
      </c>
      <c r="D2180" s="156" t="str">
        <f>'Reported burning'!D2180</f>
        <v>All</v>
      </c>
      <c r="E2180" s="156" t="str">
        <f>'Reported burning'!E2180</f>
        <v>All</v>
      </c>
      <c r="F2180" s="156" t="str">
        <f>'Reported burning'!F2180</f>
        <v>ND</v>
      </c>
      <c r="G2180" s="156" t="str">
        <f>'Reported burning'!G2180</f>
        <v>ND</v>
      </c>
      <c r="H2180" s="156" t="str">
        <f>'Reported burning'!H2180</f>
        <v>Presence</v>
      </c>
      <c r="I2180" s="3"/>
      <c r="J2180" s="21" t="s">
        <v>2276</v>
      </c>
      <c r="K2180" s="103"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6752</v>
      </c>
      <c r="AB2180" s="3"/>
    </row>
    <row r="2181" spans="1:28" ht="46" customHeight="1">
      <c r="A2181" s="156" t="str">
        <f>'Reported burning'!A2181</f>
        <v>261a</v>
      </c>
      <c r="B2181" s="156" t="str">
        <f>'Reported burning'!B2181</f>
        <v>261a.1</v>
      </c>
      <c r="C2181" s="156" t="str">
        <f>'Reported burning'!C2181</f>
        <v>All</v>
      </c>
      <c r="D2181" s="156" t="str">
        <f>'Reported burning'!D2181</f>
        <v>All</v>
      </c>
      <c r="E2181" s="156" t="str">
        <f>'Reported burning'!E2181</f>
        <v>All</v>
      </c>
      <c r="F2181" s="156" t="str">
        <f>'Reported burning'!F2181</f>
        <v>ND</v>
      </c>
      <c r="G2181" s="156" t="str">
        <f>'Reported burning'!G2181</f>
        <v>Shrubland (Mixed forest &amp; grassland)</v>
      </c>
      <c r="H2181" s="156" t="str">
        <f>'Reported burning'!H2181</f>
        <v>Presence</v>
      </c>
      <c r="I2181" s="3"/>
      <c r="J2181" s="21" t="s">
        <v>2368</v>
      </c>
      <c r="K2181" s="103"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6188</v>
      </c>
      <c r="AB2181" s="3"/>
    </row>
    <row r="2182" spans="1:28" ht="46" customHeight="1">
      <c r="A2182" s="156" t="str">
        <f>'Reported burning'!A2182</f>
        <v>261b</v>
      </c>
      <c r="B2182" s="156" t="str">
        <f>'Reported burning'!B2182</f>
        <v>261b.1</v>
      </c>
      <c r="C2182" s="156" t="str">
        <f>'Reported burning'!C2182</f>
        <v>All</v>
      </c>
      <c r="D2182" s="156" t="str">
        <f>'Reported burning'!D2182</f>
        <v>All</v>
      </c>
      <c r="E2182" s="156" t="str">
        <f>'Reported burning'!E2182</f>
        <v>All</v>
      </c>
      <c r="F2182" s="156" t="str">
        <f>'Reported burning'!F2182</f>
        <v>ND</v>
      </c>
      <c r="G2182" s="156" t="str">
        <f>'Reported burning'!G2182</f>
        <v>Shrubland (Mixed forest &amp; grassland)</v>
      </c>
      <c r="H2182" s="156" t="str">
        <f>'Reported burning'!H2182</f>
        <v>Presence</v>
      </c>
      <c r="I2182" s="3"/>
      <c r="J2182" s="21" t="s">
        <v>2368</v>
      </c>
      <c r="K2182" s="103"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6188</v>
      </c>
      <c r="AB2182" s="3"/>
    </row>
    <row r="2183" spans="1:28" ht="46" customHeight="1">
      <c r="A2183" s="156" t="str">
        <f>'Reported burning'!A2183</f>
        <v>261c</v>
      </c>
      <c r="B2183" s="156" t="str">
        <f>'Reported burning'!B2183</f>
        <v>261c.1</v>
      </c>
      <c r="C2183" s="156" t="str">
        <f>'Reported burning'!C2183</f>
        <v>All</v>
      </c>
      <c r="D2183" s="156" t="str">
        <f>'Reported burning'!D2183</f>
        <v>All</v>
      </c>
      <c r="E2183" s="156" t="str">
        <f>'Reported burning'!E2183</f>
        <v>All</v>
      </c>
      <c r="F2183" s="156" t="str">
        <f>'Reported burning'!F2183</f>
        <v>ND</v>
      </c>
      <c r="G2183" s="156" t="str">
        <f>'Reported burning'!G2183</f>
        <v>Shrubland (Mixed forest &amp; grassland)</v>
      </c>
      <c r="H2183" s="156" t="str">
        <f>'Reported burning'!H2183</f>
        <v>Presence</v>
      </c>
      <c r="I2183" s="3"/>
      <c r="J2183" s="21" t="s">
        <v>2367</v>
      </c>
      <c r="K2183" s="103"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6188</v>
      </c>
      <c r="AB2183" s="3"/>
    </row>
    <row r="2184" spans="1:28" ht="46" customHeight="1">
      <c r="A2184" s="156" t="str">
        <f>'Reported burning'!A2184</f>
        <v>261d</v>
      </c>
      <c r="B2184" s="156" t="str">
        <f>'Reported burning'!B2184</f>
        <v>261d.1</v>
      </c>
      <c r="C2184" s="156" t="str">
        <f>'Reported burning'!C2184</f>
        <v>All</v>
      </c>
      <c r="D2184" s="156" t="str">
        <f>'Reported burning'!D2184</f>
        <v>All</v>
      </c>
      <c r="E2184" s="156" t="str">
        <f>'Reported burning'!E2184</f>
        <v>All</v>
      </c>
      <c r="F2184" s="156" t="str">
        <f>'Reported burning'!F2184</f>
        <v>ND</v>
      </c>
      <c r="G2184" s="156" t="str">
        <f>'Reported burning'!G2184</f>
        <v>Shrubland (Mixed forest &amp; grassland)</v>
      </c>
      <c r="H2184" s="156" t="str">
        <f>'Reported burning'!H2184</f>
        <v>Presence</v>
      </c>
      <c r="I2184" s="3"/>
      <c r="J2184" s="21" t="s">
        <v>2366</v>
      </c>
      <c r="K2184" s="103"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6188</v>
      </c>
      <c r="AB2184" s="3"/>
    </row>
    <row r="2185" spans="1:28" ht="46" customHeight="1">
      <c r="A2185" s="156" t="str">
        <f>'Reported burning'!A2185</f>
        <v>261e</v>
      </c>
      <c r="B2185" s="156" t="str">
        <f>'Reported burning'!B2185</f>
        <v>261e.1</v>
      </c>
      <c r="C2185" s="156" t="str">
        <f>'Reported burning'!C2185</f>
        <v>All</v>
      </c>
      <c r="D2185" s="156" t="str">
        <f>'Reported burning'!D2185</f>
        <v>All</v>
      </c>
      <c r="E2185" s="156" t="str">
        <f>'Reported burning'!E2185</f>
        <v>All</v>
      </c>
      <c r="F2185" s="156" t="str">
        <f>'Reported burning'!F2185</f>
        <v>ND</v>
      </c>
      <c r="G2185" s="156" t="str">
        <f>'Reported burning'!G2185</f>
        <v>Shrubland (Mixed forest &amp; grassland)</v>
      </c>
      <c r="H2185" s="156" t="str">
        <f>'Reported burning'!H2185</f>
        <v>Presence</v>
      </c>
      <c r="I2185" s="3"/>
      <c r="J2185" s="21" t="s">
        <v>2366</v>
      </c>
      <c r="K2185" s="103"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6188</v>
      </c>
      <c r="AB2185" s="3"/>
    </row>
    <row r="2186" spans="1:28" ht="46" customHeight="1">
      <c r="A2186" s="156" t="str">
        <f>'Reported burning'!A2186</f>
        <v>261f</v>
      </c>
      <c r="B2186" s="156" t="str">
        <f>'Reported burning'!B2186</f>
        <v>261f.1</v>
      </c>
      <c r="C2186" s="156" t="str">
        <f>'Reported burning'!C2186</f>
        <v>All</v>
      </c>
      <c r="D2186" s="156" t="str">
        <f>'Reported burning'!D2186</f>
        <v>All</v>
      </c>
      <c r="E2186" s="156" t="str">
        <f>'Reported burning'!E2186</f>
        <v>All</v>
      </c>
      <c r="F2186" s="156" t="str">
        <f>'Reported burning'!F2186</f>
        <v>ND</v>
      </c>
      <c r="G2186" s="156" t="str">
        <f>'Reported burning'!G2186</f>
        <v>Shrubland (Mixed forest &amp; grassland)</v>
      </c>
      <c r="H2186" s="156" t="str">
        <f>'Reported burning'!H2186</f>
        <v>Presence</v>
      </c>
      <c r="I2186" s="3"/>
      <c r="J2186" s="21" t="s">
        <v>2366</v>
      </c>
      <c r="K2186" s="103"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6188</v>
      </c>
      <c r="AB2186" s="3"/>
    </row>
    <row r="2187" spans="1:28" ht="49.5" customHeight="1">
      <c r="A2187" s="156" t="str">
        <f>'Reported burning'!A2187</f>
        <v>262a</v>
      </c>
      <c r="B2187" s="156" t="str">
        <f>'Reported burning'!B2187</f>
        <v>262a.1</v>
      </c>
      <c r="C2187" s="156" t="str">
        <f>'Reported burning'!C2187</f>
        <v>Human, accidental</v>
      </c>
      <c r="D2187" s="156" t="str">
        <f>'Reported burning'!D2187</f>
        <v>Accidental</v>
      </c>
      <c r="E2187" s="156" t="str">
        <f>'Reported burning'!E2187</f>
        <v>Urban planner</v>
      </c>
      <c r="F2187" s="156" t="str">
        <f>'Reported burning'!F2187</f>
        <v>ND</v>
      </c>
      <c r="G2187" s="156" t="str">
        <f>'Reported burning'!G2187</f>
        <v>Forest</v>
      </c>
      <c r="H2187" s="156" t="str">
        <f>'Reported burning'!H2187</f>
        <v>Presence</v>
      </c>
      <c r="I2187" s="3"/>
      <c r="J2187" s="21" t="s">
        <v>2276</v>
      </c>
      <c r="K2187" s="103"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6755</v>
      </c>
    </row>
    <row r="2188" spans="1:28" s="204" customFormat="1" ht="46" customHeight="1">
      <c r="A2188" s="156" t="str">
        <f>'Reported burning'!A2188</f>
        <v>262a</v>
      </c>
      <c r="B2188" s="156" t="str">
        <f>'Reported burning'!B2188</f>
        <v>262a.2</v>
      </c>
      <c r="C2188" s="156" t="str">
        <f>'Reported burning'!C2188</f>
        <v>Human, accidental</v>
      </c>
      <c r="D2188" s="156" t="str">
        <f>'Reported burning'!D2188</f>
        <v>Accidental</v>
      </c>
      <c r="E2188" s="156" t="str">
        <f>'Reported burning'!E2188</f>
        <v>Tourism manager</v>
      </c>
      <c r="F2188" s="156" t="str">
        <f>'Reported burning'!F2188</f>
        <v>ND</v>
      </c>
      <c r="G2188" s="156" t="str">
        <f>'Reported burning'!G2188</f>
        <v>Forest</v>
      </c>
      <c r="H2188" s="156" t="str">
        <f>'Reported burning'!H2188</f>
        <v>Presence</v>
      </c>
      <c r="I2188" s="205"/>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5" t="s">
        <v>188</v>
      </c>
      <c r="Y2188" s="205" t="s">
        <v>189</v>
      </c>
      <c r="Z2188" s="21" t="s">
        <v>2276</v>
      </c>
      <c r="AA2188" s="4"/>
      <c r="AB2188" s="205"/>
    </row>
    <row r="2189" spans="1:28" ht="46" customHeight="1">
      <c r="A2189" s="156" t="str">
        <f>'Reported burning'!A2189</f>
        <v>263a</v>
      </c>
      <c r="B2189" s="156" t="str">
        <f>'Reported burning'!B2189</f>
        <v>263a.1</v>
      </c>
      <c r="C2189" s="156" t="str">
        <f>'Reported burning'!C2189</f>
        <v>Human, deliberate</v>
      </c>
      <c r="D2189" s="156" t="str">
        <f>'Reported burning'!D2189</f>
        <v>Arson</v>
      </c>
      <c r="E2189" s="156" t="str">
        <f>'Reported burning'!E2189</f>
        <v>Forestry, Industrial</v>
      </c>
      <c r="F2189" s="156" t="str">
        <f>'Reported burning'!F2189</f>
        <v>Forest</v>
      </c>
      <c r="G2189" s="156" t="str">
        <f>'Reported burning'!G2189</f>
        <v>Forest</v>
      </c>
      <c r="H2189" s="156"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4" customFormat="1" ht="46" customHeight="1">
      <c r="A2190" s="156" t="str">
        <f>'Reported burning'!A2190</f>
        <v>263a</v>
      </c>
      <c r="B2190" s="156" t="str">
        <f>'Reported burning'!B2190</f>
        <v>263a.2</v>
      </c>
      <c r="C2190" s="156" t="str">
        <f>'Reported burning'!C2190</f>
        <v>Lightning</v>
      </c>
      <c r="D2190" s="156" t="str">
        <f>'Reported burning'!D2190</f>
        <v>ND</v>
      </c>
      <c r="E2190" s="156" t="str">
        <f>'Reported burning'!E2190</f>
        <v>Forestry, Industrial</v>
      </c>
      <c r="F2190" s="156" t="str">
        <f>'Reported burning'!F2190</f>
        <v>Forest</v>
      </c>
      <c r="G2190" s="156" t="str">
        <f>'Reported burning'!G2190</f>
        <v>Forest</v>
      </c>
      <c r="H2190" s="156" t="str">
        <f>'Reported burning'!H2190</f>
        <v>Presence</v>
      </c>
      <c r="I2190" s="205"/>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5"/>
      <c r="AB2190" s="205"/>
    </row>
    <row r="2191" spans="1:28" s="204" customFormat="1" ht="46" customHeight="1">
      <c r="A2191" s="156" t="str">
        <f>'Reported burning'!A2191</f>
        <v>263a</v>
      </c>
      <c r="B2191" s="156" t="str">
        <f>'Reported burning'!B2191</f>
        <v>263a.3</v>
      </c>
      <c r="C2191" s="156" t="str">
        <f>'Reported burning'!C2191</f>
        <v>Unknown</v>
      </c>
      <c r="D2191" s="156" t="str">
        <f>'Reported burning'!D2191</f>
        <v>ND</v>
      </c>
      <c r="E2191" s="156" t="str">
        <f>'Reported burning'!E2191</f>
        <v>Forestry, Industrial</v>
      </c>
      <c r="F2191" s="156" t="str">
        <f>'Reported burning'!F2191</f>
        <v>Forest</v>
      </c>
      <c r="G2191" s="156" t="str">
        <f>'Reported burning'!G2191</f>
        <v>Forest</v>
      </c>
      <c r="H2191" s="156" t="str">
        <f>'Reported burning'!H2191</f>
        <v>Presence</v>
      </c>
      <c r="I2191" s="205"/>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5"/>
      <c r="AB2191" s="205"/>
    </row>
    <row r="2192" spans="1:28" ht="46" customHeight="1">
      <c r="A2192" s="156" t="str">
        <f>'Reported burning'!A2192</f>
        <v>263a</v>
      </c>
      <c r="B2192" s="156" t="str">
        <f>'Reported burning'!B2192</f>
        <v>263a.4</v>
      </c>
      <c r="C2192" s="156" t="str">
        <f>'Reported burning'!C2192</f>
        <v>Human, deliberate</v>
      </c>
      <c r="D2192" s="156" t="str">
        <f>'Reported burning'!D2192</f>
        <v>Arson</v>
      </c>
      <c r="E2192" s="156" t="str">
        <f>'Reported burning'!E2192</f>
        <v>Forestry, Small-scale</v>
      </c>
      <c r="F2192" s="156" t="str">
        <f>'Reported burning'!F2192</f>
        <v>Forest</v>
      </c>
      <c r="G2192" s="156" t="str">
        <f>'Reported burning'!G2192</f>
        <v>Forest</v>
      </c>
      <c r="H2192" s="156"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4" customFormat="1" ht="46" customHeight="1">
      <c r="A2193" s="156" t="str">
        <f>'Reported burning'!A2193</f>
        <v>263a</v>
      </c>
      <c r="B2193" s="156" t="str">
        <f>'Reported burning'!B2193</f>
        <v>263a.5</v>
      </c>
      <c r="C2193" s="156" t="str">
        <f>'Reported burning'!C2193</f>
        <v>Lightning</v>
      </c>
      <c r="D2193" s="156" t="str">
        <f>'Reported burning'!D2193</f>
        <v>ND</v>
      </c>
      <c r="E2193" s="156" t="str">
        <f>'Reported burning'!E2193</f>
        <v>Forestry, Small-scale</v>
      </c>
      <c r="F2193" s="156" t="str">
        <f>'Reported burning'!F2193</f>
        <v>Forest</v>
      </c>
      <c r="G2193" s="156" t="str">
        <f>'Reported burning'!G2193</f>
        <v>Forest</v>
      </c>
      <c r="H2193" s="156" t="str">
        <f>'Reported burning'!H2193</f>
        <v>Presence</v>
      </c>
      <c r="I2193" s="205"/>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5"/>
      <c r="AB2193" s="205"/>
    </row>
    <row r="2194" spans="1:28" s="204" customFormat="1" ht="46" customHeight="1">
      <c r="A2194" s="156" t="str">
        <f>'Reported burning'!A2194</f>
        <v>263a</v>
      </c>
      <c r="B2194" s="156" t="str">
        <f>'Reported burning'!B2194</f>
        <v>263a.6</v>
      </c>
      <c r="C2194" s="156" t="str">
        <f>'Reported burning'!C2194</f>
        <v>Unknown</v>
      </c>
      <c r="D2194" s="156" t="str">
        <f>'Reported burning'!D2194</f>
        <v>ND</v>
      </c>
      <c r="E2194" s="156" t="str">
        <f>'Reported burning'!E2194</f>
        <v>Forestry, Small-scale</v>
      </c>
      <c r="F2194" s="156" t="str">
        <f>'Reported burning'!F2194</f>
        <v>Forest</v>
      </c>
      <c r="G2194" s="156" t="str">
        <f>'Reported burning'!G2194</f>
        <v>Forest</v>
      </c>
      <c r="H2194" s="156" t="str">
        <f>'Reported burning'!H2194</f>
        <v>Presence</v>
      </c>
      <c r="I2194" s="205"/>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5"/>
      <c r="AB2194" s="205"/>
    </row>
    <row r="2195" spans="1:28" ht="46" customHeight="1">
      <c r="A2195" s="156" t="str">
        <f>'Reported burning'!A2195</f>
        <v>263a</v>
      </c>
      <c r="B2195" s="156" t="str">
        <f>'Reported burning'!B2195</f>
        <v>263a.7</v>
      </c>
      <c r="C2195" s="156" t="str">
        <f>'Reported burning'!C2195</f>
        <v>Human, deliberate</v>
      </c>
      <c r="D2195" s="156" t="str">
        <f>'Reported burning'!D2195</f>
        <v>Arson</v>
      </c>
      <c r="E2195" s="156" t="str">
        <f>'Reported burning'!E2195</f>
        <v>Biodiversity conservation</v>
      </c>
      <c r="F2195" s="156" t="str">
        <f>'Reported burning'!F2195</f>
        <v>Forest</v>
      </c>
      <c r="G2195" s="156" t="str">
        <f>'Reported burning'!G2195</f>
        <v>Forest</v>
      </c>
      <c r="H2195" s="156"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4" customFormat="1" ht="46" customHeight="1">
      <c r="A2196" s="156" t="str">
        <f>'Reported burning'!A2196</f>
        <v>263a</v>
      </c>
      <c r="B2196" s="156" t="str">
        <f>'Reported burning'!B2196</f>
        <v>263a.8</v>
      </c>
      <c r="C2196" s="156" t="str">
        <f>'Reported burning'!C2196</f>
        <v>Lightning</v>
      </c>
      <c r="D2196" s="156" t="str">
        <f>'Reported burning'!D2196</f>
        <v>ND</v>
      </c>
      <c r="E2196" s="156" t="str">
        <f>'Reported burning'!E2196</f>
        <v>Biodiversity conservation</v>
      </c>
      <c r="F2196" s="156" t="str">
        <f>'Reported burning'!F2196</f>
        <v>Forest</v>
      </c>
      <c r="G2196" s="156" t="str">
        <f>'Reported burning'!G2196</f>
        <v>Forest</v>
      </c>
      <c r="H2196" s="156" t="str">
        <f>'Reported burning'!H2196</f>
        <v>Presence</v>
      </c>
      <c r="I2196" s="205"/>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5"/>
      <c r="AB2196" s="205"/>
    </row>
    <row r="2197" spans="1:28" s="204" customFormat="1" ht="46" customHeight="1">
      <c r="A2197" s="156" t="str">
        <f>'Reported burning'!A2197</f>
        <v>263a</v>
      </c>
      <c r="B2197" s="156" t="str">
        <f>'Reported burning'!B2197</f>
        <v>263a.9</v>
      </c>
      <c r="C2197" s="156" t="str">
        <f>'Reported burning'!C2197</f>
        <v>Unknown</v>
      </c>
      <c r="D2197" s="156" t="str">
        <f>'Reported burning'!D2197</f>
        <v>ND</v>
      </c>
      <c r="E2197" s="156" t="str">
        <f>'Reported burning'!E2197</f>
        <v>Biodiversity conservation</v>
      </c>
      <c r="F2197" s="156" t="str">
        <f>'Reported burning'!F2197</f>
        <v>Forest</v>
      </c>
      <c r="G2197" s="156" t="str">
        <f>'Reported burning'!G2197</f>
        <v>Forest</v>
      </c>
      <c r="H2197" s="156" t="str">
        <f>'Reported burning'!H2197</f>
        <v>Presence</v>
      </c>
      <c r="I2197" s="205"/>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5"/>
      <c r="AB2197" s="205"/>
    </row>
    <row r="2198" spans="1:28" s="204" customFormat="1" ht="46" customHeight="1">
      <c r="A2198" s="156" t="str">
        <f>'Reported burning'!A2198</f>
        <v>263a</v>
      </c>
      <c r="B2198" s="156" t="str">
        <f>'Reported burning'!B2198</f>
        <v>263a.10</v>
      </c>
      <c r="C2198" s="156" t="str">
        <f>'Reported burning'!C2198</f>
        <v>Human, deliberate</v>
      </c>
      <c r="D2198" s="156" t="str">
        <f>'Reported burning'!D2198</f>
        <v>Arson</v>
      </c>
      <c r="E2198" s="156" t="str">
        <f>'Reported burning'!E2198</f>
        <v>ND</v>
      </c>
      <c r="F2198" s="156" t="str">
        <f>'Reported burning'!F2198</f>
        <v>ND</v>
      </c>
      <c r="G2198" s="156" t="str">
        <f>'Reported burning'!G2198</f>
        <v>ND</v>
      </c>
      <c r="H2198" s="156" t="str">
        <f>'Reported burning'!H2198</f>
        <v>Presence</v>
      </c>
      <c r="I2198" s="205"/>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5"/>
      <c r="AB2198" s="205"/>
    </row>
    <row r="2199" spans="1:28" s="204" customFormat="1" ht="46" customHeight="1">
      <c r="A2199" s="156" t="str">
        <f>'Reported burning'!A2199</f>
        <v>263a</v>
      </c>
      <c r="B2199" s="156" t="str">
        <f>'Reported burning'!B2199</f>
        <v>263a.11</v>
      </c>
      <c r="C2199" s="156" t="str">
        <f>'Reported burning'!C2199</f>
        <v>Lightning</v>
      </c>
      <c r="D2199" s="156" t="str">
        <f>'Reported burning'!D2199</f>
        <v>ND</v>
      </c>
      <c r="E2199" s="156" t="str">
        <f>'Reported burning'!E2199</f>
        <v>ND</v>
      </c>
      <c r="F2199" s="156" t="str">
        <f>'Reported burning'!F2199</f>
        <v>ND</v>
      </c>
      <c r="G2199" s="156" t="str">
        <f>'Reported burning'!G2199</f>
        <v>ND</v>
      </c>
      <c r="H2199" s="156" t="str">
        <f>'Reported burning'!H2199</f>
        <v>Presence</v>
      </c>
      <c r="I2199" s="205"/>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5"/>
      <c r="AB2199" s="205"/>
    </row>
    <row r="2200" spans="1:28" s="204" customFormat="1" ht="46" customHeight="1">
      <c r="A2200" s="156" t="str">
        <f>'Reported burning'!A2200</f>
        <v>263a</v>
      </c>
      <c r="B2200" s="156" t="str">
        <f>'Reported burning'!B2200</f>
        <v>263a.12</v>
      </c>
      <c r="C2200" s="156" t="str">
        <f>'Reported burning'!C2200</f>
        <v>Unknown</v>
      </c>
      <c r="D2200" s="156" t="str">
        <f>'Reported burning'!D2200</f>
        <v>ND</v>
      </c>
      <c r="E2200" s="156" t="str">
        <f>'Reported burning'!E2200</f>
        <v>ND</v>
      </c>
      <c r="F2200" s="156" t="str">
        <f>'Reported burning'!F2200</f>
        <v>ND</v>
      </c>
      <c r="G2200" s="156" t="str">
        <f>'Reported burning'!G2200</f>
        <v>ND</v>
      </c>
      <c r="H2200" s="156" t="str">
        <f>'Reported burning'!H2200</f>
        <v>Presence</v>
      </c>
      <c r="I2200" s="205"/>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5"/>
      <c r="AB2200" s="205"/>
    </row>
    <row r="2201" spans="1:28" s="204" customFormat="1" ht="46" customHeight="1">
      <c r="A2201" s="156" t="str">
        <f>'Reported burning'!A2201</f>
        <v>264a</v>
      </c>
      <c r="B2201" s="156" t="str">
        <f>'Reported burning'!B2201</f>
        <v>264a.1</v>
      </c>
      <c r="C2201" s="156" t="str">
        <f>'Reported burning'!C2201</f>
        <v>All</v>
      </c>
      <c r="D2201" s="156" t="str">
        <f>'Reported burning'!D2201</f>
        <v>All</v>
      </c>
      <c r="E2201" s="156" t="str">
        <f>'Reported burning'!E2201</f>
        <v>All</v>
      </c>
      <c r="F2201" s="156" t="str">
        <f>'Reported burning'!F2201</f>
        <v>ND</v>
      </c>
      <c r="G2201" s="156" t="str">
        <f>'Reported burning'!G2201</f>
        <v>ND</v>
      </c>
      <c r="H2201" s="156" t="str">
        <f>'Reported burning'!H2201</f>
        <v>Presence</v>
      </c>
      <c r="I2201" s="205"/>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5"/>
      <c r="AB2201" s="205"/>
    </row>
    <row r="2202" spans="1:28" ht="84" customHeight="1">
      <c r="A2202" s="156" t="str">
        <f>'Reported burning'!A2202</f>
        <v>264a</v>
      </c>
      <c r="B2202" s="156" t="str">
        <f>'Reported burning'!B2202</f>
        <v>264a.2</v>
      </c>
      <c r="C2202" s="156" t="str">
        <f>'Reported burning'!C2202</f>
        <v>Human, deliberate</v>
      </c>
      <c r="D2202" s="156" t="str">
        <f>'Reported burning'!D2202</f>
        <v>Vegetation management</v>
      </c>
      <c r="E2202" s="156" t="str">
        <f>'Reported burning'!E2202</f>
        <v>Forestry, Industrial</v>
      </c>
      <c r="F2202" s="156" t="str">
        <f>'Reported burning'!F2202</f>
        <v>Plantation forest</v>
      </c>
      <c r="G2202" s="156" t="str">
        <f>'Reported burning'!G2202</f>
        <v>Plantation forest</v>
      </c>
      <c r="H2202" s="156" t="str">
        <f>'Reported burning'!H2202</f>
        <v>Presence</v>
      </c>
      <c r="I2202" s="3"/>
      <c r="J2202" s="21" t="s">
        <v>2276</v>
      </c>
      <c r="K2202" s="103"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6" t="str">
        <f>'Reported burning'!A2203</f>
        <v>264a</v>
      </c>
      <c r="B2203" s="156" t="str">
        <f>'Reported burning'!B2203</f>
        <v>264a.3</v>
      </c>
      <c r="C2203" s="156" t="str">
        <f>'Reported burning'!C2203</f>
        <v>Human, deliberate</v>
      </c>
      <c r="D2203" s="156" t="str">
        <f>'Reported burning'!D2203</f>
        <v>Crop residue burning</v>
      </c>
      <c r="E2203" s="156" t="str">
        <f>'Reported burning'!E2203</f>
        <v>Mixed cropping-livestock small holder, Market-oriented</v>
      </c>
      <c r="F2203" s="156" t="str">
        <f>'Reported burning'!F2203</f>
        <v>Cropland</v>
      </c>
      <c r="G2203" s="156" t="str">
        <f>'Reported burning'!G2203</f>
        <v>ND</v>
      </c>
      <c r="H2203" s="156" t="str">
        <f>'Reported burning'!H2203</f>
        <v>Presence</v>
      </c>
      <c r="I2203" s="3"/>
      <c r="J2203" s="21" t="s">
        <v>2276</v>
      </c>
      <c r="K2203" s="103"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6772</v>
      </c>
      <c r="AB2203" s="3"/>
    </row>
    <row r="2204" spans="1:28" ht="81.5" customHeight="1">
      <c r="A2204" s="156" t="str">
        <f>'Reported burning'!A2204</f>
        <v>264a</v>
      </c>
      <c r="B2204" s="156" t="str">
        <f>'Reported burning'!B2204</f>
        <v>264a.4</v>
      </c>
      <c r="C2204" s="156" t="str">
        <f>'Reported burning'!C2204</f>
        <v>Human, deliberate</v>
      </c>
      <c r="D2204" s="156" t="str">
        <f>'Reported burning'!D2204</f>
        <v xml:space="preserve">Pasture renewal </v>
      </c>
      <c r="E2204" s="156" t="str">
        <f>'Reported burning'!E2204</f>
        <v>Mixed cropping-livestock small holder, Market-oriented</v>
      </c>
      <c r="F2204" s="156" t="str">
        <f>'Reported burning'!F2204</f>
        <v>Pasture</v>
      </c>
      <c r="G2204" s="156" t="str">
        <f>'Reported burning'!G2204</f>
        <v>ND</v>
      </c>
      <c r="H2204" s="156" t="str">
        <f>'Reported burning'!H2204</f>
        <v>Presence</v>
      </c>
      <c r="I2204" s="3"/>
      <c r="J2204" s="21" t="s">
        <v>2276</v>
      </c>
      <c r="K2204" s="103"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6773</v>
      </c>
      <c r="AB2204" s="3"/>
    </row>
    <row r="2205" spans="1:28" s="204" customFormat="1" ht="81.5" customHeight="1">
      <c r="A2205" s="156" t="str">
        <f>'Reported burning'!A2205</f>
        <v>264a</v>
      </c>
      <c r="B2205" s="156" t="str">
        <f>'Reported burning'!B2205</f>
        <v>264a.5</v>
      </c>
      <c r="C2205" s="156" t="str">
        <f>'Reported burning'!C2205</f>
        <v>Human, deliberate</v>
      </c>
      <c r="D2205" s="156" t="str">
        <f>'Reported burning'!D2205</f>
        <v>Land clearance</v>
      </c>
      <c r="E2205" s="156" t="str">
        <f>'Reported burning'!E2205</f>
        <v>Mixed cropping-livestock small holder, Market-oriented</v>
      </c>
      <c r="F2205" s="156" t="str">
        <f>'Reported burning'!F2205</f>
        <v>Shrubland (Mixed forest &amp; grassland)</v>
      </c>
      <c r="G2205" s="156" t="str">
        <f>'Reported burning'!G2205</f>
        <v>ND</v>
      </c>
      <c r="H2205" s="156" t="str">
        <f>'Reported burning'!H2205</f>
        <v>Presence</v>
      </c>
      <c r="I2205" s="205"/>
      <c r="J2205" s="21" t="s">
        <v>2276</v>
      </c>
      <c r="K2205" s="103"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5" t="s">
        <v>2276</v>
      </c>
      <c r="Y2205" s="205" t="s">
        <v>2276</v>
      </c>
      <c r="Z2205" s="205" t="s">
        <v>2276</v>
      </c>
      <c r="AA2205" s="4" t="s">
        <v>6772</v>
      </c>
      <c r="AB2205" s="205"/>
    </row>
    <row r="2206" spans="1:28" ht="80.5" customHeight="1">
      <c r="A2206" s="156" t="str">
        <f>'Reported burning'!A2206</f>
        <v>264a</v>
      </c>
      <c r="B2206" s="156" t="str">
        <f>'Reported burning'!B2206</f>
        <v>264a.6</v>
      </c>
      <c r="C2206" s="156" t="str">
        <f>'Reported burning'!C2206</f>
        <v>Human, deliberate</v>
      </c>
      <c r="D2206" s="156" t="str">
        <f>'Reported burning'!D2206</f>
        <v>Arson</v>
      </c>
      <c r="E2206" s="156" t="str">
        <f>'Reported burning'!E2206</f>
        <v>ND</v>
      </c>
      <c r="F2206" s="156" t="str">
        <f>'Reported burning'!F2206</f>
        <v>ND</v>
      </c>
      <c r="G2206" s="156" t="str">
        <f>'Reported burning'!G2206</f>
        <v>ND</v>
      </c>
      <c r="H2206" s="156" t="str">
        <f>'Reported burning'!H2206</f>
        <v>Presence</v>
      </c>
      <c r="I2206" s="3"/>
      <c r="J2206" s="21" t="s">
        <v>2276</v>
      </c>
      <c r="K2206" s="103"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6774</v>
      </c>
      <c r="AB2206" s="3"/>
    </row>
    <row r="2207" spans="1:28" s="204" customFormat="1" ht="80.5" customHeight="1">
      <c r="A2207" s="156" t="str">
        <f>'Reported burning'!A2207</f>
        <v>264a</v>
      </c>
      <c r="B2207" s="156" t="str">
        <f>'Reported burning'!B2207</f>
        <v>264a.7</v>
      </c>
      <c r="C2207" s="156" t="str">
        <f>'Reported burning'!C2207</f>
        <v>Human, escaped</v>
      </c>
      <c r="D2207" s="156" t="str">
        <f>'Reported burning'!D2207</f>
        <v>Domestic</v>
      </c>
      <c r="E2207" s="156" t="str">
        <f>'Reported burning'!E2207</f>
        <v>Urban planner</v>
      </c>
      <c r="F2207" s="156" t="str">
        <f>'Reported burning'!F2207</f>
        <v>ND</v>
      </c>
      <c r="G2207" s="156" t="str">
        <f>'Reported burning'!G2207</f>
        <v>ND</v>
      </c>
      <c r="H2207" s="156" t="str">
        <f>'Reported burning'!H2207</f>
        <v>Presence</v>
      </c>
      <c r="I2207" s="205"/>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6775</v>
      </c>
      <c r="AB2207" s="205"/>
    </row>
    <row r="2208" spans="1:28" s="204" customFormat="1" ht="80.5" customHeight="1">
      <c r="A2208" s="156" t="str">
        <f>'Reported burning'!A2208</f>
        <v>264a</v>
      </c>
      <c r="B2208" s="156" t="str">
        <f>'Reported burning'!B2208</f>
        <v>264a.8</v>
      </c>
      <c r="C2208" s="156" t="str">
        <f>'Reported burning'!C2208</f>
        <v>Human, deliberate</v>
      </c>
      <c r="D2208" s="156" t="str">
        <f>'Reported burning'!D2208</f>
        <v>Hunting</v>
      </c>
      <c r="E2208" s="156" t="str">
        <f>'Reported burning'!E2208</f>
        <v>Mixed cropping-livestock small holder, Market-oriented</v>
      </c>
      <c r="F2208" s="156" t="str">
        <f>'Reported burning'!F2208</f>
        <v>ND</v>
      </c>
      <c r="G2208" s="156" t="str">
        <f>'Reported burning'!G2208</f>
        <v>ND</v>
      </c>
      <c r="H2208" s="156" t="str">
        <f>'Reported burning'!H2208</f>
        <v>Presence</v>
      </c>
      <c r="I2208" s="205"/>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6775</v>
      </c>
      <c r="AB2208" s="205"/>
    </row>
    <row r="2209" spans="1:28" s="204" customFormat="1" ht="80.5" customHeight="1">
      <c r="A2209" s="156" t="str">
        <f>'Reported burning'!A2209</f>
        <v>264a</v>
      </c>
      <c r="B2209" s="156" t="str">
        <f>'Reported burning'!B2209</f>
        <v>264a.9</v>
      </c>
      <c r="C2209" s="156" t="str">
        <f>'Reported burning'!C2209</f>
        <v>Human, accidental</v>
      </c>
      <c r="D2209" s="156" t="str">
        <f>'Reported burning'!D2209</f>
        <v>Accidental</v>
      </c>
      <c r="E2209" s="156" t="str">
        <f>'Reported burning'!E2209</f>
        <v>ND</v>
      </c>
      <c r="F2209" s="156" t="str">
        <f>'Reported burning'!F2209</f>
        <v>ND</v>
      </c>
      <c r="G2209" s="156" t="str">
        <f>'Reported burning'!G2209</f>
        <v>ND</v>
      </c>
      <c r="H2209" s="156" t="str">
        <f>'Reported burning'!H2209</f>
        <v>Presence</v>
      </c>
      <c r="I2209" s="205"/>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6775</v>
      </c>
      <c r="AB2209" s="205"/>
    </row>
    <row r="2210" spans="1:28" s="204" customFormat="1" ht="80.5" customHeight="1">
      <c r="A2210" s="156" t="str">
        <f>'Reported burning'!A2210</f>
        <v>264a</v>
      </c>
      <c r="B2210" s="156" t="str">
        <f>'Reported burning'!B2210</f>
        <v>264a.10</v>
      </c>
      <c r="C2210" s="156" t="str">
        <f>'Reported burning'!C2210</f>
        <v>Lightning</v>
      </c>
      <c r="D2210" s="156" t="str">
        <f>'Reported burning'!D2210</f>
        <v>ND</v>
      </c>
      <c r="E2210" s="156" t="str">
        <f>'Reported burning'!E2210</f>
        <v>ND</v>
      </c>
      <c r="F2210" s="156" t="str">
        <f>'Reported burning'!F2210</f>
        <v>ND</v>
      </c>
      <c r="G2210" s="156" t="str">
        <f>'Reported burning'!G2210</f>
        <v>ND</v>
      </c>
      <c r="H2210" s="156" t="str">
        <f>'Reported burning'!H2210</f>
        <v>Presence</v>
      </c>
      <c r="I2210" s="205"/>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6775</v>
      </c>
      <c r="AB2210" s="205"/>
    </row>
    <row r="2211" spans="1:28" ht="58.5" customHeight="1">
      <c r="A2211" s="156" t="str">
        <f>'Reported burning'!A2211</f>
        <v>265a</v>
      </c>
      <c r="B2211" s="156" t="str">
        <f>'Reported burning'!B2211</f>
        <v>265a.1</v>
      </c>
      <c r="C2211" s="156" t="str">
        <f>'Reported burning'!C2211</f>
        <v>All</v>
      </c>
      <c r="D2211" s="156" t="str">
        <f>'Reported burning'!D2211</f>
        <v>All</v>
      </c>
      <c r="E2211" s="156" t="str">
        <f>'Reported burning'!E2211</f>
        <v>All</v>
      </c>
      <c r="F2211" s="156" t="str">
        <f>'Reported burning'!F2211</f>
        <v>ND</v>
      </c>
      <c r="G2211" s="156" t="str">
        <f>'Reported burning'!G2211</f>
        <v>ND</v>
      </c>
      <c r="H2211" s="156" t="str">
        <f>'Reported burning'!H2211</f>
        <v>Presence</v>
      </c>
      <c r="I2211" s="4">
        <v>2003</v>
      </c>
      <c r="J2211" s="77" t="s">
        <v>2370</v>
      </c>
      <c r="K2211" s="103"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5" t="s">
        <v>86</v>
      </c>
      <c r="Y2211" s="205" t="s">
        <v>405</v>
      </c>
      <c r="Z2211" s="4" t="s">
        <v>2276</v>
      </c>
      <c r="AA2211" s="4"/>
      <c r="AB2211" s="3" t="s">
        <v>6783</v>
      </c>
    </row>
    <row r="2212" spans="1:28" ht="87" customHeight="1">
      <c r="A2212" s="156" t="str">
        <f>'Reported burning'!A2212</f>
        <v>265b</v>
      </c>
      <c r="B2212" s="156" t="str">
        <f>'Reported burning'!B2212</f>
        <v>265b.1</v>
      </c>
      <c r="C2212" s="156" t="str">
        <f>'Reported burning'!C2212</f>
        <v>All</v>
      </c>
      <c r="D2212" s="156" t="str">
        <f>'Reported burning'!D2212</f>
        <v>All</v>
      </c>
      <c r="E2212" s="156" t="str">
        <f>'Reported burning'!E2212</f>
        <v>All</v>
      </c>
      <c r="F2212" s="156" t="str">
        <f>'Reported burning'!F2212</f>
        <v>ND</v>
      </c>
      <c r="G2212" s="156" t="str">
        <f>'Reported burning'!G2212</f>
        <v>ND</v>
      </c>
      <c r="H2212" s="156" t="str">
        <f>'Reported burning'!H2212</f>
        <v>Presence</v>
      </c>
      <c r="I2212" s="4">
        <v>2003</v>
      </c>
      <c r="J2212" s="77" t="s">
        <v>2371</v>
      </c>
      <c r="K2212" s="103"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5" t="s">
        <v>86</v>
      </c>
      <c r="Y2212" s="205" t="s">
        <v>405</v>
      </c>
      <c r="Z2212" s="4" t="s">
        <v>2276</v>
      </c>
      <c r="AA2212" s="4"/>
      <c r="AB2212" s="205" t="s">
        <v>6783</v>
      </c>
    </row>
    <row r="2213" spans="1:28" ht="87" customHeight="1">
      <c r="A2213" s="156" t="str">
        <f>'Reported burning'!A2213</f>
        <v>265c</v>
      </c>
      <c r="B2213" s="156" t="str">
        <f>'Reported burning'!B2213</f>
        <v>265c.1</v>
      </c>
      <c r="C2213" s="156" t="str">
        <f>'Reported burning'!C2213</f>
        <v>All</v>
      </c>
      <c r="D2213" s="156" t="str">
        <f>'Reported burning'!D2213</f>
        <v>All</v>
      </c>
      <c r="E2213" s="156" t="str">
        <f>'Reported burning'!E2213</f>
        <v>All</v>
      </c>
      <c r="F2213" s="156" t="str">
        <f>'Reported burning'!F2213</f>
        <v>ND</v>
      </c>
      <c r="G2213" s="156" t="str">
        <f>'Reported burning'!G2213</f>
        <v>ND</v>
      </c>
      <c r="H2213" s="156" t="str">
        <f>'Reported burning'!H2213</f>
        <v>Presence</v>
      </c>
      <c r="I2213" s="4">
        <v>2003</v>
      </c>
      <c r="J2213" s="77" t="s">
        <v>2371</v>
      </c>
      <c r="K2213" s="103"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5" t="s">
        <v>86</v>
      </c>
      <c r="Y2213" s="205" t="s">
        <v>405</v>
      </c>
      <c r="Z2213" s="4" t="s">
        <v>2276</v>
      </c>
      <c r="AA2213" s="4"/>
      <c r="AB2213" s="205" t="s">
        <v>6783</v>
      </c>
    </row>
    <row r="2214" spans="1:28" s="204" customFormat="1" ht="87" customHeight="1">
      <c r="A2214" s="156" t="str">
        <f>'Reported burning'!A2214</f>
        <v>265a</v>
      </c>
      <c r="B2214" s="156" t="str">
        <f>'Reported burning'!B2214</f>
        <v>265a.2</v>
      </c>
      <c r="C2214" s="156" t="str">
        <f>'Reported burning'!C2214</f>
        <v>All</v>
      </c>
      <c r="D2214" s="156" t="str">
        <f>'Reported burning'!D2214</f>
        <v>All</v>
      </c>
      <c r="E2214" s="156" t="str">
        <f>'Reported burning'!E2214</f>
        <v>All</v>
      </c>
      <c r="F2214" s="156" t="str">
        <f>'Reported burning'!F2214</f>
        <v>ND</v>
      </c>
      <c r="G2214" s="156" t="str">
        <f>'Reported burning'!G2214</f>
        <v>Forest</v>
      </c>
      <c r="H2214" s="156" t="str">
        <f>'Reported burning'!H2214</f>
        <v>Presence</v>
      </c>
      <c r="I2214" s="205"/>
      <c r="J2214" s="103" t="s">
        <v>2276</v>
      </c>
      <c r="K2214" s="103"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5" t="s">
        <v>86</v>
      </c>
      <c r="Y2214" s="205" t="s">
        <v>405</v>
      </c>
      <c r="Z2214" s="4" t="s">
        <v>2276</v>
      </c>
      <c r="AA2214" s="4"/>
      <c r="AB2214" s="4" t="s">
        <v>6779</v>
      </c>
    </row>
    <row r="2215" spans="1:28" s="204" customFormat="1" ht="87" customHeight="1">
      <c r="A2215" s="156" t="str">
        <f>'Reported burning'!A2215</f>
        <v>265b</v>
      </c>
      <c r="B2215" s="156" t="str">
        <f>'Reported burning'!B2215</f>
        <v>265b.2</v>
      </c>
      <c r="C2215" s="156" t="str">
        <f>'Reported burning'!C2215</f>
        <v>All</v>
      </c>
      <c r="D2215" s="156" t="str">
        <f>'Reported burning'!D2215</f>
        <v>All</v>
      </c>
      <c r="E2215" s="156" t="str">
        <f>'Reported burning'!E2215</f>
        <v>All</v>
      </c>
      <c r="F2215" s="156" t="str">
        <f>'Reported burning'!F2215</f>
        <v>ND</v>
      </c>
      <c r="G2215" s="156" t="str">
        <f>'Reported burning'!G2215</f>
        <v>Forest</v>
      </c>
      <c r="H2215" s="156" t="str">
        <f>'Reported burning'!H2215</f>
        <v>Presence</v>
      </c>
      <c r="I2215" s="205"/>
      <c r="J2215" s="103" t="s">
        <v>2276</v>
      </c>
      <c r="K2215" s="103"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5" t="s">
        <v>86</v>
      </c>
      <c r="Y2215" s="205" t="s">
        <v>405</v>
      </c>
      <c r="Z2215" s="4" t="s">
        <v>2276</v>
      </c>
      <c r="AA2215" s="4"/>
      <c r="AB2215" s="4" t="s">
        <v>6779</v>
      </c>
    </row>
    <row r="2216" spans="1:28" s="204" customFormat="1" ht="87" customHeight="1">
      <c r="A2216" s="156" t="str">
        <f>'Reported burning'!A2216</f>
        <v>265c</v>
      </c>
      <c r="B2216" s="156" t="str">
        <f>'Reported burning'!B2216</f>
        <v>265c.2</v>
      </c>
      <c r="C2216" s="156" t="str">
        <f>'Reported burning'!C2216</f>
        <v>All</v>
      </c>
      <c r="D2216" s="156" t="str">
        <f>'Reported burning'!D2216</f>
        <v>All</v>
      </c>
      <c r="E2216" s="156" t="str">
        <f>'Reported burning'!E2216</f>
        <v>All</v>
      </c>
      <c r="F2216" s="156" t="str">
        <f>'Reported burning'!F2216</f>
        <v>ND</v>
      </c>
      <c r="G2216" s="156" t="str">
        <f>'Reported burning'!G2216</f>
        <v>Forest</v>
      </c>
      <c r="H2216" s="156" t="str">
        <f>'Reported burning'!H2216</f>
        <v>Presence</v>
      </c>
      <c r="I2216" s="205"/>
      <c r="J2216" s="103" t="s">
        <v>2276</v>
      </c>
      <c r="K2216" s="103"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5" t="s">
        <v>86</v>
      </c>
      <c r="Y2216" s="205" t="s">
        <v>405</v>
      </c>
      <c r="Z2216" s="4" t="s">
        <v>2276</v>
      </c>
      <c r="AA2216" s="4"/>
      <c r="AB2216" s="4" t="s">
        <v>6779</v>
      </c>
    </row>
    <row r="2217" spans="1:28" s="204" customFormat="1" ht="87" customHeight="1">
      <c r="A2217" s="156" t="str">
        <f>'Reported burning'!A2217</f>
        <v>265a</v>
      </c>
      <c r="B2217" s="156" t="str">
        <f>'Reported burning'!B2217</f>
        <v>265a.3</v>
      </c>
      <c r="C2217" s="156" t="str">
        <f>'Reported burning'!C2217</f>
        <v>All</v>
      </c>
      <c r="D2217" s="156" t="str">
        <f>'Reported burning'!D2217</f>
        <v>All</v>
      </c>
      <c r="E2217" s="156" t="str">
        <f>'Reported burning'!E2217</f>
        <v>All</v>
      </c>
      <c r="F2217" s="156" t="str">
        <f>'Reported burning'!F2217</f>
        <v>ND</v>
      </c>
      <c r="G2217" s="156" t="str">
        <f>'Reported burning'!G2217</f>
        <v>ND</v>
      </c>
      <c r="H2217" s="156" t="str">
        <f>'Reported burning'!H2217</f>
        <v>Presence</v>
      </c>
      <c r="I2217" s="205"/>
      <c r="J2217" s="77" t="s">
        <v>2369</v>
      </c>
      <c r="K2217" s="103"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5" t="s">
        <v>86</v>
      </c>
      <c r="Y2217" s="205" t="s">
        <v>405</v>
      </c>
      <c r="Z2217" s="4" t="s">
        <v>2276</v>
      </c>
      <c r="AA2217" s="4"/>
      <c r="AB2217" s="205" t="s">
        <v>6783</v>
      </c>
    </row>
    <row r="2218" spans="1:28" s="204" customFormat="1" ht="87" customHeight="1">
      <c r="A2218" s="156" t="str">
        <f>'Reported burning'!A2218</f>
        <v>265b</v>
      </c>
      <c r="B2218" s="156" t="str">
        <f>'Reported burning'!B2218</f>
        <v>265b.3</v>
      </c>
      <c r="C2218" s="156" t="str">
        <f>'Reported burning'!C2218</f>
        <v>All</v>
      </c>
      <c r="D2218" s="156" t="str">
        <f>'Reported burning'!D2218</f>
        <v>All</v>
      </c>
      <c r="E2218" s="156" t="str">
        <f>'Reported burning'!E2218</f>
        <v>All</v>
      </c>
      <c r="F2218" s="156" t="str">
        <f>'Reported burning'!F2218</f>
        <v>ND</v>
      </c>
      <c r="G2218" s="156" t="str">
        <f>'Reported burning'!G2218</f>
        <v>ND</v>
      </c>
      <c r="H2218" s="156" t="str">
        <f>'Reported burning'!H2218</f>
        <v>Presence</v>
      </c>
      <c r="I2218" s="205"/>
      <c r="J2218" s="77" t="s">
        <v>2369</v>
      </c>
      <c r="K2218" s="103"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5" t="s">
        <v>86</v>
      </c>
      <c r="Y2218" s="205" t="s">
        <v>405</v>
      </c>
      <c r="Z2218" s="4" t="s">
        <v>2276</v>
      </c>
      <c r="AA2218" s="4"/>
      <c r="AB2218" s="205" t="s">
        <v>6783</v>
      </c>
    </row>
    <row r="2219" spans="1:28" s="204" customFormat="1" ht="87" customHeight="1">
      <c r="A2219" s="156" t="str">
        <f>'Reported burning'!A2219</f>
        <v>265c</v>
      </c>
      <c r="B2219" s="156" t="str">
        <f>'Reported burning'!B2219</f>
        <v>265c.3</v>
      </c>
      <c r="C2219" s="156" t="str">
        <f>'Reported burning'!C2219</f>
        <v>All</v>
      </c>
      <c r="D2219" s="156" t="str">
        <f>'Reported burning'!D2219</f>
        <v>All</v>
      </c>
      <c r="E2219" s="156" t="str">
        <f>'Reported burning'!E2219</f>
        <v>All</v>
      </c>
      <c r="F2219" s="156" t="str">
        <f>'Reported burning'!F2219</f>
        <v>ND</v>
      </c>
      <c r="G2219" s="156" t="str">
        <f>'Reported burning'!G2219</f>
        <v>ND</v>
      </c>
      <c r="H2219" s="156" t="str">
        <f>'Reported burning'!H2219</f>
        <v>Presence</v>
      </c>
      <c r="I2219" s="205"/>
      <c r="J2219" s="77" t="s">
        <v>2367</v>
      </c>
      <c r="K2219" s="103"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5" t="s">
        <v>86</v>
      </c>
      <c r="Y2219" s="205" t="s">
        <v>405</v>
      </c>
      <c r="Z2219" s="4" t="s">
        <v>2276</v>
      </c>
      <c r="AA2219" s="4"/>
      <c r="AB2219" s="205" t="s">
        <v>6783</v>
      </c>
    </row>
    <row r="2220" spans="1:28" s="204" customFormat="1" ht="54" customHeight="1">
      <c r="A2220" s="216" t="str">
        <f>'Reported burning'!A2220</f>
        <v>266a</v>
      </c>
      <c r="B2220" s="216" t="str">
        <f>'Reported burning'!B2220</f>
        <v>266a.1</v>
      </c>
      <c r="C2220" s="216" t="str">
        <f>'Reported burning'!C2220</f>
        <v>All</v>
      </c>
      <c r="D2220" s="216" t="str">
        <f>'Reported burning'!D2220</f>
        <v>All</v>
      </c>
      <c r="E2220" s="216" t="str">
        <f>'Reported burning'!E2220</f>
        <v>All</v>
      </c>
      <c r="F2220" s="216" t="str">
        <f>'Reported burning'!F2220</f>
        <v>ND</v>
      </c>
      <c r="G2220" s="216" t="str">
        <f>'Reported burning'!G2220</f>
        <v>ND</v>
      </c>
      <c r="H2220" s="216" t="str">
        <f>'Reported burning'!H2220</f>
        <v>Presence</v>
      </c>
      <c r="I2220" s="11"/>
      <c r="J2220" s="217" t="s">
        <v>2276</v>
      </c>
      <c r="K2220" s="217" t="s">
        <v>2276</v>
      </c>
      <c r="L2220" s="217" t="s">
        <v>2276</v>
      </c>
      <c r="M2220" s="217" t="s">
        <v>2276</v>
      </c>
      <c r="N2220" s="21" t="s">
        <v>2380</v>
      </c>
      <c r="O2220" s="217" t="s">
        <v>2276</v>
      </c>
      <c r="P2220" s="217" t="s">
        <v>2276</v>
      </c>
      <c r="Q2220" s="217" t="s">
        <v>2276</v>
      </c>
      <c r="R2220" s="217" t="s">
        <v>2276</v>
      </c>
      <c r="S2220" s="217" t="s">
        <v>2276</v>
      </c>
      <c r="T2220" s="217" t="s">
        <v>2276</v>
      </c>
      <c r="U2220" s="217" t="s">
        <v>2276</v>
      </c>
      <c r="V2220" s="217" t="s">
        <v>2276</v>
      </c>
      <c r="W2220" s="217" t="s">
        <v>2276</v>
      </c>
      <c r="X2220" s="217" t="s">
        <v>2276</v>
      </c>
      <c r="Y2220" s="217" t="s">
        <v>2276</v>
      </c>
      <c r="Z2220" s="217" t="s">
        <v>2276</v>
      </c>
      <c r="AA2220" s="217" t="s">
        <v>2276</v>
      </c>
      <c r="AB2220" s="11"/>
    </row>
    <row r="2221" spans="1:28" s="204" customFormat="1" ht="127.5" customHeight="1">
      <c r="A2221" s="156" t="str">
        <f>'Reported burning'!A2221</f>
        <v>266b</v>
      </c>
      <c r="B2221" s="156" t="str">
        <f>'Reported burning'!B2221</f>
        <v>266b.1</v>
      </c>
      <c r="C2221" s="156" t="str">
        <f>'Reported burning'!C2221</f>
        <v>All</v>
      </c>
      <c r="D2221" s="156" t="str">
        <f>'Reported burning'!D2221</f>
        <v>All</v>
      </c>
      <c r="E2221" s="156" t="str">
        <f>'Reported burning'!E2221</f>
        <v>All</v>
      </c>
      <c r="F2221" s="156" t="str">
        <f>'Reported burning'!F2221</f>
        <v>ND</v>
      </c>
      <c r="G2221" s="156" t="str">
        <f>'Reported burning'!G2221</f>
        <v>ND</v>
      </c>
      <c r="H2221" s="156" t="str">
        <f>'Reported burning'!H2221</f>
        <v>Presence</v>
      </c>
      <c r="I2221" s="205"/>
      <c r="J2221" s="77" t="s">
        <v>2846</v>
      </c>
      <c r="K2221" s="103" t="s">
        <v>2276</v>
      </c>
      <c r="L2221" s="103" t="s">
        <v>2276</v>
      </c>
      <c r="M2221" s="103" t="s">
        <v>2276</v>
      </c>
      <c r="N2221" s="103" t="s">
        <v>2276</v>
      </c>
      <c r="O2221" s="103" t="s">
        <v>2276</v>
      </c>
      <c r="P2221" s="103" t="s">
        <v>2276</v>
      </c>
      <c r="Q2221" s="103" t="s">
        <v>2276</v>
      </c>
      <c r="R2221" s="74" t="s">
        <v>2373</v>
      </c>
      <c r="S2221" s="103" t="s">
        <v>2276</v>
      </c>
      <c r="T2221" s="103" t="s">
        <v>2276</v>
      </c>
      <c r="U2221" s="103" t="s">
        <v>2276</v>
      </c>
      <c r="V2221" s="103" t="s">
        <v>2276</v>
      </c>
      <c r="W2221" s="103" t="s">
        <v>2276</v>
      </c>
      <c r="X2221" s="103" t="s">
        <v>2276</v>
      </c>
      <c r="Y2221" s="103" t="s">
        <v>2276</v>
      </c>
      <c r="Z2221" s="103" t="s">
        <v>2276</v>
      </c>
      <c r="AA2221" s="19" t="s">
        <v>6875</v>
      </c>
      <c r="AB2221" s="11"/>
    </row>
    <row r="2222" spans="1:28" ht="46" customHeight="1">
      <c r="A2222" s="156" t="str">
        <f>'Reported burning'!A2222</f>
        <v>267a</v>
      </c>
      <c r="B2222" s="156" t="str">
        <f>'Reported burning'!B2222</f>
        <v>267a.1</v>
      </c>
      <c r="C2222" s="156" t="str">
        <f>'Reported burning'!C2222</f>
        <v>Human, escaped</v>
      </c>
      <c r="D2222" s="156" t="str">
        <f>'Reported burning'!D2222</f>
        <v>Crop residue burning</v>
      </c>
      <c r="E2222" s="156" t="str">
        <f>'Reported burning'!E2222</f>
        <v>Mixed cropping-livestock small holder, Market-oriented</v>
      </c>
      <c r="F2222" s="156" t="str">
        <f>'Reported burning'!F2222</f>
        <v>Cropland</v>
      </c>
      <c r="G2222" s="156" t="str">
        <f>'Reported burning'!G2222</f>
        <v>Forest</v>
      </c>
      <c r="H2222" s="156"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6" t="str">
        <f>'Reported burning'!A2223</f>
        <v>267a</v>
      </c>
      <c r="B2223" s="156" t="str">
        <f>'Reported burning'!B2223</f>
        <v>267a.2</v>
      </c>
      <c r="C2223" s="156" t="str">
        <f>'Reported burning'!C2223</f>
        <v>Human, escaped</v>
      </c>
      <c r="D2223" s="156" t="str">
        <f>'Reported burning'!D2223</f>
        <v>Forest clearance</v>
      </c>
      <c r="E2223" s="156" t="str">
        <f>'Reported burning'!E2223</f>
        <v>Mixed cropping-livestock small holder, Market-oriented</v>
      </c>
      <c r="F2223" s="156" t="str">
        <f>'Reported burning'!F2223</f>
        <v>Cropland</v>
      </c>
      <c r="G2223" s="156" t="str">
        <f>'Reported burning'!G2223</f>
        <v>Forest</v>
      </c>
      <c r="H2223" s="156"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6" t="str">
        <f>'Reported burning'!A2224</f>
        <v>267a</v>
      </c>
      <c r="B2224" s="156" t="str">
        <f>'Reported burning'!B2224</f>
        <v>267a.3</v>
      </c>
      <c r="C2224" s="156" t="str">
        <f>'Reported burning'!C2224</f>
        <v>Human, deliberate</v>
      </c>
      <c r="D2224" s="156" t="str">
        <f>'Reported burning'!D2224</f>
        <v>Crop residue burning</v>
      </c>
      <c r="E2224" s="156" t="str">
        <f>'Reported burning'!E2224</f>
        <v>Mixed cropping-livestock small holder, Market-oriented</v>
      </c>
      <c r="F2224" s="156" t="str">
        <f>'Reported burning'!F2224</f>
        <v>Cropland</v>
      </c>
      <c r="G2224" s="156" t="str">
        <f>'Reported burning'!G2224</f>
        <v>Cropland</v>
      </c>
      <c r="H2224" s="156"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6" t="str">
        <f>'Reported burning'!A2225</f>
        <v>267a</v>
      </c>
      <c r="B2225" s="156" t="str">
        <f>'Reported burning'!B2225</f>
        <v>267a.4</v>
      </c>
      <c r="C2225" s="156" t="str">
        <f>'Reported burning'!C2225</f>
        <v>Human, deliberate</v>
      </c>
      <c r="D2225" s="156" t="str">
        <f>'Reported burning'!D2225</f>
        <v>Forest clearance</v>
      </c>
      <c r="E2225" s="156" t="str">
        <f>'Reported burning'!E2225</f>
        <v>Mixed cropping-livestock small holder, Market-oriented</v>
      </c>
      <c r="F2225" s="156" t="str">
        <f>'Reported burning'!F2225</f>
        <v>Cropland</v>
      </c>
      <c r="G2225" s="156" t="str">
        <f>'Reported burning'!G2225</f>
        <v>Cropland</v>
      </c>
      <c r="H2225" s="156"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6" t="str">
        <f>'Reported burning'!A2226</f>
        <v>267a</v>
      </c>
      <c r="B2226" s="156" t="str">
        <f>'Reported burning'!B2226</f>
        <v>267a.5</v>
      </c>
      <c r="C2226" s="156" t="str">
        <f>'Reported burning'!C2226</f>
        <v>Human, escaped</v>
      </c>
      <c r="D2226" s="156" t="str">
        <f>'Reported burning'!D2226</f>
        <v>Pasture renewal</v>
      </c>
      <c r="E2226" s="156" t="str">
        <f>'Reported burning'!E2226</f>
        <v>Mixed cropping-livestock small holder, Market-oriented</v>
      </c>
      <c r="F2226" s="156" t="str">
        <f>'Reported burning'!F2226</f>
        <v>Pasture</v>
      </c>
      <c r="G2226" s="156" t="str">
        <f>'Reported burning'!G2226</f>
        <v>Cropland</v>
      </c>
      <c r="H2226" s="156"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6" t="str">
        <f>'Reported burning'!A2227</f>
        <v>267a</v>
      </c>
      <c r="B2227" s="156" t="str">
        <f>'Reported burning'!B2227</f>
        <v>267a.6</v>
      </c>
      <c r="C2227" s="156" t="str">
        <f>'Reported burning'!C2227</f>
        <v>Human, deliberate</v>
      </c>
      <c r="D2227" s="156" t="str">
        <f>'Reported burning'!D2227</f>
        <v>Pasture renewal</v>
      </c>
      <c r="E2227" s="156" t="str">
        <f>'Reported burning'!E2227</f>
        <v>Mixed cropping-livestock small holder, Market-oriented</v>
      </c>
      <c r="F2227" s="156" t="str">
        <f>'Reported burning'!F2227</f>
        <v>Pasture</v>
      </c>
      <c r="G2227" s="156" t="str">
        <f>'Reported burning'!G2227</f>
        <v>Cropland</v>
      </c>
      <c r="H2227" s="156"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6" t="str">
        <f>'Reported burning'!A2228</f>
        <v>267a</v>
      </c>
      <c r="B2228" s="156" t="str">
        <f>'Reported burning'!B2228</f>
        <v>267a.7</v>
      </c>
      <c r="C2228" s="156" t="str">
        <f>'Reported burning'!C2228</f>
        <v>Human, deliberate</v>
      </c>
      <c r="D2228" s="156" t="str">
        <f>'Reported burning'!D2228</f>
        <v>Arson</v>
      </c>
      <c r="E2228" s="156" t="str">
        <f>'Reported burning'!E2228</f>
        <v>Mixed cropping-livestock small holder, Market-oriented</v>
      </c>
      <c r="F2228" s="156" t="str">
        <f>'Reported burning'!F2228</f>
        <v>ND</v>
      </c>
      <c r="G2228" s="156" t="str">
        <f>'Reported burning'!G2228</f>
        <v>ND</v>
      </c>
      <c r="H2228" s="156"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6" t="str">
        <f>'Reported burning'!A2229</f>
        <v>267b</v>
      </c>
      <c r="B2229" s="156" t="str">
        <f>'Reported burning'!B2229</f>
        <v>267b.1</v>
      </c>
      <c r="C2229" s="156" t="str">
        <f>'Reported burning'!C2229</f>
        <v>Human, escaped</v>
      </c>
      <c r="D2229" s="156" t="str">
        <f>'Reported burning'!D2229</f>
        <v>Crop residue burning</v>
      </c>
      <c r="E2229" s="156" t="str">
        <f>'Reported burning'!E2229</f>
        <v>Mixed cropping-livestock small holder, Market-oriented</v>
      </c>
      <c r="F2229" s="156" t="str">
        <f>'Reported burning'!F2229</f>
        <v>Cropland</v>
      </c>
      <c r="G2229" s="156" t="str">
        <f>'Reported burning'!G2229</f>
        <v>Forest</v>
      </c>
      <c r="H2229" s="156"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6" t="str">
        <f>'Reported burning'!A2230</f>
        <v>267b</v>
      </c>
      <c r="B2230" s="156" t="str">
        <f>'Reported burning'!B2230</f>
        <v>267b.2</v>
      </c>
      <c r="C2230" s="156" t="str">
        <f>'Reported burning'!C2230</f>
        <v>Human, escaped</v>
      </c>
      <c r="D2230" s="156" t="str">
        <f>'Reported burning'!D2230</f>
        <v>Forest clearance</v>
      </c>
      <c r="E2230" s="156" t="str">
        <f>'Reported burning'!E2230</f>
        <v>Mixed cropping-livestock small holder, Market-oriented</v>
      </c>
      <c r="F2230" s="156" t="str">
        <f>'Reported burning'!F2230</f>
        <v>Cropland</v>
      </c>
      <c r="G2230" s="156" t="str">
        <f>'Reported burning'!G2230</f>
        <v>Forest</v>
      </c>
      <c r="H2230" s="156"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6" t="str">
        <f>'Reported burning'!A2231</f>
        <v>267b</v>
      </c>
      <c r="B2231" s="156" t="str">
        <f>'Reported burning'!B2231</f>
        <v>267b.3</v>
      </c>
      <c r="C2231" s="156" t="str">
        <f>'Reported burning'!C2231</f>
        <v>Human, deliberate</v>
      </c>
      <c r="D2231" s="156" t="str">
        <f>'Reported burning'!D2231</f>
        <v>Crop residue burning</v>
      </c>
      <c r="E2231" s="156" t="str">
        <f>'Reported burning'!E2231</f>
        <v>Mixed cropping-livestock small holder, Market-oriented</v>
      </c>
      <c r="F2231" s="156" t="str">
        <f>'Reported burning'!F2231</f>
        <v>Cropland</v>
      </c>
      <c r="G2231" s="156" t="str">
        <f>'Reported burning'!G2231</f>
        <v>Cropland</v>
      </c>
      <c r="H2231" s="156"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6" t="str">
        <f>'Reported burning'!A2232</f>
        <v>267b</v>
      </c>
      <c r="B2232" s="156" t="str">
        <f>'Reported burning'!B2232</f>
        <v>267b.4</v>
      </c>
      <c r="C2232" s="156" t="str">
        <f>'Reported burning'!C2232</f>
        <v>Human, deliberate</v>
      </c>
      <c r="D2232" s="156" t="str">
        <f>'Reported burning'!D2232</f>
        <v>Forest clearance</v>
      </c>
      <c r="E2232" s="156" t="str">
        <f>'Reported burning'!E2232</f>
        <v>Mixed cropping-livestock small holder, Market-oriented</v>
      </c>
      <c r="F2232" s="156" t="str">
        <f>'Reported burning'!F2232</f>
        <v>Cropland</v>
      </c>
      <c r="G2232" s="156" t="str">
        <f>'Reported burning'!G2232</f>
        <v>Cropland</v>
      </c>
      <c r="H2232" s="156"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6" t="str">
        <f>'Reported burning'!A2233</f>
        <v>267b</v>
      </c>
      <c r="B2233" s="156" t="str">
        <f>'Reported burning'!B2233</f>
        <v>267b.5</v>
      </c>
      <c r="C2233" s="156" t="str">
        <f>'Reported burning'!C2233</f>
        <v>Human, escaped</v>
      </c>
      <c r="D2233" s="156" t="str">
        <f>'Reported burning'!D2233</f>
        <v>Pasture renewal</v>
      </c>
      <c r="E2233" s="156" t="str">
        <f>'Reported burning'!E2233</f>
        <v>Mixed cropping-livestock small holder, Market-oriented</v>
      </c>
      <c r="F2233" s="156" t="str">
        <f>'Reported burning'!F2233</f>
        <v>Pasture</v>
      </c>
      <c r="G2233" s="156" t="str">
        <f>'Reported burning'!G2233</f>
        <v>Cropland</v>
      </c>
      <c r="H2233" s="156"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6" t="str">
        <f>'Reported burning'!A2234</f>
        <v>267b</v>
      </c>
      <c r="B2234" s="156" t="str">
        <f>'Reported burning'!B2234</f>
        <v>267b.6</v>
      </c>
      <c r="C2234" s="156" t="str">
        <f>'Reported burning'!C2234</f>
        <v>Human, deliberate</v>
      </c>
      <c r="D2234" s="156" t="str">
        <f>'Reported burning'!D2234</f>
        <v>Pasture renewal</v>
      </c>
      <c r="E2234" s="156" t="str">
        <f>'Reported burning'!E2234</f>
        <v>Mixed cropping-livestock small holder, Market-oriented</v>
      </c>
      <c r="F2234" s="156" t="str">
        <f>'Reported burning'!F2234</f>
        <v>Pasture</v>
      </c>
      <c r="G2234" s="156" t="str">
        <f>'Reported burning'!G2234</f>
        <v>Cropland</v>
      </c>
      <c r="H2234" s="156"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6" t="str">
        <f>'Reported burning'!A2235</f>
        <v>267b</v>
      </c>
      <c r="B2235" s="156" t="str">
        <f>'Reported burning'!B2235</f>
        <v>267b.7</v>
      </c>
      <c r="C2235" s="156" t="str">
        <f>'Reported burning'!C2235</f>
        <v>Human, deliberate</v>
      </c>
      <c r="D2235" s="156" t="str">
        <f>'Reported burning'!D2235</f>
        <v>Arson</v>
      </c>
      <c r="E2235" s="156" t="str">
        <f>'Reported burning'!E2235</f>
        <v>Mixed cropping-livestock small holder, Market-oriented</v>
      </c>
      <c r="F2235" s="156" t="str">
        <f>'Reported burning'!F2235</f>
        <v>ND</v>
      </c>
      <c r="G2235" s="156" t="str">
        <f>'Reported burning'!G2235</f>
        <v>ND</v>
      </c>
      <c r="H2235" s="156"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6" t="str">
        <f>'Reported burning'!A2236</f>
        <v>267c</v>
      </c>
      <c r="B2236" s="156" t="str">
        <f>'Reported burning'!B2236</f>
        <v>267c.1</v>
      </c>
      <c r="C2236" s="156" t="str">
        <f>'Reported burning'!C2236</f>
        <v>Human, escaped</v>
      </c>
      <c r="D2236" s="156" t="str">
        <f>'Reported burning'!D2236</f>
        <v>Crop residue burning</v>
      </c>
      <c r="E2236" s="156" t="str">
        <f>'Reported burning'!E2236</f>
        <v>Mixed cropping-livestock small holder, Market-oriented</v>
      </c>
      <c r="F2236" s="156" t="str">
        <f>'Reported burning'!F2236</f>
        <v>Cropland</v>
      </c>
      <c r="G2236" s="156" t="str">
        <f>'Reported burning'!G2236</f>
        <v>Forest</v>
      </c>
      <c r="H2236" s="156"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6" t="str">
        <f>'Reported burning'!A2237</f>
        <v>267c</v>
      </c>
      <c r="B2237" s="156" t="str">
        <f>'Reported burning'!B2237</f>
        <v>267c.2</v>
      </c>
      <c r="C2237" s="156" t="str">
        <f>'Reported burning'!C2237</f>
        <v>Human, escaped</v>
      </c>
      <c r="D2237" s="156" t="str">
        <f>'Reported burning'!D2237</f>
        <v>Forest clearance</v>
      </c>
      <c r="E2237" s="156" t="str">
        <f>'Reported burning'!E2237</f>
        <v>Mixed cropping-livestock small holder, Market-oriented</v>
      </c>
      <c r="F2237" s="156" t="str">
        <f>'Reported burning'!F2237</f>
        <v>Cropland</v>
      </c>
      <c r="G2237" s="156" t="str">
        <f>'Reported burning'!G2237</f>
        <v>Forest</v>
      </c>
      <c r="H2237" s="156"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6" t="str">
        <f>'Reported burning'!A2238</f>
        <v>267c</v>
      </c>
      <c r="B2238" s="156" t="str">
        <f>'Reported burning'!B2238</f>
        <v>267c.3</v>
      </c>
      <c r="C2238" s="156" t="str">
        <f>'Reported burning'!C2238</f>
        <v>Human, deliberate</v>
      </c>
      <c r="D2238" s="156" t="str">
        <f>'Reported burning'!D2238</f>
        <v>Crop residue burning</v>
      </c>
      <c r="E2238" s="156" t="str">
        <f>'Reported burning'!E2238</f>
        <v>Mixed cropping-livestock small holder, Market-oriented</v>
      </c>
      <c r="F2238" s="156" t="str">
        <f>'Reported burning'!F2238</f>
        <v>Cropland</v>
      </c>
      <c r="G2238" s="156" t="str">
        <f>'Reported burning'!G2238</f>
        <v>Cropland</v>
      </c>
      <c r="H2238" s="156"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6" t="str">
        <f>'Reported burning'!A2239</f>
        <v>267c</v>
      </c>
      <c r="B2239" s="156" t="str">
        <f>'Reported burning'!B2239</f>
        <v>267c.4</v>
      </c>
      <c r="C2239" s="156" t="str">
        <f>'Reported burning'!C2239</f>
        <v>Human, deliberate</v>
      </c>
      <c r="D2239" s="156" t="str">
        <f>'Reported burning'!D2239</f>
        <v>Forest clearance</v>
      </c>
      <c r="E2239" s="156" t="str">
        <f>'Reported burning'!E2239</f>
        <v>Mixed cropping-livestock small holder, Market-oriented</v>
      </c>
      <c r="F2239" s="156" t="str">
        <f>'Reported burning'!F2239</f>
        <v>Cropland</v>
      </c>
      <c r="G2239" s="156" t="str">
        <f>'Reported burning'!G2239</f>
        <v>Cropland</v>
      </c>
      <c r="H2239" s="156"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4" customFormat="1" ht="46" customHeight="1">
      <c r="A2240" s="156" t="str">
        <f>'Reported burning'!A2240</f>
        <v>267c</v>
      </c>
      <c r="B2240" s="156" t="str">
        <f>'Reported burning'!B2240</f>
        <v>267c.5</v>
      </c>
      <c r="C2240" s="156" t="str">
        <f>'Reported burning'!C2240</f>
        <v>Human, escaped</v>
      </c>
      <c r="D2240" s="156" t="str">
        <f>'Reported burning'!D2240</f>
        <v>Pasture renewal</v>
      </c>
      <c r="E2240" s="156" t="str">
        <f>'Reported burning'!E2240</f>
        <v>Mixed cropping-livestock small holder, Market-oriented</v>
      </c>
      <c r="F2240" s="156" t="str">
        <f>'Reported burning'!F2240</f>
        <v>Pasture</v>
      </c>
      <c r="G2240" s="156" t="str">
        <f>'Reported burning'!G2240</f>
        <v>Cropland</v>
      </c>
      <c r="H2240" s="156" t="str">
        <f>'Reported burning'!H2240</f>
        <v>Presence</v>
      </c>
      <c r="I2240" s="205"/>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5"/>
      <c r="AB2240" s="205"/>
    </row>
    <row r="2241" spans="1:28" s="204" customFormat="1" ht="46" customHeight="1">
      <c r="A2241" s="156" t="str">
        <f>'Reported burning'!A2241</f>
        <v>267c</v>
      </c>
      <c r="B2241" s="156" t="str">
        <f>'Reported burning'!B2241</f>
        <v>267c.6</v>
      </c>
      <c r="C2241" s="156" t="str">
        <f>'Reported burning'!C2241</f>
        <v>Human, deliberate</v>
      </c>
      <c r="D2241" s="156" t="str">
        <f>'Reported burning'!D2241</f>
        <v>Pasture renewal</v>
      </c>
      <c r="E2241" s="156" t="str">
        <f>'Reported burning'!E2241</f>
        <v>Mixed cropping-livestock small holder, Market-oriented</v>
      </c>
      <c r="F2241" s="156" t="str">
        <f>'Reported burning'!F2241</f>
        <v>Pasture</v>
      </c>
      <c r="G2241" s="156" t="str">
        <f>'Reported burning'!G2241</f>
        <v>Cropland</v>
      </c>
      <c r="H2241" s="156" t="str">
        <f>'Reported burning'!H2241</f>
        <v>Presence</v>
      </c>
      <c r="I2241" s="205"/>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5"/>
      <c r="AB2241" s="205"/>
    </row>
    <row r="2242" spans="1:28" s="204" customFormat="1" ht="46" customHeight="1">
      <c r="A2242" s="156" t="str">
        <f>'Reported burning'!A2242</f>
        <v>267c</v>
      </c>
      <c r="B2242" s="156" t="str">
        <f>'Reported burning'!B2242</f>
        <v>267c.7</v>
      </c>
      <c r="C2242" s="156" t="str">
        <f>'Reported burning'!C2242</f>
        <v>Human, deliberate</v>
      </c>
      <c r="D2242" s="156" t="str">
        <f>'Reported burning'!D2242</f>
        <v>Arson</v>
      </c>
      <c r="E2242" s="156" t="str">
        <f>'Reported burning'!E2242</f>
        <v>Mixed cropping-livestock small holder, Market-oriented</v>
      </c>
      <c r="F2242" s="156" t="str">
        <f>'Reported burning'!F2242</f>
        <v>ND</v>
      </c>
      <c r="G2242" s="156" t="str">
        <f>'Reported burning'!G2242</f>
        <v>ND</v>
      </c>
      <c r="H2242" s="156" t="str">
        <f>'Reported burning'!H2242</f>
        <v>Presence</v>
      </c>
      <c r="I2242" s="205"/>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5"/>
      <c r="AB2242" s="205"/>
    </row>
    <row r="2243" spans="1:28" s="204" customFormat="1" ht="46" customHeight="1">
      <c r="A2243" s="156" t="str">
        <f>'Reported burning'!A2243</f>
        <v>267d</v>
      </c>
      <c r="B2243" s="156" t="str">
        <f>'Reported burning'!B2243</f>
        <v>267d.1</v>
      </c>
      <c r="C2243" s="156" t="str">
        <f>'Reported burning'!C2243</f>
        <v>Human, escaped</v>
      </c>
      <c r="D2243" s="156" t="str">
        <f>'Reported burning'!D2243</f>
        <v>Crop residue burning</v>
      </c>
      <c r="E2243" s="156" t="str">
        <f>'Reported burning'!E2243</f>
        <v>Mixed cropping-livestock small holder, Market-oriented</v>
      </c>
      <c r="F2243" s="156" t="str">
        <f>'Reported burning'!F2243</f>
        <v>Cropland</v>
      </c>
      <c r="G2243" s="156" t="str">
        <f>'Reported burning'!G2243</f>
        <v>Forest</v>
      </c>
      <c r="H2243" s="156" t="str">
        <f>'Reported burning'!H2243</f>
        <v>Presence</v>
      </c>
      <c r="I2243" s="205"/>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5"/>
      <c r="AB2243" s="205"/>
    </row>
    <row r="2244" spans="1:28" s="204" customFormat="1" ht="46" customHeight="1">
      <c r="A2244" s="156" t="str">
        <f>'Reported burning'!A2244</f>
        <v>267d</v>
      </c>
      <c r="B2244" s="156" t="str">
        <f>'Reported burning'!B2244</f>
        <v>267d.2</v>
      </c>
      <c r="C2244" s="156" t="str">
        <f>'Reported burning'!C2244</f>
        <v>Human, escaped</v>
      </c>
      <c r="D2244" s="156" t="str">
        <f>'Reported burning'!D2244</f>
        <v>Forest clearance</v>
      </c>
      <c r="E2244" s="156" t="str">
        <f>'Reported burning'!E2244</f>
        <v>Mixed cropping-livestock small holder, Market-oriented</v>
      </c>
      <c r="F2244" s="156" t="str">
        <f>'Reported burning'!F2244</f>
        <v>Cropland</v>
      </c>
      <c r="G2244" s="156" t="str">
        <f>'Reported burning'!G2244</f>
        <v>Forest</v>
      </c>
      <c r="H2244" s="156" t="str">
        <f>'Reported burning'!H2244</f>
        <v>Absence</v>
      </c>
      <c r="I2244" s="205"/>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5"/>
      <c r="AB2244" s="205"/>
    </row>
    <row r="2245" spans="1:28" s="204" customFormat="1" ht="46" customHeight="1">
      <c r="A2245" s="156" t="str">
        <f>'Reported burning'!A2245</f>
        <v>267d</v>
      </c>
      <c r="B2245" s="156" t="str">
        <f>'Reported burning'!B2245</f>
        <v>267d.3</v>
      </c>
      <c r="C2245" s="156" t="str">
        <f>'Reported burning'!C2245</f>
        <v>Human, deliberate</v>
      </c>
      <c r="D2245" s="156" t="str">
        <f>'Reported burning'!D2245</f>
        <v>Crop residue burning</v>
      </c>
      <c r="E2245" s="156" t="str">
        <f>'Reported burning'!E2245</f>
        <v>Mixed cropping-livestock small holder, Market-oriented</v>
      </c>
      <c r="F2245" s="156" t="str">
        <f>'Reported burning'!F2245</f>
        <v>Cropland</v>
      </c>
      <c r="G2245" s="156" t="str">
        <f>'Reported burning'!G2245</f>
        <v>Cropland</v>
      </c>
      <c r="H2245" s="156" t="str">
        <f>'Reported burning'!H2245</f>
        <v>Presence</v>
      </c>
      <c r="I2245" s="205"/>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5"/>
      <c r="AB2245" s="205"/>
    </row>
    <row r="2246" spans="1:28" s="204" customFormat="1" ht="46" customHeight="1">
      <c r="A2246" s="156" t="str">
        <f>'Reported burning'!A2246</f>
        <v>267d</v>
      </c>
      <c r="B2246" s="156" t="str">
        <f>'Reported burning'!B2246</f>
        <v>267d.4</v>
      </c>
      <c r="C2246" s="156" t="str">
        <f>'Reported burning'!C2246</f>
        <v>Human, deliberate</v>
      </c>
      <c r="D2246" s="156" t="str">
        <f>'Reported burning'!D2246</f>
        <v>Forest clearance</v>
      </c>
      <c r="E2246" s="156" t="str">
        <f>'Reported burning'!E2246</f>
        <v>Mixed cropping-livestock small holder, Market-oriented</v>
      </c>
      <c r="F2246" s="156" t="str">
        <f>'Reported burning'!F2246</f>
        <v>Cropland</v>
      </c>
      <c r="G2246" s="156" t="str">
        <f>'Reported burning'!G2246</f>
        <v>Cropland</v>
      </c>
      <c r="H2246" s="156" t="str">
        <f>'Reported burning'!H2246</f>
        <v>Absence</v>
      </c>
      <c r="I2246" s="205"/>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5"/>
      <c r="AB2246" s="205"/>
    </row>
    <row r="2247" spans="1:28" s="204" customFormat="1" ht="46" customHeight="1">
      <c r="A2247" s="156" t="str">
        <f>'Reported burning'!A2247</f>
        <v>267d</v>
      </c>
      <c r="B2247" s="156" t="str">
        <f>'Reported burning'!B2247</f>
        <v>267d.5</v>
      </c>
      <c r="C2247" s="156" t="str">
        <f>'Reported burning'!C2247</f>
        <v>Human, escaped</v>
      </c>
      <c r="D2247" s="156" t="str">
        <f>'Reported burning'!D2247</f>
        <v>Pasture renewal</v>
      </c>
      <c r="E2247" s="156" t="str">
        <f>'Reported burning'!E2247</f>
        <v>Mixed cropping-livestock small holder, Market-oriented</v>
      </c>
      <c r="F2247" s="156" t="str">
        <f>'Reported burning'!F2247</f>
        <v>Pasture</v>
      </c>
      <c r="G2247" s="156" t="str">
        <f>'Reported burning'!G2247</f>
        <v>Cropland</v>
      </c>
      <c r="H2247" s="156" t="str">
        <f>'Reported burning'!H2247</f>
        <v>Presence</v>
      </c>
      <c r="I2247" s="205"/>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5"/>
      <c r="AB2247" s="205"/>
    </row>
    <row r="2248" spans="1:28" s="204" customFormat="1" ht="46" customHeight="1">
      <c r="A2248" s="156" t="str">
        <f>'Reported burning'!A2248</f>
        <v>267d</v>
      </c>
      <c r="B2248" s="156" t="str">
        <f>'Reported burning'!B2248</f>
        <v>267d.6</v>
      </c>
      <c r="C2248" s="156" t="str">
        <f>'Reported burning'!C2248</f>
        <v>Human, deliberate</v>
      </c>
      <c r="D2248" s="156" t="str">
        <f>'Reported burning'!D2248</f>
        <v>Pasture renewal</v>
      </c>
      <c r="E2248" s="156" t="str">
        <f>'Reported burning'!E2248</f>
        <v>Mixed cropping-livestock small holder, Market-oriented</v>
      </c>
      <c r="F2248" s="156" t="str">
        <f>'Reported burning'!F2248</f>
        <v>Pasture</v>
      </c>
      <c r="G2248" s="156" t="str">
        <f>'Reported burning'!G2248</f>
        <v>Cropland</v>
      </c>
      <c r="H2248" s="156" t="str">
        <f>'Reported burning'!H2248</f>
        <v>Presence</v>
      </c>
      <c r="I2248" s="205"/>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5"/>
      <c r="AB2248" s="205"/>
    </row>
    <row r="2249" spans="1:28" s="204" customFormat="1" ht="46" customHeight="1">
      <c r="A2249" s="156" t="str">
        <f>'Reported burning'!A2249</f>
        <v>267d</v>
      </c>
      <c r="B2249" s="156" t="str">
        <f>'Reported burning'!B2249</f>
        <v>267d.7</v>
      </c>
      <c r="C2249" s="156" t="str">
        <f>'Reported burning'!C2249</f>
        <v>Human, deliberate</v>
      </c>
      <c r="D2249" s="156" t="str">
        <f>'Reported burning'!D2249</f>
        <v>Arson</v>
      </c>
      <c r="E2249" s="156" t="str">
        <f>'Reported burning'!E2249</f>
        <v>Mixed cropping-livestock small holder, Market-oriented</v>
      </c>
      <c r="F2249" s="156" t="str">
        <f>'Reported burning'!F2249</f>
        <v>ND</v>
      </c>
      <c r="G2249" s="156" t="str">
        <f>'Reported burning'!G2249</f>
        <v>ND</v>
      </c>
      <c r="H2249" s="156" t="str">
        <f>'Reported burning'!H2249</f>
        <v>Presence</v>
      </c>
      <c r="I2249" s="205"/>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5"/>
      <c r="AB2249" s="205"/>
    </row>
    <row r="2250" spans="1:28" s="204" customFormat="1" ht="46" customHeight="1">
      <c r="A2250" s="156" t="str">
        <f>'Reported burning'!A2250</f>
        <v>267e</v>
      </c>
      <c r="B2250" s="156" t="str">
        <f>'Reported burning'!B2250</f>
        <v>267e.1</v>
      </c>
      <c r="C2250" s="156" t="str">
        <f>'Reported burning'!C2250</f>
        <v>Human, escaped</v>
      </c>
      <c r="D2250" s="156" t="str">
        <f>'Reported burning'!D2250</f>
        <v>Crop residue burning</v>
      </c>
      <c r="E2250" s="156" t="str">
        <f>'Reported burning'!E2250</f>
        <v>Mixed cropping-livestock small holder, Market-oriented</v>
      </c>
      <c r="F2250" s="156" t="str">
        <f>'Reported burning'!F2250</f>
        <v>Cropland</v>
      </c>
      <c r="G2250" s="156" t="str">
        <f>'Reported burning'!G2250</f>
        <v>Forest</v>
      </c>
      <c r="H2250" s="156" t="str">
        <f>'Reported burning'!H2250</f>
        <v>Presence</v>
      </c>
      <c r="I2250" s="205"/>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5"/>
      <c r="AB2250" s="205"/>
    </row>
    <row r="2251" spans="1:28" s="204" customFormat="1" ht="46" customHeight="1">
      <c r="A2251" s="156" t="str">
        <f>'Reported burning'!A2251</f>
        <v>267e</v>
      </c>
      <c r="B2251" s="156" t="str">
        <f>'Reported burning'!B2251</f>
        <v>267e.2</v>
      </c>
      <c r="C2251" s="156" t="str">
        <f>'Reported burning'!C2251</f>
        <v>Human, escaped</v>
      </c>
      <c r="D2251" s="156" t="str">
        <f>'Reported burning'!D2251</f>
        <v>Forest clearance</v>
      </c>
      <c r="E2251" s="156" t="str">
        <f>'Reported burning'!E2251</f>
        <v>Mixed cropping-livestock small holder, Market-oriented</v>
      </c>
      <c r="F2251" s="156" t="str">
        <f>'Reported burning'!F2251</f>
        <v>Cropland</v>
      </c>
      <c r="G2251" s="156" t="str">
        <f>'Reported burning'!G2251</f>
        <v>Forest</v>
      </c>
      <c r="H2251" s="156" t="str">
        <f>'Reported burning'!H2251</f>
        <v>Absence</v>
      </c>
      <c r="I2251" s="205"/>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5"/>
      <c r="AB2251" s="205"/>
    </row>
    <row r="2252" spans="1:28" s="204" customFormat="1" ht="46" customHeight="1">
      <c r="A2252" s="156" t="str">
        <f>'Reported burning'!A2252</f>
        <v>267e</v>
      </c>
      <c r="B2252" s="156" t="str">
        <f>'Reported burning'!B2252</f>
        <v>267e.3</v>
      </c>
      <c r="C2252" s="156" t="str">
        <f>'Reported burning'!C2252</f>
        <v>Human, deliberate</v>
      </c>
      <c r="D2252" s="156" t="str">
        <f>'Reported burning'!D2252</f>
        <v>Crop residue burning</v>
      </c>
      <c r="E2252" s="156" t="str">
        <f>'Reported burning'!E2252</f>
        <v>Mixed cropping-livestock small holder, Market-oriented</v>
      </c>
      <c r="F2252" s="156" t="str">
        <f>'Reported burning'!F2252</f>
        <v>Cropland</v>
      </c>
      <c r="G2252" s="156" t="str">
        <f>'Reported burning'!G2252</f>
        <v>Cropland</v>
      </c>
      <c r="H2252" s="156" t="str">
        <f>'Reported burning'!H2252</f>
        <v>Presence</v>
      </c>
      <c r="I2252" s="205"/>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5"/>
      <c r="AB2252" s="205"/>
    </row>
    <row r="2253" spans="1:28" s="204" customFormat="1" ht="46" customHeight="1">
      <c r="A2253" s="156" t="str">
        <f>'Reported burning'!A2253</f>
        <v>267e</v>
      </c>
      <c r="B2253" s="156" t="str">
        <f>'Reported burning'!B2253</f>
        <v>267e.4</v>
      </c>
      <c r="C2253" s="156" t="str">
        <f>'Reported burning'!C2253</f>
        <v>Human, deliberate</v>
      </c>
      <c r="D2253" s="156" t="str">
        <f>'Reported burning'!D2253</f>
        <v>Forest clearance</v>
      </c>
      <c r="E2253" s="156" t="str">
        <f>'Reported burning'!E2253</f>
        <v>Mixed cropping-livestock small holder, Market-oriented</v>
      </c>
      <c r="F2253" s="156" t="str">
        <f>'Reported burning'!F2253</f>
        <v>Cropland</v>
      </c>
      <c r="G2253" s="156" t="str">
        <f>'Reported burning'!G2253</f>
        <v>Cropland</v>
      </c>
      <c r="H2253" s="156" t="str">
        <f>'Reported burning'!H2253</f>
        <v>Absence</v>
      </c>
      <c r="I2253" s="205"/>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5"/>
      <c r="AB2253" s="205"/>
    </row>
    <row r="2254" spans="1:28" s="204" customFormat="1" ht="46" customHeight="1">
      <c r="A2254" s="156" t="str">
        <f>'Reported burning'!A2254</f>
        <v>267e</v>
      </c>
      <c r="B2254" s="156" t="str">
        <f>'Reported burning'!B2254</f>
        <v>267e.5</v>
      </c>
      <c r="C2254" s="156" t="str">
        <f>'Reported burning'!C2254</f>
        <v>Human, escaped</v>
      </c>
      <c r="D2254" s="156" t="str">
        <f>'Reported burning'!D2254</f>
        <v>Pasture renewal</v>
      </c>
      <c r="E2254" s="156" t="str">
        <f>'Reported burning'!E2254</f>
        <v>Mixed cropping-livestock small holder, Market-oriented</v>
      </c>
      <c r="F2254" s="156" t="str">
        <f>'Reported burning'!F2254</f>
        <v>Pasture</v>
      </c>
      <c r="G2254" s="156" t="str">
        <f>'Reported burning'!G2254</f>
        <v>Cropland</v>
      </c>
      <c r="H2254" s="156" t="str">
        <f>'Reported burning'!H2254</f>
        <v>Presence</v>
      </c>
      <c r="I2254" s="205"/>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5"/>
      <c r="AB2254" s="205"/>
    </row>
    <row r="2255" spans="1:28" s="204" customFormat="1" ht="46" customHeight="1">
      <c r="A2255" s="156" t="str">
        <f>'Reported burning'!A2255</f>
        <v>267e</v>
      </c>
      <c r="B2255" s="156" t="str">
        <f>'Reported burning'!B2255</f>
        <v>267e.6</v>
      </c>
      <c r="C2255" s="156" t="str">
        <f>'Reported burning'!C2255</f>
        <v>Human, deliberate</v>
      </c>
      <c r="D2255" s="156" t="str">
        <f>'Reported burning'!D2255</f>
        <v>Pasture renewal</v>
      </c>
      <c r="E2255" s="156" t="str">
        <f>'Reported burning'!E2255</f>
        <v>Mixed cropping-livestock small holder, Market-oriented</v>
      </c>
      <c r="F2255" s="156" t="str">
        <f>'Reported burning'!F2255</f>
        <v>Pasture</v>
      </c>
      <c r="G2255" s="156" t="str">
        <f>'Reported burning'!G2255</f>
        <v>Cropland</v>
      </c>
      <c r="H2255" s="156" t="str">
        <f>'Reported burning'!H2255</f>
        <v>Presence</v>
      </c>
      <c r="I2255" s="205"/>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5"/>
      <c r="AB2255" s="205"/>
    </row>
    <row r="2256" spans="1:28" s="204" customFormat="1" ht="46" customHeight="1">
      <c r="A2256" s="156" t="str">
        <f>'Reported burning'!A2256</f>
        <v>267e</v>
      </c>
      <c r="B2256" s="156" t="str">
        <f>'Reported burning'!B2256</f>
        <v>267e.7</v>
      </c>
      <c r="C2256" s="156" t="str">
        <f>'Reported burning'!C2256</f>
        <v>Human, deliberate</v>
      </c>
      <c r="D2256" s="156" t="str">
        <f>'Reported burning'!D2256</f>
        <v>Arson</v>
      </c>
      <c r="E2256" s="156" t="str">
        <f>'Reported burning'!E2256</f>
        <v>Mixed cropping-livestock small holder, Market-oriented</v>
      </c>
      <c r="F2256" s="156" t="str">
        <f>'Reported burning'!F2256</f>
        <v>ND</v>
      </c>
      <c r="G2256" s="156" t="str">
        <f>'Reported burning'!G2256</f>
        <v>ND</v>
      </c>
      <c r="H2256" s="156" t="str">
        <f>'Reported burning'!H2256</f>
        <v>Presence</v>
      </c>
      <c r="I2256" s="205"/>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5"/>
      <c r="AB2256" s="205"/>
    </row>
    <row r="2257" spans="1:28" s="204" customFormat="1" ht="46" customHeight="1">
      <c r="A2257" s="156" t="str">
        <f>'Reported burning'!A2257</f>
        <v>267f</v>
      </c>
      <c r="B2257" s="156" t="str">
        <f>'Reported burning'!B2257</f>
        <v>267f.1</v>
      </c>
      <c r="C2257" s="156" t="str">
        <f>'Reported burning'!C2257</f>
        <v>Human, escaped</v>
      </c>
      <c r="D2257" s="156" t="str">
        <f>'Reported burning'!D2257</f>
        <v>Crop residue burning</v>
      </c>
      <c r="E2257" s="156" t="str">
        <f>'Reported burning'!E2257</f>
        <v>Mixed cropping-livestock small holder, Market-oriented</v>
      </c>
      <c r="F2257" s="156" t="str">
        <f>'Reported burning'!F2257</f>
        <v>Cropland</v>
      </c>
      <c r="G2257" s="156" t="str">
        <f>'Reported burning'!G2257</f>
        <v>Forest</v>
      </c>
      <c r="H2257" s="156" t="str">
        <f>'Reported burning'!H2257</f>
        <v>Presence</v>
      </c>
      <c r="I2257" s="205"/>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5"/>
      <c r="AB2257" s="205"/>
    </row>
    <row r="2258" spans="1:28" s="204" customFormat="1" ht="46" customHeight="1">
      <c r="A2258" s="156" t="str">
        <f>'Reported burning'!A2258</f>
        <v>267f</v>
      </c>
      <c r="B2258" s="156" t="str">
        <f>'Reported burning'!B2258</f>
        <v>267f.2</v>
      </c>
      <c r="C2258" s="156" t="str">
        <f>'Reported burning'!C2258</f>
        <v>Human, escaped</v>
      </c>
      <c r="D2258" s="156" t="str">
        <f>'Reported burning'!D2258</f>
        <v>Forest clearance</v>
      </c>
      <c r="E2258" s="156" t="str">
        <f>'Reported burning'!E2258</f>
        <v>Mixed cropping-livestock small holder, Market-oriented</v>
      </c>
      <c r="F2258" s="156" t="str">
        <f>'Reported burning'!F2258</f>
        <v>Cropland</v>
      </c>
      <c r="G2258" s="156" t="str">
        <f>'Reported burning'!G2258</f>
        <v>Forest</v>
      </c>
      <c r="H2258" s="156" t="str">
        <f>'Reported burning'!H2258</f>
        <v>Absence</v>
      </c>
      <c r="I2258" s="205"/>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5"/>
      <c r="AB2258" s="205"/>
    </row>
    <row r="2259" spans="1:28" s="204" customFormat="1" ht="46" customHeight="1">
      <c r="A2259" s="156" t="str">
        <f>'Reported burning'!A2259</f>
        <v>267f</v>
      </c>
      <c r="B2259" s="156" t="str">
        <f>'Reported burning'!B2259</f>
        <v>267f.3</v>
      </c>
      <c r="C2259" s="156" t="str">
        <f>'Reported burning'!C2259</f>
        <v>Human, deliberate</v>
      </c>
      <c r="D2259" s="156" t="str">
        <f>'Reported burning'!D2259</f>
        <v>Crop residue burning</v>
      </c>
      <c r="E2259" s="156" t="str">
        <f>'Reported burning'!E2259</f>
        <v>Mixed cropping-livestock small holder, Market-oriented</v>
      </c>
      <c r="F2259" s="156" t="str">
        <f>'Reported burning'!F2259</f>
        <v>Cropland</v>
      </c>
      <c r="G2259" s="156" t="str">
        <f>'Reported burning'!G2259</f>
        <v>Cropland</v>
      </c>
      <c r="H2259" s="156" t="str">
        <f>'Reported burning'!H2259</f>
        <v>Presence</v>
      </c>
      <c r="I2259" s="205"/>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5"/>
      <c r="AB2259" s="205"/>
    </row>
    <row r="2260" spans="1:28" s="204" customFormat="1" ht="46" customHeight="1">
      <c r="A2260" s="156" t="str">
        <f>'Reported burning'!A2260</f>
        <v>267f</v>
      </c>
      <c r="B2260" s="156" t="str">
        <f>'Reported burning'!B2260</f>
        <v>267f.4</v>
      </c>
      <c r="C2260" s="156" t="str">
        <f>'Reported burning'!C2260</f>
        <v>Human, deliberate</v>
      </c>
      <c r="D2260" s="156" t="str">
        <f>'Reported burning'!D2260</f>
        <v>Forest clearance</v>
      </c>
      <c r="E2260" s="156" t="str">
        <f>'Reported burning'!E2260</f>
        <v>Mixed cropping-livestock small holder, Market-oriented</v>
      </c>
      <c r="F2260" s="156" t="str">
        <f>'Reported burning'!F2260</f>
        <v>Cropland</v>
      </c>
      <c r="G2260" s="156" t="str">
        <f>'Reported burning'!G2260</f>
        <v>Cropland</v>
      </c>
      <c r="H2260" s="156" t="str">
        <f>'Reported burning'!H2260</f>
        <v>Absence</v>
      </c>
      <c r="I2260" s="205"/>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5"/>
      <c r="AB2260" s="205"/>
    </row>
    <row r="2261" spans="1:28" s="204" customFormat="1" ht="46" customHeight="1">
      <c r="A2261" s="156" t="str">
        <f>'Reported burning'!A2261</f>
        <v>267f</v>
      </c>
      <c r="B2261" s="156" t="str">
        <f>'Reported burning'!B2261</f>
        <v>267f.5</v>
      </c>
      <c r="C2261" s="156" t="str">
        <f>'Reported burning'!C2261</f>
        <v>Human, escaped</v>
      </c>
      <c r="D2261" s="156" t="str">
        <f>'Reported burning'!D2261</f>
        <v>Pasture renewal</v>
      </c>
      <c r="E2261" s="156" t="str">
        <f>'Reported burning'!E2261</f>
        <v>Mixed cropping-livestock small holder, Market-oriented</v>
      </c>
      <c r="F2261" s="156" t="str">
        <f>'Reported burning'!F2261</f>
        <v>Pasture</v>
      </c>
      <c r="G2261" s="156" t="str">
        <f>'Reported burning'!G2261</f>
        <v>Cropland</v>
      </c>
      <c r="H2261" s="156" t="str">
        <f>'Reported burning'!H2261</f>
        <v>Presence</v>
      </c>
      <c r="I2261" s="205"/>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5"/>
      <c r="AB2261" s="205"/>
    </row>
    <row r="2262" spans="1:28" s="204" customFormat="1" ht="46" customHeight="1">
      <c r="A2262" s="156" t="str">
        <f>'Reported burning'!A2262</f>
        <v>267f</v>
      </c>
      <c r="B2262" s="156" t="str">
        <f>'Reported burning'!B2262</f>
        <v>267f.6</v>
      </c>
      <c r="C2262" s="156" t="str">
        <f>'Reported burning'!C2262</f>
        <v>Human, deliberate</v>
      </c>
      <c r="D2262" s="156" t="str">
        <f>'Reported burning'!D2262</f>
        <v>Pasture renewal</v>
      </c>
      <c r="E2262" s="156" t="str">
        <f>'Reported burning'!E2262</f>
        <v>Mixed cropping-livestock small holder, Market-oriented</v>
      </c>
      <c r="F2262" s="156" t="str">
        <f>'Reported burning'!F2262</f>
        <v>Pasture</v>
      </c>
      <c r="G2262" s="156" t="str">
        <f>'Reported burning'!G2262</f>
        <v>Cropland</v>
      </c>
      <c r="H2262" s="156" t="str">
        <f>'Reported burning'!H2262</f>
        <v>Presence</v>
      </c>
      <c r="I2262" s="205"/>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5"/>
      <c r="AB2262" s="205"/>
    </row>
    <row r="2263" spans="1:28" s="204" customFormat="1" ht="46" customHeight="1">
      <c r="A2263" s="156" t="str">
        <f>'Reported burning'!A2263</f>
        <v>267f</v>
      </c>
      <c r="B2263" s="156" t="str">
        <f>'Reported burning'!B2263</f>
        <v>267f.7</v>
      </c>
      <c r="C2263" s="156" t="str">
        <f>'Reported burning'!C2263</f>
        <v>Human, deliberate</v>
      </c>
      <c r="D2263" s="156" t="str">
        <f>'Reported burning'!D2263</f>
        <v>Arson</v>
      </c>
      <c r="E2263" s="156" t="str">
        <f>'Reported burning'!E2263</f>
        <v>Mixed cropping-livestock small holder, Market-oriented</v>
      </c>
      <c r="F2263" s="156" t="str">
        <f>'Reported burning'!F2263</f>
        <v>ND</v>
      </c>
      <c r="G2263" s="156" t="str">
        <f>'Reported burning'!G2263</f>
        <v>ND</v>
      </c>
      <c r="H2263" s="156" t="str">
        <f>'Reported burning'!H2263</f>
        <v>Presence</v>
      </c>
      <c r="I2263" s="205"/>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5"/>
      <c r="AB2263" s="205"/>
    </row>
    <row r="2264" spans="1:28" s="204" customFormat="1" ht="46" customHeight="1">
      <c r="A2264" s="156" t="str">
        <f>'Reported burning'!A2264</f>
        <v>267g</v>
      </c>
      <c r="B2264" s="156" t="str">
        <f>'Reported burning'!B2264</f>
        <v>267g.1</v>
      </c>
      <c r="C2264" s="156" t="str">
        <f>'Reported burning'!C2264</f>
        <v>Human, escaped</v>
      </c>
      <c r="D2264" s="156" t="str">
        <f>'Reported burning'!D2264</f>
        <v>Crop residue burning</v>
      </c>
      <c r="E2264" s="156" t="str">
        <f>'Reported burning'!E2264</f>
        <v>Mixed cropping-livestock small holder, Market-oriented</v>
      </c>
      <c r="F2264" s="156" t="str">
        <f>'Reported burning'!F2264</f>
        <v>Cropland</v>
      </c>
      <c r="G2264" s="156" t="str">
        <f>'Reported burning'!G2264</f>
        <v>Forest</v>
      </c>
      <c r="H2264" s="156" t="str">
        <f>'Reported burning'!H2264</f>
        <v>Presence</v>
      </c>
      <c r="I2264" s="205"/>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5"/>
      <c r="AB2264" s="205"/>
    </row>
    <row r="2265" spans="1:28" s="204" customFormat="1" ht="46" customHeight="1">
      <c r="A2265" s="156" t="str">
        <f>'Reported burning'!A2265</f>
        <v>267g</v>
      </c>
      <c r="B2265" s="156" t="str">
        <f>'Reported burning'!B2265</f>
        <v>267g.2</v>
      </c>
      <c r="C2265" s="156" t="str">
        <f>'Reported burning'!C2265</f>
        <v>Human, escaped</v>
      </c>
      <c r="D2265" s="156" t="str">
        <f>'Reported burning'!D2265</f>
        <v>Forest clearance</v>
      </c>
      <c r="E2265" s="156" t="str">
        <f>'Reported burning'!E2265</f>
        <v>Mixed cropping-livestock small holder, Market-oriented</v>
      </c>
      <c r="F2265" s="156" t="str">
        <f>'Reported burning'!F2265</f>
        <v>Cropland</v>
      </c>
      <c r="G2265" s="156" t="str">
        <f>'Reported burning'!G2265</f>
        <v>Forest</v>
      </c>
      <c r="H2265" s="156" t="str">
        <f>'Reported burning'!H2265</f>
        <v>Absence</v>
      </c>
      <c r="I2265" s="205"/>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5"/>
      <c r="AB2265" s="205"/>
    </row>
    <row r="2266" spans="1:28" s="204" customFormat="1" ht="46" customHeight="1">
      <c r="A2266" s="156" t="str">
        <f>'Reported burning'!A2266</f>
        <v>267g</v>
      </c>
      <c r="B2266" s="156" t="str">
        <f>'Reported burning'!B2266</f>
        <v>267g.3</v>
      </c>
      <c r="C2266" s="156" t="str">
        <f>'Reported burning'!C2266</f>
        <v>Human, deliberate</v>
      </c>
      <c r="D2266" s="156" t="str">
        <f>'Reported burning'!D2266</f>
        <v>Crop residue burning</v>
      </c>
      <c r="E2266" s="156" t="str">
        <f>'Reported burning'!E2266</f>
        <v>Mixed cropping-livestock small holder, Market-oriented</v>
      </c>
      <c r="F2266" s="156" t="str">
        <f>'Reported burning'!F2266</f>
        <v>Cropland</v>
      </c>
      <c r="G2266" s="156" t="str">
        <f>'Reported burning'!G2266</f>
        <v>Cropland</v>
      </c>
      <c r="H2266" s="156" t="str">
        <f>'Reported burning'!H2266</f>
        <v>Presence</v>
      </c>
      <c r="I2266" s="205"/>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5"/>
      <c r="AB2266" s="205"/>
    </row>
    <row r="2267" spans="1:28" s="204" customFormat="1" ht="46" customHeight="1">
      <c r="A2267" s="156" t="str">
        <f>'Reported burning'!A2267</f>
        <v>267g</v>
      </c>
      <c r="B2267" s="156" t="str">
        <f>'Reported burning'!B2267</f>
        <v>267g.4</v>
      </c>
      <c r="C2267" s="156" t="str">
        <f>'Reported burning'!C2267</f>
        <v>Human, deliberate</v>
      </c>
      <c r="D2267" s="156" t="str">
        <f>'Reported burning'!D2267</f>
        <v>Forest clearance</v>
      </c>
      <c r="E2267" s="156" t="str">
        <f>'Reported burning'!E2267</f>
        <v>Mixed cropping-livestock small holder, Market-oriented</v>
      </c>
      <c r="F2267" s="156" t="str">
        <f>'Reported burning'!F2267</f>
        <v>Cropland</v>
      </c>
      <c r="G2267" s="156" t="str">
        <f>'Reported burning'!G2267</f>
        <v>Cropland</v>
      </c>
      <c r="H2267" s="156" t="str">
        <f>'Reported burning'!H2267</f>
        <v>Absence</v>
      </c>
      <c r="I2267" s="205"/>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5"/>
      <c r="AB2267" s="205"/>
    </row>
    <row r="2268" spans="1:28" s="204" customFormat="1" ht="46" customHeight="1">
      <c r="A2268" s="156" t="str">
        <f>'Reported burning'!A2268</f>
        <v>267g</v>
      </c>
      <c r="B2268" s="156" t="str">
        <f>'Reported burning'!B2268</f>
        <v>267g.5</v>
      </c>
      <c r="C2268" s="156" t="str">
        <f>'Reported burning'!C2268</f>
        <v>Human, escaped</v>
      </c>
      <c r="D2268" s="156" t="str">
        <f>'Reported burning'!D2268</f>
        <v>Pasture renewal</v>
      </c>
      <c r="E2268" s="156" t="str">
        <f>'Reported burning'!E2268</f>
        <v>Mixed cropping-livestock small holder, Market-oriented</v>
      </c>
      <c r="F2268" s="156" t="str">
        <f>'Reported burning'!F2268</f>
        <v>Pasture</v>
      </c>
      <c r="G2268" s="156" t="str">
        <f>'Reported burning'!G2268</f>
        <v>Cropland</v>
      </c>
      <c r="H2268" s="156" t="str">
        <f>'Reported burning'!H2268</f>
        <v>Presence</v>
      </c>
      <c r="I2268" s="205"/>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5"/>
      <c r="AB2268" s="205"/>
    </row>
    <row r="2269" spans="1:28" s="204" customFormat="1" ht="46" customHeight="1">
      <c r="A2269" s="156" t="str">
        <f>'Reported burning'!A2269</f>
        <v>267g</v>
      </c>
      <c r="B2269" s="156" t="str">
        <f>'Reported burning'!B2269</f>
        <v>267g.6</v>
      </c>
      <c r="C2269" s="156" t="str">
        <f>'Reported burning'!C2269</f>
        <v>Human, deliberate</v>
      </c>
      <c r="D2269" s="156" t="str">
        <f>'Reported burning'!D2269</f>
        <v>Pasture renewal</v>
      </c>
      <c r="E2269" s="156" t="str">
        <f>'Reported burning'!E2269</f>
        <v>Mixed cropping-livestock small holder, Market-oriented</v>
      </c>
      <c r="F2269" s="156" t="str">
        <f>'Reported burning'!F2269</f>
        <v>Pasture</v>
      </c>
      <c r="G2269" s="156" t="str">
        <f>'Reported burning'!G2269</f>
        <v>Cropland</v>
      </c>
      <c r="H2269" s="156" t="str">
        <f>'Reported burning'!H2269</f>
        <v>Presence</v>
      </c>
      <c r="I2269" s="205"/>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5"/>
      <c r="AB2269" s="205"/>
    </row>
    <row r="2270" spans="1:28" s="204" customFormat="1" ht="46" customHeight="1">
      <c r="A2270" s="156" t="str">
        <f>'Reported burning'!A2270</f>
        <v>267g</v>
      </c>
      <c r="B2270" s="156" t="str">
        <f>'Reported burning'!B2270</f>
        <v>267g.7</v>
      </c>
      <c r="C2270" s="156" t="str">
        <f>'Reported burning'!C2270</f>
        <v>Human, deliberate</v>
      </c>
      <c r="D2270" s="156" t="str">
        <f>'Reported burning'!D2270</f>
        <v>Arson</v>
      </c>
      <c r="E2270" s="156" t="str">
        <f>'Reported burning'!E2270</f>
        <v>Mixed cropping-livestock small holder, Market-oriented</v>
      </c>
      <c r="F2270" s="156" t="str">
        <f>'Reported burning'!F2270</f>
        <v>ND</v>
      </c>
      <c r="G2270" s="156" t="str">
        <f>'Reported burning'!G2270</f>
        <v>ND</v>
      </c>
      <c r="H2270" s="156" t="str">
        <f>'Reported burning'!H2270</f>
        <v>Presence</v>
      </c>
      <c r="I2270" s="205"/>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5"/>
      <c r="AB2270" s="205"/>
    </row>
    <row r="2271" spans="1:28" s="204" customFormat="1" ht="46" customHeight="1">
      <c r="A2271" s="156" t="str">
        <f>'Reported burning'!A2271</f>
        <v>267h</v>
      </c>
      <c r="B2271" s="156" t="str">
        <f>'Reported burning'!B2271</f>
        <v>267h.1</v>
      </c>
      <c r="C2271" s="156" t="str">
        <f>'Reported burning'!C2271</f>
        <v>Human, escaped</v>
      </c>
      <c r="D2271" s="156" t="str">
        <f>'Reported burning'!D2271</f>
        <v>Crop residue burning</v>
      </c>
      <c r="E2271" s="156" t="str">
        <f>'Reported burning'!E2271</f>
        <v>Mixed cropping-livestock small holder, Market-oriented</v>
      </c>
      <c r="F2271" s="156" t="str">
        <f>'Reported burning'!F2271</f>
        <v>Cropland</v>
      </c>
      <c r="G2271" s="156" t="str">
        <f>'Reported burning'!G2271</f>
        <v>Forest</v>
      </c>
      <c r="H2271" s="156" t="str">
        <f>'Reported burning'!H2271</f>
        <v>Presence</v>
      </c>
      <c r="I2271" s="205"/>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5"/>
      <c r="AB2271" s="205"/>
    </row>
    <row r="2272" spans="1:28" s="204" customFormat="1" ht="46" customHeight="1">
      <c r="A2272" s="156" t="str">
        <f>'Reported burning'!A2272</f>
        <v>267h</v>
      </c>
      <c r="B2272" s="156" t="str">
        <f>'Reported burning'!B2272</f>
        <v>267h.2</v>
      </c>
      <c r="C2272" s="156" t="str">
        <f>'Reported burning'!C2272</f>
        <v>Human, escaped</v>
      </c>
      <c r="D2272" s="156" t="str">
        <f>'Reported burning'!D2272</f>
        <v>Forest clearance</v>
      </c>
      <c r="E2272" s="156" t="str">
        <f>'Reported burning'!E2272</f>
        <v>Mixed cropping-livestock small holder, Market-oriented</v>
      </c>
      <c r="F2272" s="156" t="str">
        <f>'Reported burning'!F2272</f>
        <v>Cropland</v>
      </c>
      <c r="G2272" s="156" t="str">
        <f>'Reported burning'!G2272</f>
        <v>Forest</v>
      </c>
      <c r="H2272" s="156" t="str">
        <f>'Reported burning'!H2272</f>
        <v>Absence</v>
      </c>
      <c r="I2272" s="205"/>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5"/>
      <c r="AB2272" s="205"/>
    </row>
    <row r="2273" spans="1:28" s="204" customFormat="1" ht="46" customHeight="1">
      <c r="A2273" s="156" t="str">
        <f>'Reported burning'!A2273</f>
        <v>267h</v>
      </c>
      <c r="B2273" s="156" t="str">
        <f>'Reported burning'!B2273</f>
        <v>267h.3</v>
      </c>
      <c r="C2273" s="156" t="str">
        <f>'Reported burning'!C2273</f>
        <v>Human, deliberate</v>
      </c>
      <c r="D2273" s="156" t="str">
        <f>'Reported burning'!D2273</f>
        <v>Crop residue burning</v>
      </c>
      <c r="E2273" s="156" t="str">
        <f>'Reported burning'!E2273</f>
        <v>Mixed cropping-livestock small holder, Market-oriented</v>
      </c>
      <c r="F2273" s="156" t="str">
        <f>'Reported burning'!F2273</f>
        <v>Cropland</v>
      </c>
      <c r="G2273" s="156" t="str">
        <f>'Reported burning'!G2273</f>
        <v>Cropland</v>
      </c>
      <c r="H2273" s="156" t="str">
        <f>'Reported burning'!H2273</f>
        <v>Presence</v>
      </c>
      <c r="I2273" s="205"/>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5"/>
      <c r="AB2273" s="205"/>
    </row>
    <row r="2274" spans="1:28" s="204" customFormat="1" ht="46" customHeight="1">
      <c r="A2274" s="156" t="str">
        <f>'Reported burning'!A2274</f>
        <v>267h</v>
      </c>
      <c r="B2274" s="156" t="str">
        <f>'Reported burning'!B2274</f>
        <v>267h.4</v>
      </c>
      <c r="C2274" s="156" t="str">
        <f>'Reported burning'!C2274</f>
        <v>Human, deliberate</v>
      </c>
      <c r="D2274" s="156" t="str">
        <f>'Reported burning'!D2274</f>
        <v>Forest clearance</v>
      </c>
      <c r="E2274" s="156" t="str">
        <f>'Reported burning'!E2274</f>
        <v>Mixed cropping-livestock small holder, Market-oriented</v>
      </c>
      <c r="F2274" s="156" t="str">
        <f>'Reported burning'!F2274</f>
        <v>Cropland</v>
      </c>
      <c r="G2274" s="156" t="str">
        <f>'Reported burning'!G2274</f>
        <v>Cropland</v>
      </c>
      <c r="H2274" s="156" t="str">
        <f>'Reported burning'!H2274</f>
        <v>Absence</v>
      </c>
      <c r="I2274" s="205"/>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5"/>
      <c r="AB2274" s="205"/>
    </row>
    <row r="2275" spans="1:28" s="204" customFormat="1" ht="46" customHeight="1">
      <c r="A2275" s="156" t="str">
        <f>'Reported burning'!A2275</f>
        <v>267h</v>
      </c>
      <c r="B2275" s="156" t="str">
        <f>'Reported burning'!B2275</f>
        <v>267h.5</v>
      </c>
      <c r="C2275" s="156" t="str">
        <f>'Reported burning'!C2275</f>
        <v>Human, escaped</v>
      </c>
      <c r="D2275" s="156" t="str">
        <f>'Reported burning'!D2275</f>
        <v>Pasture renewal</v>
      </c>
      <c r="E2275" s="156" t="str">
        <f>'Reported burning'!E2275</f>
        <v>Mixed cropping-livestock small holder, Market-oriented</v>
      </c>
      <c r="F2275" s="156" t="str">
        <f>'Reported burning'!F2275</f>
        <v>Pasture</v>
      </c>
      <c r="G2275" s="156" t="str">
        <f>'Reported burning'!G2275</f>
        <v>Cropland</v>
      </c>
      <c r="H2275" s="156" t="str">
        <f>'Reported burning'!H2275</f>
        <v>Presence</v>
      </c>
      <c r="I2275" s="205"/>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5"/>
      <c r="AB2275" s="205"/>
    </row>
    <row r="2276" spans="1:28" s="204" customFormat="1" ht="46" customHeight="1">
      <c r="A2276" s="156" t="str">
        <f>'Reported burning'!A2276</f>
        <v>267h</v>
      </c>
      <c r="B2276" s="156" t="str">
        <f>'Reported burning'!B2276</f>
        <v>267h.6</v>
      </c>
      <c r="C2276" s="156" t="str">
        <f>'Reported burning'!C2276</f>
        <v>Human, deliberate</v>
      </c>
      <c r="D2276" s="156" t="str">
        <f>'Reported burning'!D2276</f>
        <v>Pasture renewal</v>
      </c>
      <c r="E2276" s="156" t="str">
        <f>'Reported burning'!E2276</f>
        <v>Mixed cropping-livestock small holder, Market-oriented</v>
      </c>
      <c r="F2276" s="156" t="str">
        <f>'Reported burning'!F2276</f>
        <v>Pasture</v>
      </c>
      <c r="G2276" s="156" t="str">
        <f>'Reported burning'!G2276</f>
        <v>Cropland</v>
      </c>
      <c r="H2276" s="156" t="str">
        <f>'Reported burning'!H2276</f>
        <v>Presence</v>
      </c>
      <c r="I2276" s="205"/>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5"/>
      <c r="AB2276" s="205"/>
    </row>
    <row r="2277" spans="1:28" s="204" customFormat="1" ht="46" customHeight="1">
      <c r="A2277" s="156" t="str">
        <f>'Reported burning'!A2277</f>
        <v>267h</v>
      </c>
      <c r="B2277" s="156" t="str">
        <f>'Reported burning'!B2277</f>
        <v>267h.7</v>
      </c>
      <c r="C2277" s="156" t="str">
        <f>'Reported burning'!C2277</f>
        <v>Human, deliberate</v>
      </c>
      <c r="D2277" s="156" t="str">
        <f>'Reported burning'!D2277</f>
        <v>Arson</v>
      </c>
      <c r="E2277" s="156" t="str">
        <f>'Reported burning'!E2277</f>
        <v>Mixed cropping-livestock small holder, Market-oriented</v>
      </c>
      <c r="F2277" s="156" t="str">
        <f>'Reported burning'!F2277</f>
        <v>ND</v>
      </c>
      <c r="G2277" s="156" t="str">
        <f>'Reported burning'!G2277</f>
        <v>ND</v>
      </c>
      <c r="H2277" s="156" t="str">
        <f>'Reported burning'!H2277</f>
        <v>Presence</v>
      </c>
      <c r="I2277" s="205"/>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5"/>
      <c r="AB2277" s="205"/>
    </row>
    <row r="2278" spans="1:28" s="204" customFormat="1" ht="46" customHeight="1">
      <c r="A2278" s="156" t="str">
        <f>'Reported burning'!A2278</f>
        <v>267i</v>
      </c>
      <c r="B2278" s="156" t="str">
        <f>'Reported burning'!B2278</f>
        <v>267i.1</v>
      </c>
      <c r="C2278" s="156" t="str">
        <f>'Reported burning'!C2278</f>
        <v>Human, escaped</v>
      </c>
      <c r="D2278" s="156" t="str">
        <f>'Reported burning'!D2278</f>
        <v>Crop residue burning</v>
      </c>
      <c r="E2278" s="156" t="str">
        <f>'Reported burning'!E2278</f>
        <v>Mixed cropping-livestock small holder, Market-oriented</v>
      </c>
      <c r="F2278" s="156" t="str">
        <f>'Reported burning'!F2278</f>
        <v>Cropland</v>
      </c>
      <c r="G2278" s="156" t="str">
        <f>'Reported burning'!G2278</f>
        <v>Forest</v>
      </c>
      <c r="H2278" s="156" t="str">
        <f>'Reported burning'!H2278</f>
        <v>Presence</v>
      </c>
      <c r="I2278" s="205"/>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5"/>
      <c r="AB2278" s="205"/>
    </row>
    <row r="2279" spans="1:28" s="204" customFormat="1" ht="46" customHeight="1">
      <c r="A2279" s="156" t="str">
        <f>'Reported burning'!A2279</f>
        <v>267i</v>
      </c>
      <c r="B2279" s="156" t="str">
        <f>'Reported burning'!B2279</f>
        <v>267i.2</v>
      </c>
      <c r="C2279" s="156" t="str">
        <f>'Reported burning'!C2279</f>
        <v>Human, escaped</v>
      </c>
      <c r="D2279" s="156" t="str">
        <f>'Reported burning'!D2279</f>
        <v>Forest clearance</v>
      </c>
      <c r="E2279" s="156" t="str">
        <f>'Reported burning'!E2279</f>
        <v>Mixed cropping-livestock small holder, Market-oriented</v>
      </c>
      <c r="F2279" s="156" t="str">
        <f>'Reported burning'!F2279</f>
        <v>Cropland</v>
      </c>
      <c r="G2279" s="156" t="str">
        <f>'Reported burning'!G2279</f>
        <v>Forest</v>
      </c>
      <c r="H2279" s="156" t="str">
        <f>'Reported burning'!H2279</f>
        <v>Absence</v>
      </c>
      <c r="I2279" s="205"/>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5"/>
      <c r="AB2279" s="205"/>
    </row>
    <row r="2280" spans="1:28" s="204" customFormat="1" ht="46" customHeight="1">
      <c r="A2280" s="156" t="str">
        <f>'Reported burning'!A2280</f>
        <v>267i</v>
      </c>
      <c r="B2280" s="156" t="str">
        <f>'Reported burning'!B2280</f>
        <v>267i.3</v>
      </c>
      <c r="C2280" s="156" t="str">
        <f>'Reported burning'!C2280</f>
        <v>Human, deliberate</v>
      </c>
      <c r="D2280" s="156" t="str">
        <f>'Reported burning'!D2280</f>
        <v>Crop residue burning</v>
      </c>
      <c r="E2280" s="156" t="str">
        <f>'Reported burning'!E2280</f>
        <v>Mixed cropping-livestock small holder, Market-oriented</v>
      </c>
      <c r="F2280" s="156" t="str">
        <f>'Reported burning'!F2280</f>
        <v>Cropland</v>
      </c>
      <c r="G2280" s="156" t="str">
        <f>'Reported burning'!G2280</f>
        <v>Cropland</v>
      </c>
      <c r="H2280" s="156" t="str">
        <f>'Reported burning'!H2280</f>
        <v>Presence</v>
      </c>
      <c r="I2280" s="205"/>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5"/>
      <c r="AB2280" s="205"/>
    </row>
    <row r="2281" spans="1:28" s="204" customFormat="1" ht="46" customHeight="1">
      <c r="A2281" s="156" t="str">
        <f>'Reported burning'!A2281</f>
        <v>267i</v>
      </c>
      <c r="B2281" s="156" t="str">
        <f>'Reported burning'!B2281</f>
        <v>267i.4</v>
      </c>
      <c r="C2281" s="156" t="str">
        <f>'Reported burning'!C2281</f>
        <v>Human, deliberate</v>
      </c>
      <c r="D2281" s="156" t="str">
        <f>'Reported burning'!D2281</f>
        <v>Forest clearance</v>
      </c>
      <c r="E2281" s="156" t="str">
        <f>'Reported burning'!E2281</f>
        <v>Mixed cropping-livestock small holder, Market-oriented</v>
      </c>
      <c r="F2281" s="156" t="str">
        <f>'Reported burning'!F2281</f>
        <v>Cropland</v>
      </c>
      <c r="G2281" s="156" t="str">
        <f>'Reported burning'!G2281</f>
        <v>Cropland</v>
      </c>
      <c r="H2281" s="156" t="str">
        <f>'Reported burning'!H2281</f>
        <v>Absence</v>
      </c>
      <c r="I2281" s="205"/>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5"/>
      <c r="AB2281" s="205"/>
    </row>
    <row r="2282" spans="1:28" s="204" customFormat="1" ht="46" customHeight="1">
      <c r="A2282" s="156" t="str">
        <f>'Reported burning'!A2282</f>
        <v>267i</v>
      </c>
      <c r="B2282" s="156" t="str">
        <f>'Reported burning'!B2282</f>
        <v>267i.5</v>
      </c>
      <c r="C2282" s="156" t="str">
        <f>'Reported burning'!C2282</f>
        <v>Human, escaped</v>
      </c>
      <c r="D2282" s="156" t="str">
        <f>'Reported burning'!D2282</f>
        <v>Pasture renewal</v>
      </c>
      <c r="E2282" s="156" t="str">
        <f>'Reported burning'!E2282</f>
        <v>Mixed cropping-livestock small holder, Market-oriented</v>
      </c>
      <c r="F2282" s="156" t="str">
        <f>'Reported burning'!F2282</f>
        <v>Pasture</v>
      </c>
      <c r="G2282" s="156" t="str">
        <f>'Reported burning'!G2282</f>
        <v>Cropland</v>
      </c>
      <c r="H2282" s="156" t="str">
        <f>'Reported burning'!H2282</f>
        <v>Presence</v>
      </c>
      <c r="I2282" s="205"/>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5"/>
      <c r="AB2282" s="205"/>
    </row>
    <row r="2283" spans="1:28" s="204" customFormat="1" ht="46" customHeight="1">
      <c r="A2283" s="156" t="str">
        <f>'Reported burning'!A2283</f>
        <v>267i</v>
      </c>
      <c r="B2283" s="156" t="str">
        <f>'Reported burning'!B2283</f>
        <v>267i.6</v>
      </c>
      <c r="C2283" s="156" t="str">
        <f>'Reported burning'!C2283</f>
        <v>Human, deliberate</v>
      </c>
      <c r="D2283" s="156" t="str">
        <f>'Reported burning'!D2283</f>
        <v>Pasture renewal</v>
      </c>
      <c r="E2283" s="156" t="str">
        <f>'Reported burning'!E2283</f>
        <v>Mixed cropping-livestock small holder, Market-oriented</v>
      </c>
      <c r="F2283" s="156" t="str">
        <f>'Reported burning'!F2283</f>
        <v>Pasture</v>
      </c>
      <c r="G2283" s="156" t="str">
        <f>'Reported burning'!G2283</f>
        <v>Cropland</v>
      </c>
      <c r="H2283" s="156" t="str">
        <f>'Reported burning'!H2283</f>
        <v>Presence</v>
      </c>
      <c r="I2283" s="205"/>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5"/>
      <c r="AB2283" s="205"/>
    </row>
    <row r="2284" spans="1:28" s="204" customFormat="1" ht="46" customHeight="1">
      <c r="A2284" s="156" t="str">
        <f>'Reported burning'!A2284</f>
        <v>267i</v>
      </c>
      <c r="B2284" s="156" t="str">
        <f>'Reported burning'!B2284</f>
        <v>267i.7</v>
      </c>
      <c r="C2284" s="156" t="str">
        <f>'Reported burning'!C2284</f>
        <v>Human, deliberate</v>
      </c>
      <c r="D2284" s="156" t="str">
        <f>'Reported burning'!D2284</f>
        <v>Arson</v>
      </c>
      <c r="E2284" s="156" t="str">
        <f>'Reported burning'!E2284</f>
        <v>Mixed cropping-livestock small holder, Market-oriented</v>
      </c>
      <c r="F2284" s="156" t="str">
        <f>'Reported burning'!F2284</f>
        <v>ND</v>
      </c>
      <c r="G2284" s="156" t="str">
        <f>'Reported burning'!G2284</f>
        <v>ND</v>
      </c>
      <c r="H2284" s="156" t="str">
        <f>'Reported burning'!H2284</f>
        <v>Presence</v>
      </c>
      <c r="I2284" s="205"/>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5"/>
      <c r="AB2284" s="205"/>
    </row>
    <row r="2285" spans="1:28" s="204" customFormat="1" ht="46" customHeight="1">
      <c r="A2285" s="156" t="str">
        <f>'Reported burning'!A2285</f>
        <v>267j</v>
      </c>
      <c r="B2285" s="156" t="str">
        <f>'Reported burning'!B2285</f>
        <v>267j.1</v>
      </c>
      <c r="C2285" s="156" t="str">
        <f>'Reported burning'!C2285</f>
        <v>Human, escaped</v>
      </c>
      <c r="D2285" s="156" t="str">
        <f>'Reported burning'!D2285</f>
        <v>Crop residue burning</v>
      </c>
      <c r="E2285" s="156" t="str">
        <f>'Reported burning'!E2285</f>
        <v>Mixed cropping-livestock small holder, Market-oriented</v>
      </c>
      <c r="F2285" s="156" t="str">
        <f>'Reported burning'!F2285</f>
        <v>Cropland</v>
      </c>
      <c r="G2285" s="156" t="str">
        <f>'Reported burning'!G2285</f>
        <v>Forest</v>
      </c>
      <c r="H2285" s="156" t="str">
        <f>'Reported burning'!H2285</f>
        <v>Presence</v>
      </c>
      <c r="I2285" s="205"/>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5"/>
      <c r="AB2285" s="205"/>
    </row>
    <row r="2286" spans="1:28" s="204" customFormat="1" ht="46" customHeight="1">
      <c r="A2286" s="156" t="str">
        <f>'Reported burning'!A2286</f>
        <v>267j</v>
      </c>
      <c r="B2286" s="156" t="str">
        <f>'Reported burning'!B2286</f>
        <v>267j.2</v>
      </c>
      <c r="C2286" s="156" t="str">
        <f>'Reported burning'!C2286</f>
        <v>Human, escaped</v>
      </c>
      <c r="D2286" s="156" t="str">
        <f>'Reported burning'!D2286</f>
        <v>Forest clearance</v>
      </c>
      <c r="E2286" s="156" t="str">
        <f>'Reported burning'!E2286</f>
        <v>Mixed cropping-livestock small holder, Market-oriented</v>
      </c>
      <c r="F2286" s="156" t="str">
        <f>'Reported burning'!F2286</f>
        <v>Cropland</v>
      </c>
      <c r="G2286" s="156" t="str">
        <f>'Reported burning'!G2286</f>
        <v>Forest</v>
      </c>
      <c r="H2286" s="156" t="str">
        <f>'Reported burning'!H2286</f>
        <v>Absence</v>
      </c>
      <c r="I2286" s="205"/>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5"/>
      <c r="AB2286" s="205"/>
    </row>
    <row r="2287" spans="1:28" s="204" customFormat="1" ht="46" customHeight="1">
      <c r="A2287" s="156" t="str">
        <f>'Reported burning'!A2287</f>
        <v>267j</v>
      </c>
      <c r="B2287" s="156" t="str">
        <f>'Reported burning'!B2287</f>
        <v>267j.3</v>
      </c>
      <c r="C2287" s="156" t="str">
        <f>'Reported burning'!C2287</f>
        <v>Human, deliberate</v>
      </c>
      <c r="D2287" s="156" t="str">
        <f>'Reported burning'!D2287</f>
        <v>Crop residue burning</v>
      </c>
      <c r="E2287" s="156" t="str">
        <f>'Reported burning'!E2287</f>
        <v>Mixed cropping-livestock small holder, Market-oriented</v>
      </c>
      <c r="F2287" s="156" t="str">
        <f>'Reported burning'!F2287</f>
        <v>Cropland</v>
      </c>
      <c r="G2287" s="156" t="str">
        <f>'Reported burning'!G2287</f>
        <v>Cropland</v>
      </c>
      <c r="H2287" s="156" t="str">
        <f>'Reported burning'!H2287</f>
        <v>Presence</v>
      </c>
      <c r="I2287" s="205"/>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5"/>
      <c r="AB2287" s="205"/>
    </row>
    <row r="2288" spans="1:28" s="204" customFormat="1" ht="46" customHeight="1">
      <c r="A2288" s="156" t="str">
        <f>'Reported burning'!A2288</f>
        <v>267j</v>
      </c>
      <c r="B2288" s="156" t="str">
        <f>'Reported burning'!B2288</f>
        <v>267j.4</v>
      </c>
      <c r="C2288" s="156" t="str">
        <f>'Reported burning'!C2288</f>
        <v>Human, deliberate</v>
      </c>
      <c r="D2288" s="156" t="str">
        <f>'Reported burning'!D2288</f>
        <v>Forest clearance</v>
      </c>
      <c r="E2288" s="156" t="str">
        <f>'Reported burning'!E2288</f>
        <v>Mixed cropping-livestock small holder, Market-oriented</v>
      </c>
      <c r="F2288" s="156" t="str">
        <f>'Reported burning'!F2288</f>
        <v>Cropland</v>
      </c>
      <c r="G2288" s="156" t="str">
        <f>'Reported burning'!G2288</f>
        <v>Cropland</v>
      </c>
      <c r="H2288" s="156" t="str">
        <f>'Reported burning'!H2288</f>
        <v>Absence</v>
      </c>
      <c r="I2288" s="205"/>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5"/>
      <c r="AB2288" s="205"/>
    </row>
    <row r="2289" spans="1:28" s="204" customFormat="1" ht="46" customHeight="1">
      <c r="A2289" s="156" t="str">
        <f>'Reported burning'!A2289</f>
        <v>267j</v>
      </c>
      <c r="B2289" s="156" t="str">
        <f>'Reported burning'!B2289</f>
        <v>267j.5</v>
      </c>
      <c r="C2289" s="156" t="str">
        <f>'Reported burning'!C2289</f>
        <v>Human, escaped</v>
      </c>
      <c r="D2289" s="156" t="str">
        <f>'Reported burning'!D2289</f>
        <v>Pasture renewal</v>
      </c>
      <c r="E2289" s="156" t="str">
        <f>'Reported burning'!E2289</f>
        <v>Mixed cropping-livestock small holder, Market-oriented</v>
      </c>
      <c r="F2289" s="156" t="str">
        <f>'Reported burning'!F2289</f>
        <v>Pasture</v>
      </c>
      <c r="G2289" s="156" t="str">
        <f>'Reported burning'!G2289</f>
        <v>Cropland</v>
      </c>
      <c r="H2289" s="156" t="str">
        <f>'Reported burning'!H2289</f>
        <v>Presence</v>
      </c>
      <c r="I2289" s="205"/>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5"/>
      <c r="AB2289" s="205"/>
    </row>
    <row r="2290" spans="1:28" s="204" customFormat="1" ht="46" customHeight="1">
      <c r="A2290" s="156" t="str">
        <f>'Reported burning'!A2290</f>
        <v>267j</v>
      </c>
      <c r="B2290" s="156" t="str">
        <f>'Reported burning'!B2290</f>
        <v>267j.6</v>
      </c>
      <c r="C2290" s="156" t="str">
        <f>'Reported burning'!C2290</f>
        <v>Human, deliberate</v>
      </c>
      <c r="D2290" s="156" t="str">
        <f>'Reported burning'!D2290</f>
        <v>Pasture renewal</v>
      </c>
      <c r="E2290" s="156" t="str">
        <f>'Reported burning'!E2290</f>
        <v>Mixed cropping-livestock small holder, Market-oriented</v>
      </c>
      <c r="F2290" s="156" t="str">
        <f>'Reported burning'!F2290</f>
        <v>Pasture</v>
      </c>
      <c r="G2290" s="156" t="str">
        <f>'Reported burning'!G2290</f>
        <v>Cropland</v>
      </c>
      <c r="H2290" s="156" t="str">
        <f>'Reported burning'!H2290</f>
        <v>Presence</v>
      </c>
      <c r="I2290" s="205"/>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5"/>
      <c r="AB2290" s="205"/>
    </row>
    <row r="2291" spans="1:28" s="204" customFormat="1" ht="46" customHeight="1">
      <c r="A2291" s="156" t="str">
        <f>'Reported burning'!A2291</f>
        <v>267j</v>
      </c>
      <c r="B2291" s="156" t="str">
        <f>'Reported burning'!B2291</f>
        <v>267j.7</v>
      </c>
      <c r="C2291" s="156" t="str">
        <f>'Reported burning'!C2291</f>
        <v>Human, deliberate</v>
      </c>
      <c r="D2291" s="156" t="str">
        <f>'Reported burning'!D2291</f>
        <v>Arson</v>
      </c>
      <c r="E2291" s="156" t="str">
        <f>'Reported burning'!E2291</f>
        <v>Mixed cropping-livestock small holder, Market-oriented</v>
      </c>
      <c r="F2291" s="156" t="str">
        <f>'Reported burning'!F2291</f>
        <v>ND</v>
      </c>
      <c r="G2291" s="156" t="str">
        <f>'Reported burning'!G2291</f>
        <v>ND</v>
      </c>
      <c r="H2291" s="156" t="str">
        <f>'Reported burning'!H2291</f>
        <v>Presence</v>
      </c>
      <c r="I2291" s="205"/>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5"/>
      <c r="AB2291" s="205"/>
    </row>
    <row r="2292" spans="1:28" s="204" customFormat="1" ht="46" customHeight="1">
      <c r="A2292" s="156" t="str">
        <f>'Reported burning'!A2292</f>
        <v>267k</v>
      </c>
      <c r="B2292" s="156" t="str">
        <f>'Reported burning'!B2292</f>
        <v>267k.1</v>
      </c>
      <c r="C2292" s="156" t="str">
        <f>'Reported burning'!C2292</f>
        <v>Human, escaped</v>
      </c>
      <c r="D2292" s="156" t="str">
        <f>'Reported burning'!D2292</f>
        <v>Crop residue burning</v>
      </c>
      <c r="E2292" s="156" t="str">
        <f>'Reported burning'!E2292</f>
        <v>Mixed cropping-livestock small holder, Market-oriented</v>
      </c>
      <c r="F2292" s="156" t="str">
        <f>'Reported burning'!F2292</f>
        <v>Cropland</v>
      </c>
      <c r="G2292" s="156" t="str">
        <f>'Reported burning'!G2292</f>
        <v>Forest</v>
      </c>
      <c r="H2292" s="156" t="str">
        <f>'Reported burning'!H2292</f>
        <v>Presence</v>
      </c>
      <c r="I2292" s="205"/>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5"/>
      <c r="AB2292" s="205"/>
    </row>
    <row r="2293" spans="1:28" s="204" customFormat="1" ht="46" customHeight="1">
      <c r="A2293" s="156" t="str">
        <f>'Reported burning'!A2293</f>
        <v>267k</v>
      </c>
      <c r="B2293" s="156" t="str">
        <f>'Reported burning'!B2293</f>
        <v>267k.2</v>
      </c>
      <c r="C2293" s="156" t="str">
        <f>'Reported burning'!C2293</f>
        <v>Human, escaped</v>
      </c>
      <c r="D2293" s="156" t="str">
        <f>'Reported burning'!D2293</f>
        <v>Forest clearance</v>
      </c>
      <c r="E2293" s="156" t="str">
        <f>'Reported burning'!E2293</f>
        <v>Mixed cropping-livestock small holder, Market-oriented</v>
      </c>
      <c r="F2293" s="156" t="str">
        <f>'Reported burning'!F2293</f>
        <v>Cropland</v>
      </c>
      <c r="G2293" s="156" t="str">
        <f>'Reported burning'!G2293</f>
        <v>Forest</v>
      </c>
      <c r="H2293" s="156" t="str">
        <f>'Reported burning'!H2293</f>
        <v>Absence</v>
      </c>
      <c r="I2293" s="205"/>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5"/>
      <c r="AB2293" s="205"/>
    </row>
    <row r="2294" spans="1:28" s="204" customFormat="1" ht="46" customHeight="1">
      <c r="A2294" s="156" t="str">
        <f>'Reported burning'!A2294</f>
        <v>267k</v>
      </c>
      <c r="B2294" s="156" t="str">
        <f>'Reported burning'!B2294</f>
        <v>267k.3</v>
      </c>
      <c r="C2294" s="156" t="str">
        <f>'Reported burning'!C2294</f>
        <v>Human, deliberate</v>
      </c>
      <c r="D2294" s="156" t="str">
        <f>'Reported burning'!D2294</f>
        <v>Crop residue burning</v>
      </c>
      <c r="E2294" s="156" t="str">
        <f>'Reported burning'!E2294</f>
        <v>Mixed cropping-livestock small holder, Market-oriented</v>
      </c>
      <c r="F2294" s="156" t="str">
        <f>'Reported burning'!F2294</f>
        <v>Cropland</v>
      </c>
      <c r="G2294" s="156" t="str">
        <f>'Reported burning'!G2294</f>
        <v>Cropland</v>
      </c>
      <c r="H2294" s="156" t="str">
        <f>'Reported burning'!H2294</f>
        <v>Presence</v>
      </c>
      <c r="I2294" s="205"/>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5"/>
      <c r="AB2294" s="205"/>
    </row>
    <row r="2295" spans="1:28" s="204" customFormat="1" ht="46" customHeight="1">
      <c r="A2295" s="156" t="str">
        <f>'Reported burning'!A2295</f>
        <v>267k</v>
      </c>
      <c r="B2295" s="156" t="str">
        <f>'Reported burning'!B2295</f>
        <v>267k.4</v>
      </c>
      <c r="C2295" s="156" t="str">
        <f>'Reported burning'!C2295</f>
        <v>Human, deliberate</v>
      </c>
      <c r="D2295" s="156" t="str">
        <f>'Reported burning'!D2295</f>
        <v>Forest clearance</v>
      </c>
      <c r="E2295" s="156" t="str">
        <f>'Reported burning'!E2295</f>
        <v>Mixed cropping-livestock small holder, Market-oriented</v>
      </c>
      <c r="F2295" s="156" t="str">
        <f>'Reported burning'!F2295</f>
        <v>Cropland</v>
      </c>
      <c r="G2295" s="156" t="str">
        <f>'Reported burning'!G2295</f>
        <v>Cropland</v>
      </c>
      <c r="H2295" s="156" t="str">
        <f>'Reported burning'!H2295</f>
        <v>Absence</v>
      </c>
      <c r="I2295" s="205"/>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5"/>
      <c r="AB2295" s="205"/>
    </row>
    <row r="2296" spans="1:28" s="204" customFormat="1" ht="46" customHeight="1">
      <c r="A2296" s="156" t="str">
        <f>'Reported burning'!A2296</f>
        <v>267k</v>
      </c>
      <c r="B2296" s="156" t="str">
        <f>'Reported burning'!B2296</f>
        <v>267k.5</v>
      </c>
      <c r="C2296" s="156" t="str">
        <f>'Reported burning'!C2296</f>
        <v>Human, escaped</v>
      </c>
      <c r="D2296" s="156" t="str">
        <f>'Reported burning'!D2296</f>
        <v>Pasture renewal</v>
      </c>
      <c r="E2296" s="156" t="str">
        <f>'Reported burning'!E2296</f>
        <v>Mixed cropping-livestock small holder, Market-oriented</v>
      </c>
      <c r="F2296" s="156" t="str">
        <f>'Reported burning'!F2296</f>
        <v>Pasture</v>
      </c>
      <c r="G2296" s="156" t="str">
        <f>'Reported burning'!G2296</f>
        <v>Cropland</v>
      </c>
      <c r="H2296" s="156" t="str">
        <f>'Reported burning'!H2296</f>
        <v>Presence</v>
      </c>
      <c r="I2296" s="205"/>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5"/>
      <c r="AB2296" s="205"/>
    </row>
    <row r="2297" spans="1:28" s="204" customFormat="1" ht="46" customHeight="1">
      <c r="A2297" s="156" t="str">
        <f>'Reported burning'!A2297</f>
        <v>267k</v>
      </c>
      <c r="B2297" s="156" t="str">
        <f>'Reported burning'!B2297</f>
        <v>267k.6</v>
      </c>
      <c r="C2297" s="156" t="str">
        <f>'Reported burning'!C2297</f>
        <v>Human, deliberate</v>
      </c>
      <c r="D2297" s="156" t="str">
        <f>'Reported burning'!D2297</f>
        <v>Pasture renewal</v>
      </c>
      <c r="E2297" s="156" t="str">
        <f>'Reported burning'!E2297</f>
        <v>Mixed cropping-livestock small holder, Market-oriented</v>
      </c>
      <c r="F2297" s="156" t="str">
        <f>'Reported burning'!F2297</f>
        <v>Pasture</v>
      </c>
      <c r="G2297" s="156" t="str">
        <f>'Reported burning'!G2297</f>
        <v>Cropland</v>
      </c>
      <c r="H2297" s="156" t="str">
        <f>'Reported burning'!H2297</f>
        <v>Presence</v>
      </c>
      <c r="I2297" s="205"/>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5"/>
      <c r="AB2297" s="205"/>
    </row>
    <row r="2298" spans="1:28" s="204" customFormat="1" ht="46" customHeight="1">
      <c r="A2298" s="156" t="str">
        <f>'Reported burning'!A2298</f>
        <v>267k</v>
      </c>
      <c r="B2298" s="156" t="str">
        <f>'Reported burning'!B2298</f>
        <v>267k.7</v>
      </c>
      <c r="C2298" s="156" t="str">
        <f>'Reported burning'!C2298</f>
        <v>Human, deliberate</v>
      </c>
      <c r="D2298" s="156" t="str">
        <f>'Reported burning'!D2298</f>
        <v>Arson</v>
      </c>
      <c r="E2298" s="156" t="str">
        <f>'Reported burning'!E2298</f>
        <v>Mixed cropping-livestock small holder, Market-oriented</v>
      </c>
      <c r="F2298" s="156" t="str">
        <f>'Reported burning'!F2298</f>
        <v>ND</v>
      </c>
      <c r="G2298" s="156" t="str">
        <f>'Reported burning'!G2298</f>
        <v>ND</v>
      </c>
      <c r="H2298" s="156" t="str">
        <f>'Reported burning'!H2298</f>
        <v>Presence</v>
      </c>
      <c r="I2298" s="205"/>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5"/>
      <c r="AB2298" s="205"/>
    </row>
    <row r="2299" spans="1:28" s="204" customFormat="1" ht="46" customHeight="1">
      <c r="A2299" s="156" t="str">
        <f>'Reported burning'!A2299</f>
        <v>267l</v>
      </c>
      <c r="B2299" s="156" t="str">
        <f>'Reported burning'!B2299</f>
        <v>267l.1</v>
      </c>
      <c r="C2299" s="156" t="str">
        <f>'Reported burning'!C2299</f>
        <v>Human, escaped</v>
      </c>
      <c r="D2299" s="156" t="str">
        <f>'Reported burning'!D2299</f>
        <v>Crop residue burning</v>
      </c>
      <c r="E2299" s="156" t="str">
        <f>'Reported burning'!E2299</f>
        <v>Mixed cropping-livestock small holder, Market-oriented</v>
      </c>
      <c r="F2299" s="156" t="str">
        <f>'Reported burning'!F2299</f>
        <v>Cropland</v>
      </c>
      <c r="G2299" s="156" t="str">
        <f>'Reported burning'!G2299</f>
        <v>Forest</v>
      </c>
      <c r="H2299" s="156" t="str">
        <f>'Reported burning'!H2299</f>
        <v>Presence</v>
      </c>
      <c r="I2299" s="205"/>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5"/>
      <c r="AB2299" s="205"/>
    </row>
    <row r="2300" spans="1:28" s="204" customFormat="1" ht="46" customHeight="1">
      <c r="A2300" s="156" t="str">
        <f>'Reported burning'!A2300</f>
        <v>267l</v>
      </c>
      <c r="B2300" s="156" t="str">
        <f>'Reported burning'!B2300</f>
        <v>267l.2</v>
      </c>
      <c r="C2300" s="156" t="str">
        <f>'Reported burning'!C2300</f>
        <v>Human, escaped</v>
      </c>
      <c r="D2300" s="156" t="str">
        <f>'Reported burning'!D2300</f>
        <v>Forest clearance</v>
      </c>
      <c r="E2300" s="156" t="str">
        <f>'Reported burning'!E2300</f>
        <v>Mixed cropping-livestock small holder, Market-oriented</v>
      </c>
      <c r="F2300" s="156" t="str">
        <f>'Reported burning'!F2300</f>
        <v>Cropland</v>
      </c>
      <c r="G2300" s="156" t="str">
        <f>'Reported burning'!G2300</f>
        <v>Forest</v>
      </c>
      <c r="H2300" s="156" t="str">
        <f>'Reported burning'!H2300</f>
        <v>Absence</v>
      </c>
      <c r="I2300" s="205"/>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5"/>
      <c r="AB2300" s="205"/>
    </row>
    <row r="2301" spans="1:28" s="204" customFormat="1" ht="46" customHeight="1">
      <c r="A2301" s="156" t="str">
        <f>'Reported burning'!A2301</f>
        <v>267l</v>
      </c>
      <c r="B2301" s="156" t="str">
        <f>'Reported burning'!B2301</f>
        <v>267l.3</v>
      </c>
      <c r="C2301" s="156" t="str">
        <f>'Reported burning'!C2301</f>
        <v>Human, deliberate</v>
      </c>
      <c r="D2301" s="156" t="str">
        <f>'Reported burning'!D2301</f>
        <v>Crop residue burning</v>
      </c>
      <c r="E2301" s="156" t="str">
        <f>'Reported burning'!E2301</f>
        <v>Mixed cropping-livestock small holder, Market-oriented</v>
      </c>
      <c r="F2301" s="156" t="str">
        <f>'Reported burning'!F2301</f>
        <v>Cropland</v>
      </c>
      <c r="G2301" s="156" t="str">
        <f>'Reported burning'!G2301</f>
        <v>Cropland</v>
      </c>
      <c r="H2301" s="156" t="str">
        <f>'Reported burning'!H2301</f>
        <v>Presence</v>
      </c>
      <c r="I2301" s="205"/>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5"/>
      <c r="AB2301" s="205"/>
    </row>
    <row r="2302" spans="1:28" s="204" customFormat="1" ht="46" customHeight="1">
      <c r="A2302" s="156" t="str">
        <f>'Reported burning'!A2302</f>
        <v>267l</v>
      </c>
      <c r="B2302" s="156" t="str">
        <f>'Reported burning'!B2302</f>
        <v>267l.4</v>
      </c>
      <c r="C2302" s="156" t="str">
        <f>'Reported burning'!C2302</f>
        <v>Human, deliberate</v>
      </c>
      <c r="D2302" s="156" t="str">
        <f>'Reported burning'!D2302</f>
        <v>Forest clearance</v>
      </c>
      <c r="E2302" s="156" t="str">
        <f>'Reported burning'!E2302</f>
        <v>Mixed cropping-livestock small holder, Market-oriented</v>
      </c>
      <c r="F2302" s="156" t="str">
        <f>'Reported burning'!F2302</f>
        <v>Cropland</v>
      </c>
      <c r="G2302" s="156" t="str">
        <f>'Reported burning'!G2302</f>
        <v>Cropland</v>
      </c>
      <c r="H2302" s="156" t="str">
        <f>'Reported burning'!H2302</f>
        <v>Absence</v>
      </c>
      <c r="I2302" s="205"/>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5"/>
      <c r="AB2302" s="205"/>
    </row>
    <row r="2303" spans="1:28" s="204" customFormat="1" ht="46" customHeight="1">
      <c r="A2303" s="156" t="str">
        <f>'Reported burning'!A2303</f>
        <v>267l</v>
      </c>
      <c r="B2303" s="156" t="str">
        <f>'Reported burning'!B2303</f>
        <v>267l.5</v>
      </c>
      <c r="C2303" s="156" t="str">
        <f>'Reported burning'!C2303</f>
        <v>Human, escaped</v>
      </c>
      <c r="D2303" s="156" t="str">
        <f>'Reported burning'!D2303</f>
        <v>Pasture renewal</v>
      </c>
      <c r="E2303" s="156" t="str">
        <f>'Reported burning'!E2303</f>
        <v>Mixed cropping-livestock small holder, Market-oriented</v>
      </c>
      <c r="F2303" s="156" t="str">
        <f>'Reported burning'!F2303</f>
        <v>Pasture</v>
      </c>
      <c r="G2303" s="156" t="str">
        <f>'Reported burning'!G2303</f>
        <v>Cropland</v>
      </c>
      <c r="H2303" s="156" t="str">
        <f>'Reported burning'!H2303</f>
        <v>Presence</v>
      </c>
      <c r="I2303" s="205"/>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5"/>
      <c r="AB2303" s="205"/>
    </row>
    <row r="2304" spans="1:28" s="204" customFormat="1" ht="46" customHeight="1">
      <c r="A2304" s="156" t="str">
        <f>'Reported burning'!A2304</f>
        <v>267l</v>
      </c>
      <c r="B2304" s="156" t="str">
        <f>'Reported burning'!B2304</f>
        <v>267l.6</v>
      </c>
      <c r="C2304" s="156" t="str">
        <f>'Reported burning'!C2304</f>
        <v>Human, deliberate</v>
      </c>
      <c r="D2304" s="156" t="str">
        <f>'Reported burning'!D2304</f>
        <v>Pasture renewal</v>
      </c>
      <c r="E2304" s="156" t="str">
        <f>'Reported burning'!E2304</f>
        <v>Mixed cropping-livestock small holder, Market-oriented</v>
      </c>
      <c r="F2304" s="156" t="str">
        <f>'Reported burning'!F2304</f>
        <v>Pasture</v>
      </c>
      <c r="G2304" s="156" t="str">
        <f>'Reported burning'!G2304</f>
        <v>Cropland</v>
      </c>
      <c r="H2304" s="156" t="str">
        <f>'Reported burning'!H2304</f>
        <v>Presence</v>
      </c>
      <c r="I2304" s="205"/>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5"/>
      <c r="AB2304" s="205"/>
    </row>
    <row r="2305" spans="1:28" s="204" customFormat="1" ht="46" customHeight="1">
      <c r="A2305" s="156" t="str">
        <f>'Reported burning'!A2305</f>
        <v>267l</v>
      </c>
      <c r="B2305" s="156" t="str">
        <f>'Reported burning'!B2305</f>
        <v>267l.7</v>
      </c>
      <c r="C2305" s="156" t="str">
        <f>'Reported burning'!C2305</f>
        <v>Human, deliberate</v>
      </c>
      <c r="D2305" s="156" t="str">
        <f>'Reported burning'!D2305</f>
        <v>Arson</v>
      </c>
      <c r="E2305" s="156" t="str">
        <f>'Reported burning'!E2305</f>
        <v>Mixed cropping-livestock small holder, Market-oriented</v>
      </c>
      <c r="F2305" s="156" t="str">
        <f>'Reported burning'!F2305</f>
        <v>ND</v>
      </c>
      <c r="G2305" s="156" t="str">
        <f>'Reported burning'!G2305</f>
        <v>ND</v>
      </c>
      <c r="H2305" s="156" t="str">
        <f>'Reported burning'!H2305</f>
        <v>Presence</v>
      </c>
      <c r="I2305" s="205"/>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5"/>
      <c r="AB2305" s="205"/>
    </row>
    <row r="2306" spans="1:28" ht="46" customHeight="1">
      <c r="A2306" s="156" t="str">
        <f>'Reported burning'!A2309</f>
        <v>270a</v>
      </c>
      <c r="B2306" s="156" t="str">
        <f>'Reported burning'!B2309</f>
        <v>270a.1</v>
      </c>
      <c r="C2306" s="156" t="str">
        <f>'Reported burning'!C2309</f>
        <v>All</v>
      </c>
      <c r="D2306" s="156" t="str">
        <f>'Reported burning'!D2309</f>
        <v>All</v>
      </c>
      <c r="E2306" s="156" t="str">
        <f>'Reported burning'!E2309</f>
        <v>All</v>
      </c>
      <c r="F2306" s="156" t="str">
        <f>'Reported burning'!F2309</f>
        <v>ND</v>
      </c>
      <c r="G2306" s="156" t="str">
        <f>'Reported burning'!G2309</f>
        <v>ND</v>
      </c>
      <c r="H2306" s="156" t="str">
        <f>'Reported burning'!H2309</f>
        <v>Presence</v>
      </c>
      <c r="I2306" s="3"/>
      <c r="J2306" s="21" t="s">
        <v>2276</v>
      </c>
      <c r="K2306" s="103"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4" customFormat="1" ht="46" customHeight="1">
      <c r="A2307" s="156" t="str">
        <f>'Reported burning'!A2310</f>
        <v>270a</v>
      </c>
      <c r="B2307" s="156" t="str">
        <f>'Reported burning'!B2310</f>
        <v>270a.2</v>
      </c>
      <c r="C2307" s="156" t="str">
        <f>'Reported burning'!C2310</f>
        <v>All</v>
      </c>
      <c r="D2307" s="156" t="str">
        <f>'Reported burning'!D2310</f>
        <v>All</v>
      </c>
      <c r="E2307" s="156" t="str">
        <f>'Reported burning'!E2310</f>
        <v>Abandoned agricultural land</v>
      </c>
      <c r="F2307" s="156" t="str">
        <f>'Reported burning'!F2310</f>
        <v>ND</v>
      </c>
      <c r="G2307" s="156" t="str">
        <f>'Reported burning'!G2310</f>
        <v>ND</v>
      </c>
      <c r="H2307" s="156" t="str">
        <f>'Reported burning'!H2310</f>
        <v>Presence</v>
      </c>
      <c r="I2307" s="205"/>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5"/>
      <c r="AB2307" s="205"/>
    </row>
    <row r="2308" spans="1:28" s="204" customFormat="1" ht="46" customHeight="1">
      <c r="A2308" s="156" t="str">
        <f>'Reported burning'!A2311</f>
        <v>270a</v>
      </c>
      <c r="B2308" s="156" t="str">
        <f>'Reported burning'!B2311</f>
        <v>270a.3</v>
      </c>
      <c r="C2308" s="156" t="str">
        <f>'Reported burning'!C2311</f>
        <v>Human, deliberate</v>
      </c>
      <c r="D2308" s="156" t="str">
        <f>'Reported burning'!D2311</f>
        <v>ND</v>
      </c>
      <c r="E2308" s="156" t="str">
        <f>'Reported burning'!E2311</f>
        <v>Mixed cropping-livestock small holder, Market-oriented</v>
      </c>
      <c r="F2308" s="156" t="str">
        <f>'Reported burning'!F2311</f>
        <v>Cropland</v>
      </c>
      <c r="G2308" s="156" t="str">
        <f>'Reported burning'!G2311</f>
        <v>Cropland</v>
      </c>
      <c r="H2308" s="156" t="str">
        <f>'Reported burning'!H2311</f>
        <v>Presence</v>
      </c>
      <c r="I2308" s="205"/>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5"/>
      <c r="AB2308" s="205"/>
    </row>
    <row r="2309" spans="1:28" s="204" customFormat="1" ht="46" customHeight="1">
      <c r="A2309" s="156" t="str">
        <f>'Reported burning'!A2312</f>
        <v>270a</v>
      </c>
      <c r="B2309" s="156" t="str">
        <f>'Reported burning'!B2312</f>
        <v>270a.4</v>
      </c>
      <c r="C2309" s="156" t="str">
        <f>'Reported burning'!C2312</f>
        <v>Human, deliberate</v>
      </c>
      <c r="D2309" s="156" t="str">
        <f>'Reported burning'!D2312</f>
        <v>ND</v>
      </c>
      <c r="E2309" s="156" t="str">
        <f>'Reported burning'!E2312</f>
        <v>Mixed cropping-livestock small holder, Market-oriented</v>
      </c>
      <c r="F2309" s="156" t="str">
        <f>'Reported burning'!F2312</f>
        <v>Pasture</v>
      </c>
      <c r="G2309" s="156" t="str">
        <f>'Reported burning'!G2312</f>
        <v>Pasture</v>
      </c>
      <c r="H2309" s="156" t="str">
        <f>'Reported burning'!H2312</f>
        <v>Presence</v>
      </c>
      <c r="I2309" s="205"/>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5"/>
      <c r="AB2309" s="205"/>
    </row>
    <row r="2310" spans="1:28" ht="46" customHeight="1">
      <c r="A2310" s="156" t="str">
        <f>'Reported burning'!A2310</f>
        <v>270a</v>
      </c>
      <c r="B2310" s="156" t="str">
        <f>'Reported burning'!B2310</f>
        <v>270a.2</v>
      </c>
      <c r="C2310" s="156" t="str">
        <f>'Reported burning'!C2310</f>
        <v>All</v>
      </c>
      <c r="D2310" s="156" t="str">
        <f>'Reported burning'!D2310</f>
        <v>All</v>
      </c>
      <c r="E2310" s="156" t="str">
        <f>'Reported burning'!E2310</f>
        <v>Abandoned agricultural land</v>
      </c>
      <c r="F2310" s="156" t="str">
        <f>'Reported burning'!F2310</f>
        <v>ND</v>
      </c>
      <c r="G2310" s="156" t="str">
        <f>'Reported burning'!G2310</f>
        <v>ND</v>
      </c>
      <c r="H2310" s="156" t="str">
        <f>'Reported burning'!H2310</f>
        <v>Presence</v>
      </c>
      <c r="I2310" s="3"/>
      <c r="J2310" s="21" t="s">
        <v>2276</v>
      </c>
      <c r="K2310" s="103"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6861</v>
      </c>
      <c r="AB2310" s="3"/>
    </row>
    <row r="2311" spans="1:28" s="204" customFormat="1" ht="46" customHeight="1">
      <c r="A2311" s="156" t="str">
        <f>'Reported burning'!A2311</f>
        <v>270a</v>
      </c>
      <c r="B2311" s="156" t="str">
        <f>'Reported burning'!B2311</f>
        <v>270a.3</v>
      </c>
      <c r="C2311" s="156" t="str">
        <f>'Reported burning'!C2311</f>
        <v>Human, deliberate</v>
      </c>
      <c r="D2311" s="156" t="str">
        <f>'Reported burning'!D2311</f>
        <v>ND</v>
      </c>
      <c r="E2311" s="156" t="str">
        <f>'Reported burning'!E2311</f>
        <v>Mixed cropping-livestock small holder, Market-oriented</v>
      </c>
      <c r="F2311" s="156" t="str">
        <f>'Reported burning'!F2311</f>
        <v>Cropland</v>
      </c>
      <c r="G2311" s="156" t="str">
        <f>'Reported burning'!G2311</f>
        <v>Cropland</v>
      </c>
      <c r="H2311" s="156" t="str">
        <f>'Reported burning'!H2311</f>
        <v>Presence</v>
      </c>
      <c r="I2311" s="205"/>
      <c r="J2311" s="21" t="s">
        <v>2276</v>
      </c>
      <c r="K2311" s="103"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5" t="s">
        <v>2276</v>
      </c>
      <c r="Y2311" s="205" t="s">
        <v>2276</v>
      </c>
      <c r="Z2311" s="205" t="s">
        <v>2276</v>
      </c>
      <c r="AA2311" s="4" t="s">
        <v>6864</v>
      </c>
      <c r="AB2311" s="205"/>
    </row>
    <row r="2312" spans="1:28" s="204" customFormat="1" ht="46" customHeight="1">
      <c r="A2312" s="156" t="str">
        <f>'Reported burning'!A2312</f>
        <v>270a</v>
      </c>
      <c r="B2312" s="156" t="str">
        <f>'Reported burning'!B2312</f>
        <v>270a.4</v>
      </c>
      <c r="C2312" s="156" t="str">
        <f>'Reported burning'!C2312</f>
        <v>Human, deliberate</v>
      </c>
      <c r="D2312" s="156" t="str">
        <f>'Reported burning'!D2312</f>
        <v>ND</v>
      </c>
      <c r="E2312" s="156" t="str">
        <f>'Reported burning'!E2312</f>
        <v>Mixed cropping-livestock small holder, Market-oriented</v>
      </c>
      <c r="F2312" s="156" t="str">
        <f>'Reported burning'!F2312</f>
        <v>Pasture</v>
      </c>
      <c r="G2312" s="156" t="str">
        <f>'Reported burning'!G2312</f>
        <v>Pasture</v>
      </c>
      <c r="H2312" s="156" t="str">
        <f>'Reported burning'!H2312</f>
        <v>Presence</v>
      </c>
      <c r="I2312" s="205"/>
      <c r="J2312" s="21" t="s">
        <v>2276</v>
      </c>
      <c r="K2312" s="103"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5" t="s">
        <v>2276</v>
      </c>
      <c r="Y2312" s="205" t="s">
        <v>2276</v>
      </c>
      <c r="Z2312" s="205" t="s">
        <v>2276</v>
      </c>
      <c r="AA2312" s="4" t="s">
        <v>6864</v>
      </c>
      <c r="AB2312" s="205"/>
    </row>
    <row r="2313" spans="1:28" ht="46" customHeight="1">
      <c r="A2313" s="156" t="str">
        <f>'Reported burning'!A2313</f>
        <v>271a</v>
      </c>
      <c r="B2313" s="156" t="str">
        <f>'Reported burning'!B2313</f>
        <v>271a.1</v>
      </c>
      <c r="C2313" s="156" t="str">
        <f>'Reported burning'!C2313</f>
        <v>All</v>
      </c>
      <c r="D2313" s="156" t="str">
        <f>'Reported burning'!D2313</f>
        <v>ND</v>
      </c>
      <c r="E2313" s="156" t="str">
        <f>'Reported burning'!E2313</f>
        <v>ND</v>
      </c>
      <c r="F2313" s="156" t="str">
        <f>'Reported burning'!F2313</f>
        <v>ND</v>
      </c>
      <c r="G2313" s="156" t="str">
        <f>'Reported burning'!G2313</f>
        <v>ND</v>
      </c>
      <c r="H2313" s="156" t="str">
        <f>'Reported burning'!H2313</f>
        <v>Presence</v>
      </c>
      <c r="I2313" s="3"/>
      <c r="J2313" s="21" t="s">
        <v>2276</v>
      </c>
      <c r="K2313" s="103"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4" customFormat="1" ht="46" customHeight="1">
      <c r="A2314" s="156" t="str">
        <f>'Reported burning'!A2314</f>
        <v>271a</v>
      </c>
      <c r="B2314" s="156" t="str">
        <f>'Reported burning'!B2314</f>
        <v>271a.2</v>
      </c>
      <c r="C2314" s="156" t="str">
        <f>'Reported burning'!C2314</f>
        <v>Human, accidental</v>
      </c>
      <c r="D2314" s="156" t="str">
        <f>'Reported burning'!D2314</f>
        <v>Accidental</v>
      </c>
      <c r="E2314" s="156" t="str">
        <f>'Reported burning'!E2314</f>
        <v>Urban planner</v>
      </c>
      <c r="F2314" s="156" t="str">
        <f>'Reported burning'!F2314</f>
        <v>ND</v>
      </c>
      <c r="G2314" s="156" t="str">
        <f>'Reported burning'!G2314</f>
        <v>ND</v>
      </c>
      <c r="H2314" s="156" t="str">
        <f>'Reported burning'!H2314</f>
        <v>Presence</v>
      </c>
      <c r="I2314" s="205"/>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5"/>
      <c r="AB2314" s="4" t="s">
        <v>6867</v>
      </c>
    </row>
    <row r="2315" spans="1:28" s="204" customFormat="1" ht="46" customHeight="1">
      <c r="A2315" s="156" t="str">
        <f>'Reported burning'!A2315</f>
        <v>271a</v>
      </c>
      <c r="B2315" s="156" t="str">
        <f>'Reported burning'!B2315</f>
        <v>271a.3</v>
      </c>
      <c r="C2315" s="156" t="str">
        <f>'Reported burning'!C2315</f>
        <v>Human, escaped</v>
      </c>
      <c r="D2315" s="156" t="str">
        <f>'Reported burning'!D2315</f>
        <v>Pasture renewal</v>
      </c>
      <c r="E2315" s="156" t="str">
        <f>'Reported burning'!E2315</f>
        <v>Mixed cropping-livestock small holder, Market-oriented</v>
      </c>
      <c r="F2315" s="156" t="str">
        <f>'Reported burning'!F2315</f>
        <v>Pasture</v>
      </c>
      <c r="G2315" s="156" t="str">
        <f>'Reported burning'!G2315</f>
        <v>ND</v>
      </c>
      <c r="H2315" s="156" t="str">
        <f>'Reported burning'!H2315</f>
        <v>Presence</v>
      </c>
      <c r="I2315" s="205"/>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5"/>
      <c r="AB2315" s="205"/>
    </row>
    <row r="2316" spans="1:28" s="204" customFormat="1" ht="46" customHeight="1">
      <c r="A2316" s="156" t="str">
        <f>'Reported burning'!A2316</f>
        <v>272a</v>
      </c>
      <c r="B2316" s="156" t="str">
        <f>'Reported burning'!B2316</f>
        <v>272a.1</v>
      </c>
      <c r="C2316" s="156" t="str">
        <f>'Reported burning'!C2316</f>
        <v>All</v>
      </c>
      <c r="D2316" s="156" t="str">
        <f>'Reported burning'!D2316</f>
        <v>ND</v>
      </c>
      <c r="E2316" s="156" t="str">
        <f>'Reported burning'!E2316</f>
        <v>ND</v>
      </c>
      <c r="F2316" s="156" t="str">
        <f>'Reported burning'!F2316</f>
        <v>ND</v>
      </c>
      <c r="G2316" s="156" t="str">
        <f>'Reported burning'!G2316</f>
        <v>Forest</v>
      </c>
      <c r="H2316" s="156" t="str">
        <f>'Reported burning'!H2316</f>
        <v>Presence</v>
      </c>
      <c r="I2316" s="205"/>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5"/>
      <c r="AB2316" s="205"/>
    </row>
    <row r="2317" spans="1:28" s="204" customFormat="1" ht="46" customHeight="1">
      <c r="A2317" s="156" t="str">
        <f>'Reported burning'!A2317</f>
        <v>272a</v>
      </c>
      <c r="B2317" s="156" t="str">
        <f>'Reported burning'!B2317</f>
        <v>272a.2</v>
      </c>
      <c r="C2317" s="156" t="str">
        <f>'Reported burning'!C2317</f>
        <v>Human, deliberate</v>
      </c>
      <c r="D2317" s="156" t="str">
        <f>'Reported burning'!D2317</f>
        <v>ND</v>
      </c>
      <c r="E2317" s="156" t="str">
        <f>'Reported burning'!E2317</f>
        <v>ND</v>
      </c>
      <c r="F2317" s="156" t="str">
        <f>'Reported burning'!F2317</f>
        <v>ND</v>
      </c>
      <c r="G2317" s="156" t="str">
        <f>'Reported burning'!G2317</f>
        <v>Forest</v>
      </c>
      <c r="H2317" s="156" t="str">
        <f>'Reported burning'!H2317</f>
        <v>Presence</v>
      </c>
      <c r="I2317" s="205"/>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5"/>
      <c r="AB2317" s="205"/>
    </row>
    <row r="2318" spans="1:28" s="204" customFormat="1" ht="46" customHeight="1">
      <c r="A2318" s="156" t="str">
        <f>'Reported burning'!A2318</f>
        <v>272a</v>
      </c>
      <c r="B2318" s="156" t="str">
        <f>'Reported burning'!B2318</f>
        <v>272a.3</v>
      </c>
      <c r="C2318" s="156" t="str">
        <f>'Reported burning'!C2318</f>
        <v>Human, accidental</v>
      </c>
      <c r="D2318" s="156" t="str">
        <f>'Reported burning'!D2318</f>
        <v>ND</v>
      </c>
      <c r="E2318" s="156" t="str">
        <f>'Reported burning'!E2318</f>
        <v>ND</v>
      </c>
      <c r="F2318" s="156" t="str">
        <f>'Reported burning'!F2318</f>
        <v>ND</v>
      </c>
      <c r="G2318" s="156" t="str">
        <f>'Reported burning'!G2318</f>
        <v>Forest</v>
      </c>
      <c r="H2318" s="156" t="str">
        <f>'Reported burning'!H2318</f>
        <v>Presence</v>
      </c>
      <c r="I2318" s="205"/>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5"/>
      <c r="AB2318" s="205"/>
    </row>
    <row r="2319" spans="1:28" s="204" customFormat="1" ht="46" customHeight="1">
      <c r="A2319" s="156" t="str">
        <f>'Reported burning'!A2319</f>
        <v>272a</v>
      </c>
      <c r="B2319" s="156" t="str">
        <f>'Reported burning'!B2319</f>
        <v>272a.4</v>
      </c>
      <c r="C2319" s="156" t="str">
        <f>'Reported burning'!C2319</f>
        <v>Unknown</v>
      </c>
      <c r="D2319" s="156" t="str">
        <f>'Reported burning'!D2319</f>
        <v>ND</v>
      </c>
      <c r="E2319" s="156" t="str">
        <f>'Reported burning'!E2319</f>
        <v>ND</v>
      </c>
      <c r="F2319" s="156" t="str">
        <f>'Reported burning'!F2319</f>
        <v>ND</v>
      </c>
      <c r="G2319" s="156" t="str">
        <f>'Reported burning'!G2319</f>
        <v>Forest</v>
      </c>
      <c r="H2319" s="156" t="str">
        <f>'Reported burning'!H2319</f>
        <v>Presence</v>
      </c>
      <c r="I2319" s="205"/>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5"/>
      <c r="AB2319" s="205"/>
    </row>
    <row r="2320" spans="1:28" s="204" customFormat="1" ht="46" customHeight="1">
      <c r="A2320" s="156" t="str">
        <f>'Reported burning'!A2320</f>
        <v>272a</v>
      </c>
      <c r="B2320" s="156" t="str">
        <f>'Reported burning'!B2320</f>
        <v>272a.5</v>
      </c>
      <c r="C2320" s="156" t="str">
        <f>'Reported burning'!C2320</f>
        <v>Lightning</v>
      </c>
      <c r="D2320" s="156" t="str">
        <f>'Reported burning'!D2320</f>
        <v>ND</v>
      </c>
      <c r="E2320" s="156" t="str">
        <f>'Reported burning'!E2320</f>
        <v>ND</v>
      </c>
      <c r="F2320" s="156" t="str">
        <f>'Reported burning'!F2320</f>
        <v>ND</v>
      </c>
      <c r="G2320" s="156" t="str">
        <f>'Reported burning'!G2320</f>
        <v>Forest</v>
      </c>
      <c r="H2320" s="156" t="str">
        <f>'Reported burning'!H2320</f>
        <v>Presence</v>
      </c>
      <c r="I2320" s="205"/>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5"/>
      <c r="AB2320" s="205"/>
    </row>
    <row r="2321" spans="1:28" s="204" customFormat="1" ht="46" customHeight="1">
      <c r="A2321" s="156" t="str">
        <f>'Reported burning'!A2321</f>
        <v>272a</v>
      </c>
      <c r="B2321" s="156" t="str">
        <f>'Reported burning'!B2321</f>
        <v>272a.6</v>
      </c>
      <c r="C2321" s="156" t="str">
        <f>'Reported burning'!C2321</f>
        <v>Human, escaped</v>
      </c>
      <c r="D2321" s="156" t="str">
        <f>'Reported burning'!D2321</f>
        <v>Pasture renewal</v>
      </c>
      <c r="E2321" s="156" t="str">
        <f>'Reported burning'!E2321</f>
        <v>Mixed cropping-livestock small holder, Market-oriented</v>
      </c>
      <c r="F2321" s="156" t="str">
        <f>'Reported burning'!F2321</f>
        <v>Pasture</v>
      </c>
      <c r="G2321" s="156" t="str">
        <f>'Reported burning'!G2321</f>
        <v>Forest</v>
      </c>
      <c r="H2321" s="156" t="str">
        <f>'Reported burning'!H2321</f>
        <v>Presence</v>
      </c>
      <c r="I2321" s="205"/>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5"/>
      <c r="AB2321" s="205"/>
    </row>
    <row r="2322" spans="1:28" s="204" customFormat="1" ht="46" customHeight="1">
      <c r="A2322" s="156" t="str">
        <f>'Reported burning'!A2322</f>
        <v>272a</v>
      </c>
      <c r="B2322" s="156" t="str">
        <f>'Reported burning'!B2322</f>
        <v>272a.7</v>
      </c>
      <c r="C2322" s="156" t="str">
        <f>'Reported burning'!C2322</f>
        <v>Human, deliberate</v>
      </c>
      <c r="D2322" s="156" t="str">
        <f>'Reported burning'!D2322</f>
        <v>Rangeland management</v>
      </c>
      <c r="E2322" s="156" t="str">
        <f>'Reported burning'!E2322</f>
        <v>Mixed cropping-livestock small holder, Market-oriented</v>
      </c>
      <c r="F2322" s="156" t="str">
        <f>'Reported burning'!F2322</f>
        <v>Shrubland (Mixed forest &amp; grassland)</v>
      </c>
      <c r="G2322" s="156" t="str">
        <f>'Reported burning'!G2322</f>
        <v>Shrubland (Mixed forest &amp; grassland)</v>
      </c>
      <c r="H2322" s="156" t="str">
        <f>'Reported burning'!H2322</f>
        <v>Presence</v>
      </c>
      <c r="I2322" s="205"/>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5"/>
      <c r="AB2322" s="205"/>
    </row>
    <row r="2323" spans="1:28" s="204" customFormat="1" ht="46" customHeight="1">
      <c r="A2323" s="156" t="str">
        <f>'Reported burning'!A2323</f>
        <v>272a</v>
      </c>
      <c r="B2323" s="156" t="str">
        <f>'Reported burning'!B2323</f>
        <v>272a.8</v>
      </c>
      <c r="C2323" s="156" t="str">
        <f>'Reported burning'!C2323</f>
        <v>Human, escaped</v>
      </c>
      <c r="D2323" s="156" t="str">
        <f>'Reported burning'!D2323</f>
        <v>Land clearance</v>
      </c>
      <c r="E2323" s="156" t="str">
        <f>'Reported burning'!E2323</f>
        <v>Forestry, Industrial</v>
      </c>
      <c r="F2323" s="156" t="str">
        <f>'Reported burning'!F2323</f>
        <v>Shrubland (Mixed forest &amp; grassland)</v>
      </c>
      <c r="G2323" s="156" t="str">
        <f>'Reported burning'!G2323</f>
        <v>Forest</v>
      </c>
      <c r="H2323" s="156" t="str">
        <f>'Reported burning'!H2323</f>
        <v>Presence</v>
      </c>
      <c r="I2323" s="205"/>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5"/>
      <c r="AB2323" s="205"/>
    </row>
    <row r="2324" spans="1:28" s="204" customFormat="1" ht="46" customHeight="1">
      <c r="A2324" s="156" t="str">
        <f>'Reported burning'!A2324</f>
        <v>272a</v>
      </c>
      <c r="B2324" s="156" t="str">
        <f>'Reported burning'!B2324</f>
        <v>272a.9</v>
      </c>
      <c r="C2324" s="156" t="str">
        <f>'Reported burning'!C2324</f>
        <v>Human, deliberate</v>
      </c>
      <c r="D2324" s="156" t="str">
        <f>'Reported burning'!D2324</f>
        <v>Land clearance</v>
      </c>
      <c r="E2324" s="156" t="str">
        <f>'Reported burning'!E2324</f>
        <v>Forestry, Industrial</v>
      </c>
      <c r="F2324" s="156" t="str">
        <f>'Reported burning'!F2324</f>
        <v>Shrubland (Mixed forest &amp; grassland)</v>
      </c>
      <c r="G2324" s="156" t="str">
        <f>'Reported burning'!G2324</f>
        <v>Shrubland (Mixed forest &amp; grassland)</v>
      </c>
      <c r="H2324" s="156" t="str">
        <f>'Reported burning'!H2324</f>
        <v>Presence</v>
      </c>
      <c r="I2324" s="205"/>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5"/>
      <c r="AB2324" s="205"/>
    </row>
    <row r="2325" spans="1:28" s="204" customFormat="1" ht="46" customHeight="1">
      <c r="A2325" s="156" t="str">
        <f>'Reported burning'!A2325</f>
        <v>272a</v>
      </c>
      <c r="B2325" s="156" t="str">
        <f>'Reported burning'!B2325</f>
        <v>272a.10</v>
      </c>
      <c r="C2325" s="156" t="str">
        <f>'Reported burning'!C2325</f>
        <v>Human, escaped</v>
      </c>
      <c r="D2325" s="156" t="str">
        <f>'Reported burning'!D2325</f>
        <v>Crop residue burning</v>
      </c>
      <c r="E2325" s="156" t="str">
        <f>'Reported burning'!E2325</f>
        <v>Mixed cropping-livestock small holder, Market-oriented</v>
      </c>
      <c r="F2325" s="156" t="str">
        <f>'Reported burning'!F2325</f>
        <v>Cropland</v>
      </c>
      <c r="G2325" s="156" t="str">
        <f>'Reported burning'!G2325</f>
        <v>Forest</v>
      </c>
      <c r="H2325" s="156" t="str">
        <f>'Reported burning'!H2325</f>
        <v>Presence</v>
      </c>
      <c r="I2325" s="205"/>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5"/>
      <c r="AB2325" s="205"/>
    </row>
    <row r="2326" spans="1:28" s="204" customFormat="1" ht="46" customHeight="1">
      <c r="A2326" s="156" t="str">
        <f>'Reported burning'!A2326</f>
        <v>272a</v>
      </c>
      <c r="B2326" s="156" t="str">
        <f>'Reported burning'!B2326</f>
        <v>272a.11</v>
      </c>
      <c r="C2326" s="156" t="str">
        <f>'Reported burning'!C2326</f>
        <v>Human, deliberate</v>
      </c>
      <c r="D2326" s="156" t="str">
        <f>'Reported burning'!D2326</f>
        <v>Land clearance</v>
      </c>
      <c r="E2326" s="156" t="str">
        <f>'Reported burning'!E2326</f>
        <v>Mixed cropping-livestock small holder, Market-oriented</v>
      </c>
      <c r="F2326" s="156" t="str">
        <f>'Reported burning'!F2326</f>
        <v>Shrubland (Mixed forest &amp; grassland)</v>
      </c>
      <c r="G2326" s="156" t="str">
        <f>'Reported burning'!G2326</f>
        <v>Shrubland (Mixed forest &amp; grassland)</v>
      </c>
      <c r="H2326" s="156" t="str">
        <f>'Reported burning'!H2326</f>
        <v>Presence</v>
      </c>
      <c r="I2326" s="205"/>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5"/>
      <c r="AB2326" s="205"/>
    </row>
    <row r="2327" spans="1:28" s="204" customFormat="1" ht="46" customHeight="1">
      <c r="A2327" s="156" t="str">
        <f>'Reported burning'!A2327</f>
        <v>272a</v>
      </c>
      <c r="B2327" s="156" t="str">
        <f>'Reported burning'!B2327</f>
        <v>272a.12</v>
      </c>
      <c r="C2327" s="156" t="str">
        <f>'Reported burning'!C2327</f>
        <v>Human, deliberate</v>
      </c>
      <c r="D2327" s="156" t="str">
        <f>'Reported burning'!D2327</f>
        <v>Arson</v>
      </c>
      <c r="E2327" s="156" t="str">
        <f>'Reported burning'!E2327</f>
        <v>Mixed cropping-livestock small holder, Market-oriented</v>
      </c>
      <c r="F2327" s="156" t="str">
        <f>'Reported burning'!F2327</f>
        <v>Plantation forest</v>
      </c>
      <c r="G2327" s="156" t="str">
        <f>'Reported burning'!G2327</f>
        <v>Plantation forest</v>
      </c>
      <c r="H2327" s="156" t="str">
        <f>'Reported burning'!H2327</f>
        <v>Presence</v>
      </c>
      <c r="I2327" s="205"/>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5"/>
      <c r="AB2327" s="205"/>
    </row>
    <row r="2328" spans="1:28" s="204" customFormat="1" ht="46" customHeight="1">
      <c r="A2328" s="156" t="str">
        <f>'Reported burning'!A2328</f>
        <v>272a</v>
      </c>
      <c r="B2328" s="156" t="str">
        <f>'Reported burning'!B2328</f>
        <v>272a.13</v>
      </c>
      <c r="C2328" s="156" t="str">
        <f>'Reported burning'!C2328</f>
        <v>Human, deliberate</v>
      </c>
      <c r="D2328" s="156" t="str">
        <f>'Reported burning'!D2328</f>
        <v>Hunting</v>
      </c>
      <c r="E2328" s="156" t="str">
        <f>'Reported burning'!E2328</f>
        <v>Mixed cropping-livestock small holder, Market-oriented</v>
      </c>
      <c r="F2328" s="156" t="str">
        <f>'Reported burning'!F2328</f>
        <v>Forest</v>
      </c>
      <c r="G2328" s="156" t="str">
        <f>'Reported burning'!G2328</f>
        <v>Forest</v>
      </c>
      <c r="H2328" s="156" t="str">
        <f>'Reported burning'!H2328</f>
        <v>Presence</v>
      </c>
      <c r="I2328" s="205"/>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5"/>
      <c r="AB2328" s="205"/>
    </row>
    <row r="2329" spans="1:28" s="204" customFormat="1" ht="46" customHeight="1">
      <c r="A2329" s="156" t="str">
        <f>'Reported burning'!A2329</f>
        <v>272b</v>
      </c>
      <c r="B2329" s="156" t="str">
        <f>'Reported burning'!B2329</f>
        <v>272b.1</v>
      </c>
      <c r="C2329" s="156" t="str">
        <f>'Reported burning'!C2329</f>
        <v>All</v>
      </c>
      <c r="D2329" s="156" t="str">
        <f>'Reported burning'!D2329</f>
        <v>All</v>
      </c>
      <c r="E2329" s="156" t="str">
        <f>'Reported burning'!E2329</f>
        <v>All</v>
      </c>
      <c r="F2329" s="156" t="str">
        <f>'Reported burning'!F2329</f>
        <v>ND</v>
      </c>
      <c r="G2329" s="156" t="str">
        <f>'Reported burning'!G2329</f>
        <v>Forest</v>
      </c>
      <c r="H2329" s="156" t="str">
        <f>'Reported burning'!H2329</f>
        <v>Presence</v>
      </c>
      <c r="I2329" s="205"/>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5"/>
      <c r="AB2329" s="205"/>
    </row>
    <row r="2330" spans="1:28" s="204" customFormat="1" ht="46" customHeight="1">
      <c r="A2330" s="156" t="str">
        <f>'Reported burning'!A2330</f>
        <v>272b</v>
      </c>
      <c r="B2330" s="156" t="str">
        <f>'Reported burning'!B2330</f>
        <v>272b.2</v>
      </c>
      <c r="C2330" s="156" t="str">
        <f>'Reported burning'!C2330</f>
        <v>Human, deliberate</v>
      </c>
      <c r="D2330" s="156" t="str">
        <f>'Reported burning'!D2330</f>
        <v>ND</v>
      </c>
      <c r="E2330" s="156" t="str">
        <f>'Reported burning'!E2330</f>
        <v>Forestry, Industrial</v>
      </c>
      <c r="F2330" s="156" t="str">
        <f>'Reported burning'!F2330</f>
        <v>Forest</v>
      </c>
      <c r="G2330" s="156" t="str">
        <f>'Reported burning'!G2330</f>
        <v>Forest</v>
      </c>
      <c r="H2330" s="156" t="str">
        <f>'Reported burning'!H2330</f>
        <v>Presence</v>
      </c>
      <c r="I2330" s="205"/>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5"/>
      <c r="AB2330" s="205"/>
    </row>
    <row r="2331" spans="1:28" s="204" customFormat="1" ht="46" customHeight="1">
      <c r="A2331" s="156" t="str">
        <f>'Reported burning'!A2331</f>
        <v>272b</v>
      </c>
      <c r="B2331" s="156" t="str">
        <f>'Reported burning'!B2331</f>
        <v>272b.3</v>
      </c>
      <c r="C2331" s="156" t="str">
        <f>'Reported burning'!C2331</f>
        <v>Human, deliberate</v>
      </c>
      <c r="D2331" s="156" t="str">
        <f>'Reported burning'!D2331</f>
        <v>ND</v>
      </c>
      <c r="E2331" s="156" t="str">
        <f>'Reported burning'!E2331</f>
        <v>Mixed cropping-livestock small holder, Market-oriented</v>
      </c>
      <c r="F2331" s="156" t="str">
        <f>'Reported burning'!F2331</f>
        <v>Forest</v>
      </c>
      <c r="G2331" s="156" t="str">
        <f>'Reported burning'!G2331</f>
        <v>Forest</v>
      </c>
      <c r="H2331" s="156" t="str">
        <f>'Reported burning'!H2331</f>
        <v>Presence</v>
      </c>
      <c r="I2331" s="205"/>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5"/>
      <c r="AB2331" s="205"/>
    </row>
    <row r="2332" spans="1:28" s="204" customFormat="1" ht="46" customHeight="1">
      <c r="A2332" s="156" t="str">
        <f>'Reported burning'!A2332</f>
        <v>272b</v>
      </c>
      <c r="B2332" s="156" t="str">
        <f>'Reported burning'!B2332</f>
        <v>272b.4</v>
      </c>
      <c r="C2332" s="156" t="str">
        <f>'Reported burning'!C2332</f>
        <v>Human, escaped</v>
      </c>
      <c r="D2332" s="156" t="str">
        <f>'Reported burning'!D2332</f>
        <v>ND</v>
      </c>
      <c r="E2332" s="156" t="str">
        <f>'Reported burning'!E2332</f>
        <v>Mixed cropping-livestock small holder, Market-oriented</v>
      </c>
      <c r="F2332" s="156" t="str">
        <f>'Reported burning'!F2332</f>
        <v>ND</v>
      </c>
      <c r="G2332" s="156" t="str">
        <f>'Reported burning'!G2332</f>
        <v>Forest</v>
      </c>
      <c r="H2332" s="156" t="str">
        <f>'Reported burning'!H2332</f>
        <v>Presence</v>
      </c>
      <c r="I2332" s="205"/>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5"/>
      <c r="AB2332" s="205"/>
    </row>
    <row r="2333" spans="1:28" s="204" customFormat="1" ht="46" customHeight="1">
      <c r="A2333" s="156" t="str">
        <f>'Reported burning'!A2333</f>
        <v>272b</v>
      </c>
      <c r="B2333" s="156" t="str">
        <f>'Reported burning'!B2333</f>
        <v>272b.5</v>
      </c>
      <c r="C2333" s="156" t="str">
        <f>'Reported burning'!C2333</f>
        <v>Human, escaped</v>
      </c>
      <c r="D2333" s="156" t="str">
        <f>'Reported burning'!D2333</f>
        <v>ND</v>
      </c>
      <c r="E2333" s="156" t="str">
        <f>'Reported burning'!E2333</f>
        <v>Forestry, Industrial</v>
      </c>
      <c r="F2333" s="156" t="str">
        <f>'Reported burning'!F2333</f>
        <v>Shrubland (Mixed forest &amp; grassland)</v>
      </c>
      <c r="G2333" s="156" t="str">
        <f>'Reported burning'!G2333</f>
        <v>Forest</v>
      </c>
      <c r="H2333" s="156" t="str">
        <f>'Reported burning'!H2333</f>
        <v>Presence</v>
      </c>
      <c r="I2333" s="205"/>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5"/>
      <c r="AB2333" s="205"/>
    </row>
    <row r="2334" spans="1:28" s="204" customFormat="1" ht="46" customHeight="1">
      <c r="A2334" s="156" t="str">
        <f>'Reported burning'!A2334</f>
        <v>272b</v>
      </c>
      <c r="B2334" s="156" t="str">
        <f>'Reported burning'!B2334</f>
        <v>272b.6</v>
      </c>
      <c r="C2334" s="156" t="str">
        <f>'Reported burning'!C2334</f>
        <v>Human, deliberate</v>
      </c>
      <c r="D2334" s="156" t="str">
        <f>'Reported burning'!D2334</f>
        <v>Arson</v>
      </c>
      <c r="E2334" s="156" t="str">
        <f>'Reported burning'!E2334</f>
        <v>Mixed cropping-livestock small holder, Market-oriented</v>
      </c>
      <c r="F2334" s="156" t="str">
        <f>'Reported burning'!F2334</f>
        <v>Plantation forest</v>
      </c>
      <c r="G2334" s="156" t="str">
        <f>'Reported burning'!G2334</f>
        <v>Plantation forest</v>
      </c>
      <c r="H2334" s="156" t="str">
        <f>'Reported burning'!H2334</f>
        <v>Presence</v>
      </c>
      <c r="I2334" s="205"/>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5"/>
      <c r="AB2334" s="205"/>
    </row>
    <row r="2335" spans="1:28" s="204" customFormat="1" ht="46" customHeight="1">
      <c r="A2335" s="156" t="str">
        <f>'Reported burning'!A2335</f>
        <v>272b</v>
      </c>
      <c r="B2335" s="156" t="str">
        <f>'Reported burning'!B2335</f>
        <v>272b.7</v>
      </c>
      <c r="C2335" s="156" t="str">
        <f>'Reported burning'!C2335</f>
        <v>Human, accidental</v>
      </c>
      <c r="D2335" s="156" t="str">
        <f>'Reported burning'!D2335</f>
        <v>Accidental</v>
      </c>
      <c r="E2335" s="156" t="str">
        <f>'Reported burning'!E2335</f>
        <v>ND</v>
      </c>
      <c r="F2335" s="156" t="str">
        <f>'Reported burning'!F2335</f>
        <v>ND</v>
      </c>
      <c r="G2335" s="156" t="str">
        <f>'Reported burning'!G2335</f>
        <v>Forest</v>
      </c>
      <c r="H2335" s="156" t="str">
        <f>'Reported burning'!H2335</f>
        <v>Presence</v>
      </c>
      <c r="I2335" s="205"/>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5"/>
      <c r="AB2335" s="205"/>
    </row>
    <row r="2336" spans="1:28" s="204" customFormat="1" ht="46" customHeight="1">
      <c r="A2336" s="156" t="str">
        <f>'Reported burning'!A2336</f>
        <v>272b</v>
      </c>
      <c r="B2336" s="156" t="str">
        <f>'Reported burning'!B2336</f>
        <v>272b.8</v>
      </c>
      <c r="C2336" s="156" t="str">
        <f>'Reported burning'!C2336</f>
        <v>Lightning</v>
      </c>
      <c r="D2336" s="156" t="str">
        <f>'Reported burning'!D2336</f>
        <v>ND</v>
      </c>
      <c r="E2336" s="156" t="str">
        <f>'Reported burning'!E2336</f>
        <v>Mixed cropping-livestock small holder, Market-oriented</v>
      </c>
      <c r="F2336" s="156" t="str">
        <f>'Reported burning'!F2336</f>
        <v>ND</v>
      </c>
      <c r="G2336" s="156" t="str">
        <f>'Reported burning'!G2336</f>
        <v>Forest</v>
      </c>
      <c r="H2336" s="156" t="str">
        <f>'Reported burning'!H2336</f>
        <v>Presence</v>
      </c>
      <c r="I2336" s="205"/>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5"/>
      <c r="AB2336" s="205"/>
    </row>
    <row r="2337" spans="1:28" s="204" customFormat="1" ht="46" customHeight="1">
      <c r="A2337" s="156" t="str">
        <f>'Reported burning'!A2337</f>
        <v>272b</v>
      </c>
      <c r="B2337" s="156" t="str">
        <f>'Reported burning'!B2337</f>
        <v>272b.9</v>
      </c>
      <c r="C2337" s="156" t="str">
        <f>'Reported burning'!C2337</f>
        <v>Unknown</v>
      </c>
      <c r="D2337" s="156" t="str">
        <f>'Reported burning'!D2337</f>
        <v>ND</v>
      </c>
      <c r="E2337" s="156" t="str">
        <f>'Reported burning'!E2337</f>
        <v>ND</v>
      </c>
      <c r="F2337" s="156" t="str">
        <f>'Reported burning'!F2337</f>
        <v>ND</v>
      </c>
      <c r="G2337" s="156" t="str">
        <f>'Reported burning'!G2337</f>
        <v>Forest</v>
      </c>
      <c r="H2337" s="156" t="str">
        <f>'Reported burning'!H2337</f>
        <v>Presence</v>
      </c>
      <c r="I2337" s="205"/>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5"/>
      <c r="AB2337" s="205"/>
    </row>
    <row r="2338" spans="1:28" s="204" customFormat="1" ht="46" customHeight="1">
      <c r="A2338" s="156" t="str">
        <f>'Reported burning'!A2338</f>
        <v>272c</v>
      </c>
      <c r="B2338" s="156" t="str">
        <f>'Reported burning'!B2338</f>
        <v>272c.1</v>
      </c>
      <c r="C2338" s="156" t="str">
        <f>'Reported burning'!C2338</f>
        <v>All</v>
      </c>
      <c r="D2338" s="156" t="str">
        <f>'Reported burning'!D2338</f>
        <v>All</v>
      </c>
      <c r="E2338" s="156" t="str">
        <f>'Reported burning'!E2338</f>
        <v>All</v>
      </c>
      <c r="F2338" s="156" t="str">
        <f>'Reported burning'!F2338</f>
        <v>ND</v>
      </c>
      <c r="G2338" s="156" t="str">
        <f>'Reported burning'!G2338</f>
        <v>Forest</v>
      </c>
      <c r="H2338" s="156" t="str">
        <f>'Reported burning'!H2338</f>
        <v>Presence</v>
      </c>
      <c r="I2338" s="205"/>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5"/>
      <c r="AB2338" s="205"/>
    </row>
    <row r="2339" spans="1:28" ht="46" customHeight="1">
      <c r="A2339" s="156" t="str">
        <f>'Reported burning'!A2339</f>
        <v>272c</v>
      </c>
      <c r="B2339" s="156" t="str">
        <f>'Reported burning'!B2339</f>
        <v>272c.2</v>
      </c>
      <c r="C2339" s="156" t="str">
        <f>'Reported burning'!C2339</f>
        <v>Human, deliberate</v>
      </c>
      <c r="D2339" s="156" t="str">
        <f>'Reported burning'!D2339</f>
        <v>ND</v>
      </c>
      <c r="E2339" s="156" t="str">
        <f>'Reported burning'!E2339</f>
        <v>Forestry, Industrial</v>
      </c>
      <c r="F2339" s="156" t="str">
        <f>'Reported burning'!F2339</f>
        <v>Forest</v>
      </c>
      <c r="G2339" s="156" t="str">
        <f>'Reported burning'!G2339</f>
        <v>Forest</v>
      </c>
      <c r="H2339" s="156"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4" customFormat="1" ht="46" customHeight="1">
      <c r="A2340" s="156" t="str">
        <f>'Reported burning'!A2340</f>
        <v>272c</v>
      </c>
      <c r="B2340" s="156" t="str">
        <f>'Reported burning'!B2340</f>
        <v>272c.3</v>
      </c>
      <c r="C2340" s="156" t="str">
        <f>'Reported burning'!C2340</f>
        <v>Human, deliberate</v>
      </c>
      <c r="D2340" s="156" t="str">
        <f>'Reported burning'!D2340</f>
        <v>ND</v>
      </c>
      <c r="E2340" s="156" t="str">
        <f>'Reported burning'!E2340</f>
        <v>Mixed cropping-livestock small holder, Market-oriented</v>
      </c>
      <c r="F2340" s="156" t="str">
        <f>'Reported burning'!F2340</f>
        <v>Forest</v>
      </c>
      <c r="G2340" s="156" t="str">
        <f>'Reported burning'!G2340</f>
        <v>Forest</v>
      </c>
      <c r="H2340" s="156"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5"/>
      <c r="AB2340" s="205"/>
    </row>
    <row r="2341" spans="1:28" s="204" customFormat="1" ht="46" customHeight="1">
      <c r="A2341" s="156" t="str">
        <f>'Reported burning'!A2341</f>
        <v>272c</v>
      </c>
      <c r="B2341" s="156" t="str">
        <f>'Reported burning'!B2341</f>
        <v>272c.4</v>
      </c>
      <c r="C2341" s="156" t="str">
        <f>'Reported burning'!C2341</f>
        <v>Human, escaped</v>
      </c>
      <c r="D2341" s="156" t="str">
        <f>'Reported burning'!D2341</f>
        <v>ND</v>
      </c>
      <c r="E2341" s="156" t="str">
        <f>'Reported burning'!E2341</f>
        <v>Mixed cropping-livestock small holder, Market-oriented</v>
      </c>
      <c r="F2341" s="156" t="str">
        <f>'Reported burning'!F2341</f>
        <v>ND</v>
      </c>
      <c r="G2341" s="156" t="str">
        <f>'Reported burning'!G2341</f>
        <v>Forest</v>
      </c>
      <c r="H2341" s="156"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5"/>
      <c r="AB2341" s="205"/>
    </row>
    <row r="2342" spans="1:28" s="204" customFormat="1" ht="46" customHeight="1">
      <c r="A2342" s="156" t="str">
        <f>'Reported burning'!A2342</f>
        <v>272c</v>
      </c>
      <c r="B2342" s="156" t="str">
        <f>'Reported burning'!B2342</f>
        <v>272c.5</v>
      </c>
      <c r="C2342" s="156" t="str">
        <f>'Reported burning'!C2342</f>
        <v>Human, escaped</v>
      </c>
      <c r="D2342" s="156" t="str">
        <f>'Reported burning'!D2342</f>
        <v>ND</v>
      </c>
      <c r="E2342" s="156" t="str">
        <f>'Reported burning'!E2342</f>
        <v>Forestry, Industrial</v>
      </c>
      <c r="F2342" s="156" t="str">
        <f>'Reported burning'!F2342</f>
        <v>Shrubland (Mixed forest &amp; grassland)</v>
      </c>
      <c r="G2342" s="156" t="str">
        <f>'Reported burning'!G2342</f>
        <v>Forest</v>
      </c>
      <c r="H2342" s="156"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5"/>
      <c r="AB2342" s="205"/>
    </row>
    <row r="2343" spans="1:28" s="204" customFormat="1" ht="46" customHeight="1">
      <c r="A2343" s="156" t="str">
        <f>'Reported burning'!A2343</f>
        <v>272c</v>
      </c>
      <c r="B2343" s="156" t="str">
        <f>'Reported burning'!B2343</f>
        <v>272c.6</v>
      </c>
      <c r="C2343" s="156" t="str">
        <f>'Reported burning'!C2343</f>
        <v>Human, deliberate</v>
      </c>
      <c r="D2343" s="156" t="str">
        <f>'Reported burning'!D2343</f>
        <v>Arson</v>
      </c>
      <c r="E2343" s="156" t="str">
        <f>'Reported burning'!E2343</f>
        <v>Mixed cropping-livestock small holder, Market-oriented</v>
      </c>
      <c r="F2343" s="156" t="str">
        <f>'Reported burning'!F2343</f>
        <v>Plantation forest</v>
      </c>
      <c r="G2343" s="156" t="str">
        <f>'Reported burning'!G2343</f>
        <v>Plantation forest</v>
      </c>
      <c r="H2343" s="156"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5"/>
      <c r="AB2343" s="205"/>
    </row>
    <row r="2344" spans="1:28" s="204" customFormat="1" ht="46" customHeight="1">
      <c r="A2344" s="156" t="str">
        <f>'Reported burning'!A2344</f>
        <v>272c</v>
      </c>
      <c r="B2344" s="156" t="str">
        <f>'Reported burning'!B2344</f>
        <v>272c.7</v>
      </c>
      <c r="C2344" s="156" t="str">
        <f>'Reported burning'!C2344</f>
        <v>Human, accidental</v>
      </c>
      <c r="D2344" s="156" t="str">
        <f>'Reported burning'!D2344</f>
        <v>Accidental</v>
      </c>
      <c r="E2344" s="156" t="str">
        <f>'Reported burning'!E2344</f>
        <v>ND</v>
      </c>
      <c r="F2344" s="156" t="str">
        <f>'Reported burning'!F2344</f>
        <v>ND</v>
      </c>
      <c r="G2344" s="156" t="str">
        <f>'Reported burning'!G2344</f>
        <v>Forest</v>
      </c>
      <c r="H2344" s="156"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5"/>
      <c r="AB2344" s="205"/>
    </row>
    <row r="2345" spans="1:28" s="204" customFormat="1" ht="46" customHeight="1">
      <c r="A2345" s="156" t="str">
        <f>'Reported burning'!A2345</f>
        <v>272c</v>
      </c>
      <c r="B2345" s="156" t="str">
        <f>'Reported burning'!B2345</f>
        <v>272c.8</v>
      </c>
      <c r="C2345" s="156" t="str">
        <f>'Reported burning'!C2345</f>
        <v>Lightning</v>
      </c>
      <c r="D2345" s="156" t="str">
        <f>'Reported burning'!D2345</f>
        <v>ND</v>
      </c>
      <c r="E2345" s="156" t="str">
        <f>'Reported burning'!E2345</f>
        <v>Mixed cropping-livestock small holder, Market-oriented</v>
      </c>
      <c r="F2345" s="156" t="str">
        <f>'Reported burning'!F2345</f>
        <v>ND</v>
      </c>
      <c r="G2345" s="156" t="str">
        <f>'Reported burning'!G2345</f>
        <v>Forest</v>
      </c>
      <c r="H2345" s="156"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5"/>
      <c r="AB2345" s="205"/>
    </row>
    <row r="2346" spans="1:28" s="204" customFormat="1" ht="46" customHeight="1">
      <c r="A2346" s="156" t="str">
        <f>'Reported burning'!A2346</f>
        <v>272c</v>
      </c>
      <c r="B2346" s="156" t="str">
        <f>'Reported burning'!B2346</f>
        <v>272c.9</v>
      </c>
      <c r="C2346" s="156" t="str">
        <f>'Reported burning'!C2346</f>
        <v>Unknown</v>
      </c>
      <c r="D2346" s="156" t="str">
        <f>'Reported burning'!D2346</f>
        <v>ND</v>
      </c>
      <c r="E2346" s="156" t="str">
        <f>'Reported burning'!E2346</f>
        <v>ND</v>
      </c>
      <c r="F2346" s="156" t="str">
        <f>'Reported burning'!F2346</f>
        <v>ND</v>
      </c>
      <c r="G2346" s="156" t="str">
        <f>'Reported burning'!G2346</f>
        <v>Forest</v>
      </c>
      <c r="H2346" s="156"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5"/>
      <c r="AB2346" s="205"/>
    </row>
    <row r="2347" spans="1:28" s="204" customFormat="1" ht="46" customHeight="1">
      <c r="A2347" s="156" t="str">
        <f>'Reported burning'!A2347</f>
        <v>272d</v>
      </c>
      <c r="B2347" s="156" t="str">
        <f>'Reported burning'!B2347</f>
        <v>272d.1</v>
      </c>
      <c r="C2347" s="156" t="str">
        <f>'Reported burning'!C2347</f>
        <v>All</v>
      </c>
      <c r="D2347" s="156" t="str">
        <f>'Reported burning'!D2347</f>
        <v>All</v>
      </c>
      <c r="E2347" s="156" t="str">
        <f>'Reported burning'!E2347</f>
        <v>All</v>
      </c>
      <c r="F2347" s="156" t="str">
        <f>'Reported burning'!F2347</f>
        <v>ND</v>
      </c>
      <c r="G2347" s="156" t="str">
        <f>'Reported burning'!G2347</f>
        <v>Forest</v>
      </c>
      <c r="H2347" s="156"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5"/>
      <c r="AB2347" s="205"/>
    </row>
    <row r="2348" spans="1:28" s="204" customFormat="1" ht="46" customHeight="1">
      <c r="A2348" s="156" t="str">
        <f>'Reported burning'!A2348</f>
        <v>272d</v>
      </c>
      <c r="B2348" s="156" t="str">
        <f>'Reported burning'!B2348</f>
        <v>272d.2</v>
      </c>
      <c r="C2348" s="156" t="str">
        <f>'Reported burning'!C2348</f>
        <v>Human, deliberate</v>
      </c>
      <c r="D2348" s="156" t="str">
        <f>'Reported burning'!D2348</f>
        <v>ND</v>
      </c>
      <c r="E2348" s="156" t="str">
        <f>'Reported burning'!E2348</f>
        <v>Forestry, Industrial</v>
      </c>
      <c r="F2348" s="156" t="str">
        <f>'Reported burning'!F2348</f>
        <v>Forest</v>
      </c>
      <c r="G2348" s="156" t="str">
        <f>'Reported burning'!G2348</f>
        <v>Forest</v>
      </c>
      <c r="H2348" s="156"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5"/>
      <c r="AB2348" s="205"/>
    </row>
    <row r="2349" spans="1:28" s="204" customFormat="1" ht="46" customHeight="1">
      <c r="A2349" s="156" t="str">
        <f>'Reported burning'!A2349</f>
        <v>272d</v>
      </c>
      <c r="B2349" s="156" t="str">
        <f>'Reported burning'!B2349</f>
        <v>272d.3</v>
      </c>
      <c r="C2349" s="156" t="str">
        <f>'Reported burning'!C2349</f>
        <v>Human, deliberate</v>
      </c>
      <c r="D2349" s="156" t="str">
        <f>'Reported burning'!D2349</f>
        <v>ND</v>
      </c>
      <c r="E2349" s="156" t="str">
        <f>'Reported burning'!E2349</f>
        <v>Mixed cropping-livestock small holder, Market-oriented</v>
      </c>
      <c r="F2349" s="156" t="str">
        <f>'Reported burning'!F2349</f>
        <v>Forest</v>
      </c>
      <c r="G2349" s="156" t="str">
        <f>'Reported burning'!G2349</f>
        <v>Forest</v>
      </c>
      <c r="H2349" s="156"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5"/>
      <c r="AB2349" s="205"/>
    </row>
    <row r="2350" spans="1:28" s="204" customFormat="1" ht="46" customHeight="1">
      <c r="A2350" s="156" t="str">
        <f>'Reported burning'!A2350</f>
        <v>272d</v>
      </c>
      <c r="B2350" s="156" t="str">
        <f>'Reported burning'!B2350</f>
        <v>272d.4</v>
      </c>
      <c r="C2350" s="156" t="str">
        <f>'Reported burning'!C2350</f>
        <v>Human, escaped</v>
      </c>
      <c r="D2350" s="156" t="str">
        <f>'Reported burning'!D2350</f>
        <v>ND</v>
      </c>
      <c r="E2350" s="156" t="str">
        <f>'Reported burning'!E2350</f>
        <v>Mixed cropping-livestock small holder, Market-oriented</v>
      </c>
      <c r="F2350" s="156" t="str">
        <f>'Reported burning'!F2350</f>
        <v>ND</v>
      </c>
      <c r="G2350" s="156" t="str">
        <f>'Reported burning'!G2350</f>
        <v>Forest</v>
      </c>
      <c r="H2350" s="156"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5"/>
      <c r="AB2350" s="205"/>
    </row>
    <row r="2351" spans="1:28" s="204" customFormat="1" ht="46" customHeight="1">
      <c r="A2351" s="156" t="str">
        <f>'Reported burning'!A2351</f>
        <v>272d</v>
      </c>
      <c r="B2351" s="156" t="str">
        <f>'Reported burning'!B2351</f>
        <v>272d.5</v>
      </c>
      <c r="C2351" s="156" t="str">
        <f>'Reported burning'!C2351</f>
        <v>Human, escaped</v>
      </c>
      <c r="D2351" s="156" t="str">
        <f>'Reported burning'!D2351</f>
        <v>ND</v>
      </c>
      <c r="E2351" s="156" t="str">
        <f>'Reported burning'!E2351</f>
        <v>Forestry, Industrial</v>
      </c>
      <c r="F2351" s="156" t="str">
        <f>'Reported burning'!F2351</f>
        <v>Shrubland (Mixed forest &amp; grassland)</v>
      </c>
      <c r="G2351" s="156" t="str">
        <f>'Reported burning'!G2351</f>
        <v>Forest</v>
      </c>
      <c r="H2351" s="156"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5"/>
      <c r="AB2351" s="205"/>
    </row>
    <row r="2352" spans="1:28" s="204" customFormat="1" ht="46" customHeight="1">
      <c r="A2352" s="156" t="str">
        <f>'Reported burning'!A2352</f>
        <v>272d</v>
      </c>
      <c r="B2352" s="156" t="str">
        <f>'Reported burning'!B2352</f>
        <v>272d.6</v>
      </c>
      <c r="C2352" s="156" t="str">
        <f>'Reported burning'!C2352</f>
        <v>Human, deliberate</v>
      </c>
      <c r="D2352" s="156" t="str">
        <f>'Reported burning'!D2352</f>
        <v>Arson</v>
      </c>
      <c r="E2352" s="156" t="str">
        <f>'Reported burning'!E2352</f>
        <v>Mixed cropping-livestock small holder, Market-oriented</v>
      </c>
      <c r="F2352" s="156" t="str">
        <f>'Reported burning'!F2352</f>
        <v>Plantation forest</v>
      </c>
      <c r="G2352" s="156" t="str">
        <f>'Reported burning'!G2352</f>
        <v>Plantation forest</v>
      </c>
      <c r="H2352" s="156"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5"/>
      <c r="AB2352" s="205"/>
    </row>
    <row r="2353" spans="1:28" s="204" customFormat="1" ht="46" customHeight="1">
      <c r="A2353" s="156" t="str">
        <f>'Reported burning'!A2353</f>
        <v>272d</v>
      </c>
      <c r="B2353" s="156" t="str">
        <f>'Reported burning'!B2353</f>
        <v>272d.7</v>
      </c>
      <c r="C2353" s="156" t="str">
        <f>'Reported burning'!C2353</f>
        <v>Human, accidental</v>
      </c>
      <c r="D2353" s="156" t="str">
        <f>'Reported burning'!D2353</f>
        <v>Accidental</v>
      </c>
      <c r="E2353" s="156" t="str">
        <f>'Reported burning'!E2353</f>
        <v>ND</v>
      </c>
      <c r="F2353" s="156" t="str">
        <f>'Reported burning'!F2353</f>
        <v>ND</v>
      </c>
      <c r="G2353" s="156" t="str">
        <f>'Reported burning'!G2353</f>
        <v>Forest</v>
      </c>
      <c r="H2353" s="156"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5"/>
      <c r="AB2353" s="205"/>
    </row>
    <row r="2354" spans="1:28" s="204" customFormat="1" ht="46" customHeight="1">
      <c r="A2354" s="156" t="str">
        <f>'Reported burning'!A2354</f>
        <v>272d</v>
      </c>
      <c r="B2354" s="156" t="str">
        <f>'Reported burning'!B2354</f>
        <v>272d.8</v>
      </c>
      <c r="C2354" s="156" t="str">
        <f>'Reported burning'!C2354</f>
        <v>Lightning</v>
      </c>
      <c r="D2354" s="156" t="str">
        <f>'Reported burning'!D2354</f>
        <v>ND</v>
      </c>
      <c r="E2354" s="156" t="str">
        <f>'Reported burning'!E2354</f>
        <v>Mixed cropping-livestock small holder, Market-oriented</v>
      </c>
      <c r="F2354" s="156" t="str">
        <f>'Reported burning'!F2354</f>
        <v>ND</v>
      </c>
      <c r="G2354" s="156" t="str">
        <f>'Reported burning'!G2354</f>
        <v>Forest</v>
      </c>
      <c r="H2354" s="156"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5"/>
      <c r="AB2354" s="205"/>
    </row>
    <row r="2355" spans="1:28" s="204" customFormat="1" ht="46" customHeight="1">
      <c r="A2355" s="156" t="str">
        <f>'Reported burning'!A2355</f>
        <v>272d</v>
      </c>
      <c r="B2355" s="156" t="str">
        <f>'Reported burning'!B2355</f>
        <v>272d.9</v>
      </c>
      <c r="C2355" s="156" t="str">
        <f>'Reported burning'!C2355</f>
        <v>Unknown</v>
      </c>
      <c r="D2355" s="156" t="str">
        <f>'Reported burning'!D2355</f>
        <v>ND</v>
      </c>
      <c r="E2355" s="156" t="str">
        <f>'Reported burning'!E2355</f>
        <v>ND</v>
      </c>
      <c r="F2355" s="156" t="str">
        <f>'Reported burning'!F2355</f>
        <v>ND</v>
      </c>
      <c r="G2355" s="156" t="str">
        <f>'Reported burning'!G2355</f>
        <v>Forest</v>
      </c>
      <c r="H2355" s="156"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5"/>
      <c r="AB2355" s="205"/>
    </row>
    <row r="2356" spans="1:28" s="204" customFormat="1" ht="46" customHeight="1">
      <c r="A2356" s="156" t="str">
        <f>'Reported burning'!A2356</f>
        <v>272e</v>
      </c>
      <c r="B2356" s="156" t="str">
        <f>'Reported burning'!B2356</f>
        <v>272e.1</v>
      </c>
      <c r="C2356" s="156" t="str">
        <f>'Reported burning'!C2356</f>
        <v>All</v>
      </c>
      <c r="D2356" s="156" t="str">
        <f>'Reported burning'!D2356</f>
        <v>All</v>
      </c>
      <c r="E2356" s="156" t="str">
        <f>'Reported burning'!E2356</f>
        <v>All</v>
      </c>
      <c r="F2356" s="156" t="str">
        <f>'Reported burning'!F2356</f>
        <v>ND</v>
      </c>
      <c r="G2356" s="156" t="str">
        <f>'Reported burning'!G2356</f>
        <v>Forest</v>
      </c>
      <c r="H2356" s="156"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5"/>
      <c r="AB2356" s="205"/>
    </row>
    <row r="2357" spans="1:28" s="204" customFormat="1" ht="46" customHeight="1">
      <c r="A2357" s="156" t="str">
        <f>'Reported burning'!A2357</f>
        <v>272e</v>
      </c>
      <c r="B2357" s="156" t="str">
        <f>'Reported burning'!B2357</f>
        <v>272e.2</v>
      </c>
      <c r="C2357" s="156" t="str">
        <f>'Reported burning'!C2357</f>
        <v>Human, deliberate</v>
      </c>
      <c r="D2357" s="156" t="str">
        <f>'Reported burning'!D2357</f>
        <v>ND</v>
      </c>
      <c r="E2357" s="156" t="str">
        <f>'Reported burning'!E2357</f>
        <v>Forestry, Industrial</v>
      </c>
      <c r="F2357" s="156" t="str">
        <f>'Reported burning'!F2357</f>
        <v>Forest</v>
      </c>
      <c r="G2357" s="156" t="str">
        <f>'Reported burning'!G2357</f>
        <v>Forest</v>
      </c>
      <c r="H2357" s="156"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5"/>
      <c r="AB2357" s="205"/>
    </row>
    <row r="2358" spans="1:28" s="204" customFormat="1" ht="46" customHeight="1">
      <c r="A2358" s="156" t="str">
        <f>'Reported burning'!A2358</f>
        <v>272e</v>
      </c>
      <c r="B2358" s="156" t="str">
        <f>'Reported burning'!B2358</f>
        <v>272e.3</v>
      </c>
      <c r="C2358" s="156" t="str">
        <f>'Reported burning'!C2358</f>
        <v>Human, deliberate</v>
      </c>
      <c r="D2358" s="156" t="str">
        <f>'Reported burning'!D2358</f>
        <v>ND</v>
      </c>
      <c r="E2358" s="156" t="str">
        <f>'Reported burning'!E2358</f>
        <v>Mixed cropping-livestock small holder, Market-oriented</v>
      </c>
      <c r="F2358" s="156" t="str">
        <f>'Reported burning'!F2358</f>
        <v>Forest</v>
      </c>
      <c r="G2358" s="156" t="str">
        <f>'Reported burning'!G2358</f>
        <v>Forest</v>
      </c>
      <c r="H2358" s="156"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5"/>
      <c r="AB2358" s="205"/>
    </row>
    <row r="2359" spans="1:28" s="204" customFormat="1" ht="46" customHeight="1">
      <c r="A2359" s="156" t="str">
        <f>'Reported burning'!A2359</f>
        <v>272e</v>
      </c>
      <c r="B2359" s="156" t="str">
        <f>'Reported burning'!B2359</f>
        <v>272e.4</v>
      </c>
      <c r="C2359" s="156" t="str">
        <f>'Reported burning'!C2359</f>
        <v>Human, escaped</v>
      </c>
      <c r="D2359" s="156" t="str">
        <f>'Reported burning'!D2359</f>
        <v>ND</v>
      </c>
      <c r="E2359" s="156" t="str">
        <f>'Reported burning'!E2359</f>
        <v>Mixed cropping-livestock small holder, Market-oriented</v>
      </c>
      <c r="F2359" s="156" t="str">
        <f>'Reported burning'!F2359</f>
        <v>ND</v>
      </c>
      <c r="G2359" s="156" t="str">
        <f>'Reported burning'!G2359</f>
        <v>Forest</v>
      </c>
      <c r="H2359" s="156"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5"/>
      <c r="AB2359" s="205"/>
    </row>
    <row r="2360" spans="1:28" s="204" customFormat="1" ht="46" customHeight="1">
      <c r="A2360" s="156" t="str">
        <f>'Reported burning'!A2360</f>
        <v>272e</v>
      </c>
      <c r="B2360" s="156" t="str">
        <f>'Reported burning'!B2360</f>
        <v>272e.5</v>
      </c>
      <c r="C2360" s="156" t="str">
        <f>'Reported burning'!C2360</f>
        <v>Human, escaped</v>
      </c>
      <c r="D2360" s="156" t="str">
        <f>'Reported burning'!D2360</f>
        <v>ND</v>
      </c>
      <c r="E2360" s="156" t="str">
        <f>'Reported burning'!E2360</f>
        <v>Forestry, Industrial</v>
      </c>
      <c r="F2360" s="156" t="str">
        <f>'Reported burning'!F2360</f>
        <v>Shrubland (Mixed forest &amp; grassland)</v>
      </c>
      <c r="G2360" s="156" t="str">
        <f>'Reported burning'!G2360</f>
        <v>Forest</v>
      </c>
      <c r="H2360" s="156"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5"/>
      <c r="AB2360" s="205"/>
    </row>
    <row r="2361" spans="1:28" s="204" customFormat="1" ht="46" customHeight="1">
      <c r="A2361" s="156" t="str">
        <f>'Reported burning'!A2361</f>
        <v>272e</v>
      </c>
      <c r="B2361" s="156" t="str">
        <f>'Reported burning'!B2361</f>
        <v>272e.6</v>
      </c>
      <c r="C2361" s="156" t="str">
        <f>'Reported burning'!C2361</f>
        <v>Human, deliberate</v>
      </c>
      <c r="D2361" s="156" t="str">
        <f>'Reported burning'!D2361</f>
        <v>Arson</v>
      </c>
      <c r="E2361" s="156" t="str">
        <f>'Reported burning'!E2361</f>
        <v>Mixed cropping-livestock small holder, Market-oriented</v>
      </c>
      <c r="F2361" s="156" t="str">
        <f>'Reported burning'!F2361</f>
        <v>Plantation forest</v>
      </c>
      <c r="G2361" s="156" t="str">
        <f>'Reported burning'!G2361</f>
        <v>Plantation forest</v>
      </c>
      <c r="H2361" s="156"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5"/>
      <c r="AB2361" s="205"/>
    </row>
    <row r="2362" spans="1:28" s="204" customFormat="1" ht="46" customHeight="1">
      <c r="A2362" s="156" t="str">
        <f>'Reported burning'!A2362</f>
        <v>272e</v>
      </c>
      <c r="B2362" s="156" t="str">
        <f>'Reported burning'!B2362</f>
        <v>272e.7</v>
      </c>
      <c r="C2362" s="156" t="str">
        <f>'Reported burning'!C2362</f>
        <v>Human, accidental</v>
      </c>
      <c r="D2362" s="156" t="str">
        <f>'Reported burning'!D2362</f>
        <v>Accidental</v>
      </c>
      <c r="E2362" s="156" t="str">
        <f>'Reported burning'!E2362</f>
        <v>ND</v>
      </c>
      <c r="F2362" s="156" t="str">
        <f>'Reported burning'!F2362</f>
        <v>ND</v>
      </c>
      <c r="G2362" s="156" t="str">
        <f>'Reported burning'!G2362</f>
        <v>Forest</v>
      </c>
      <c r="H2362" s="156"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5"/>
      <c r="AB2362" s="205"/>
    </row>
    <row r="2363" spans="1:28" s="204" customFormat="1" ht="46" customHeight="1">
      <c r="A2363" s="156" t="str">
        <f>'Reported burning'!A2363</f>
        <v>272e</v>
      </c>
      <c r="B2363" s="156" t="str">
        <f>'Reported burning'!B2363</f>
        <v>272e.8</v>
      </c>
      <c r="C2363" s="156" t="str">
        <f>'Reported burning'!C2363</f>
        <v>Lightning</v>
      </c>
      <c r="D2363" s="156" t="str">
        <f>'Reported burning'!D2363</f>
        <v>ND</v>
      </c>
      <c r="E2363" s="156" t="str">
        <f>'Reported burning'!E2363</f>
        <v>Mixed cropping-livestock small holder, Market-oriented</v>
      </c>
      <c r="F2363" s="156" t="str">
        <f>'Reported burning'!F2363</f>
        <v>ND</v>
      </c>
      <c r="G2363" s="156" t="str">
        <f>'Reported burning'!G2363</f>
        <v>Forest</v>
      </c>
      <c r="H2363" s="156"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5"/>
      <c r="AB2363" s="205"/>
    </row>
    <row r="2364" spans="1:28" s="204" customFormat="1" ht="46" customHeight="1">
      <c r="A2364" s="156" t="str">
        <f>'Reported burning'!A2364</f>
        <v>272e</v>
      </c>
      <c r="B2364" s="156" t="str">
        <f>'Reported burning'!B2364</f>
        <v>272e.9</v>
      </c>
      <c r="C2364" s="156" t="str">
        <f>'Reported burning'!C2364</f>
        <v>Unknown</v>
      </c>
      <c r="D2364" s="156" t="str">
        <f>'Reported burning'!D2364</f>
        <v>ND</v>
      </c>
      <c r="E2364" s="156" t="str">
        <f>'Reported burning'!E2364</f>
        <v>ND</v>
      </c>
      <c r="F2364" s="156" t="str">
        <f>'Reported burning'!F2364</f>
        <v>ND</v>
      </c>
      <c r="G2364" s="156" t="str">
        <f>'Reported burning'!G2364</f>
        <v>Forest</v>
      </c>
      <c r="H2364" s="156"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5"/>
      <c r="AB2364" s="205"/>
    </row>
    <row r="2365" spans="1:28" s="204" customFormat="1" ht="46" customHeight="1">
      <c r="A2365" s="156" t="str">
        <f>'Reported burning'!A2365</f>
        <v>272f</v>
      </c>
      <c r="B2365" s="156" t="str">
        <f>'Reported burning'!B2365</f>
        <v>272f.1</v>
      </c>
      <c r="C2365" s="156" t="str">
        <f>'Reported burning'!C2365</f>
        <v>All</v>
      </c>
      <c r="D2365" s="156" t="str">
        <f>'Reported burning'!D2365</f>
        <v>All</v>
      </c>
      <c r="E2365" s="156" t="str">
        <f>'Reported burning'!E2365</f>
        <v>All</v>
      </c>
      <c r="F2365" s="156" t="str">
        <f>'Reported burning'!F2365</f>
        <v>ND</v>
      </c>
      <c r="G2365" s="156" t="str">
        <f>'Reported burning'!G2365</f>
        <v>Forest</v>
      </c>
      <c r="H2365" s="156"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5"/>
      <c r="AB2365" s="205"/>
    </row>
    <row r="2366" spans="1:28" s="204" customFormat="1" ht="46" customHeight="1">
      <c r="A2366" s="156" t="str">
        <f>'Reported burning'!A2366</f>
        <v>272f</v>
      </c>
      <c r="B2366" s="156" t="str">
        <f>'Reported burning'!B2366</f>
        <v>272f.2</v>
      </c>
      <c r="C2366" s="156" t="str">
        <f>'Reported burning'!C2366</f>
        <v>Human, deliberate</v>
      </c>
      <c r="D2366" s="156" t="str">
        <f>'Reported burning'!D2366</f>
        <v>ND</v>
      </c>
      <c r="E2366" s="156" t="str">
        <f>'Reported burning'!E2366</f>
        <v>Forestry, Industrial</v>
      </c>
      <c r="F2366" s="156" t="str">
        <f>'Reported burning'!F2366</f>
        <v>Forest</v>
      </c>
      <c r="G2366" s="156" t="str">
        <f>'Reported burning'!G2366</f>
        <v>Forest</v>
      </c>
      <c r="H2366" s="156"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5"/>
      <c r="AB2366" s="205"/>
    </row>
    <row r="2367" spans="1:28" s="204" customFormat="1" ht="46" customHeight="1">
      <c r="A2367" s="156" t="str">
        <f>'Reported burning'!A2367</f>
        <v>272f</v>
      </c>
      <c r="B2367" s="156" t="str">
        <f>'Reported burning'!B2367</f>
        <v>272f.3</v>
      </c>
      <c r="C2367" s="156" t="str">
        <f>'Reported burning'!C2367</f>
        <v>Human, deliberate</v>
      </c>
      <c r="D2367" s="156" t="str">
        <f>'Reported burning'!D2367</f>
        <v>ND</v>
      </c>
      <c r="E2367" s="156" t="str">
        <f>'Reported burning'!E2367</f>
        <v>Mixed cropping-livestock small holder, Market-oriented</v>
      </c>
      <c r="F2367" s="156" t="str">
        <f>'Reported burning'!F2367</f>
        <v>Forest</v>
      </c>
      <c r="G2367" s="156" t="str">
        <f>'Reported burning'!G2367</f>
        <v>Forest</v>
      </c>
      <c r="H2367" s="156"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5"/>
      <c r="AB2367" s="205"/>
    </row>
    <row r="2368" spans="1:28" s="204" customFormat="1" ht="46" customHeight="1">
      <c r="A2368" s="156" t="str">
        <f>'Reported burning'!A2368</f>
        <v>272f</v>
      </c>
      <c r="B2368" s="156" t="str">
        <f>'Reported burning'!B2368</f>
        <v>272f.4</v>
      </c>
      <c r="C2368" s="156" t="str">
        <f>'Reported burning'!C2368</f>
        <v>Human, escaped</v>
      </c>
      <c r="D2368" s="156" t="str">
        <f>'Reported burning'!D2368</f>
        <v>ND</v>
      </c>
      <c r="E2368" s="156" t="str">
        <f>'Reported burning'!E2368</f>
        <v>Mixed cropping-livestock small holder, Market-oriented</v>
      </c>
      <c r="F2368" s="156" t="str">
        <f>'Reported burning'!F2368</f>
        <v>ND</v>
      </c>
      <c r="G2368" s="156" t="str">
        <f>'Reported burning'!G2368</f>
        <v>Forest</v>
      </c>
      <c r="H2368" s="156"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5"/>
      <c r="AB2368" s="205"/>
    </row>
    <row r="2369" spans="1:28" s="204" customFormat="1" ht="46" customHeight="1">
      <c r="A2369" s="156" t="str">
        <f>'Reported burning'!A2369</f>
        <v>272f</v>
      </c>
      <c r="B2369" s="156" t="str">
        <f>'Reported burning'!B2369</f>
        <v>272f.5</v>
      </c>
      <c r="C2369" s="156" t="str">
        <f>'Reported burning'!C2369</f>
        <v>Human, escaped</v>
      </c>
      <c r="D2369" s="156" t="str">
        <f>'Reported burning'!D2369</f>
        <v>ND</v>
      </c>
      <c r="E2369" s="156" t="str">
        <f>'Reported burning'!E2369</f>
        <v>Forestry, Industrial</v>
      </c>
      <c r="F2369" s="156" t="str">
        <f>'Reported burning'!F2369</f>
        <v>Shrubland (Mixed forest &amp; grassland)</v>
      </c>
      <c r="G2369" s="156" t="str">
        <f>'Reported burning'!G2369</f>
        <v>Forest</v>
      </c>
      <c r="H2369" s="156"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5"/>
      <c r="AB2369" s="205"/>
    </row>
    <row r="2370" spans="1:28" s="204" customFormat="1" ht="46" customHeight="1">
      <c r="A2370" s="156" t="str">
        <f>'Reported burning'!A2370</f>
        <v>272f</v>
      </c>
      <c r="B2370" s="156" t="str">
        <f>'Reported burning'!B2370</f>
        <v>272f.6</v>
      </c>
      <c r="C2370" s="156" t="str">
        <f>'Reported burning'!C2370</f>
        <v>Human, deliberate</v>
      </c>
      <c r="D2370" s="156" t="str">
        <f>'Reported burning'!D2370</f>
        <v>Arson</v>
      </c>
      <c r="E2370" s="156" t="str">
        <f>'Reported burning'!E2370</f>
        <v>Mixed cropping-livestock small holder, Market-oriented</v>
      </c>
      <c r="F2370" s="156" t="str">
        <f>'Reported burning'!F2370</f>
        <v>Plantation forest</v>
      </c>
      <c r="G2370" s="156" t="str">
        <f>'Reported burning'!G2370</f>
        <v>Plantation forest</v>
      </c>
      <c r="H2370" s="156"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5"/>
      <c r="AB2370" s="205"/>
    </row>
    <row r="2371" spans="1:28" s="204" customFormat="1" ht="46" customHeight="1">
      <c r="A2371" s="156" t="str">
        <f>'Reported burning'!A2371</f>
        <v>272f</v>
      </c>
      <c r="B2371" s="156" t="str">
        <f>'Reported burning'!B2371</f>
        <v>272f.7</v>
      </c>
      <c r="C2371" s="156" t="str">
        <f>'Reported burning'!C2371</f>
        <v>Human, accidental</v>
      </c>
      <c r="D2371" s="156" t="str">
        <f>'Reported burning'!D2371</f>
        <v>Accidental</v>
      </c>
      <c r="E2371" s="156" t="str">
        <f>'Reported burning'!E2371</f>
        <v>ND</v>
      </c>
      <c r="F2371" s="156" t="str">
        <f>'Reported burning'!F2371</f>
        <v>ND</v>
      </c>
      <c r="G2371" s="156" t="str">
        <f>'Reported burning'!G2371</f>
        <v>Forest</v>
      </c>
      <c r="H2371" s="156"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5"/>
      <c r="AB2371" s="205"/>
    </row>
    <row r="2372" spans="1:28" s="204" customFormat="1" ht="46" customHeight="1">
      <c r="A2372" s="156" t="str">
        <f>'Reported burning'!A2372</f>
        <v>272f</v>
      </c>
      <c r="B2372" s="156" t="str">
        <f>'Reported burning'!B2372</f>
        <v>272f.8</v>
      </c>
      <c r="C2372" s="156" t="str">
        <f>'Reported burning'!C2372</f>
        <v>Lightning</v>
      </c>
      <c r="D2372" s="156" t="str">
        <f>'Reported burning'!D2372</f>
        <v>ND</v>
      </c>
      <c r="E2372" s="156" t="str">
        <f>'Reported burning'!E2372</f>
        <v>Mixed cropping-livestock small holder, Market-oriented</v>
      </c>
      <c r="F2372" s="156" t="str">
        <f>'Reported burning'!F2372</f>
        <v>ND</v>
      </c>
      <c r="G2372" s="156" t="str">
        <f>'Reported burning'!G2372</f>
        <v>Forest</v>
      </c>
      <c r="H2372" s="156"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5"/>
      <c r="AB2372" s="205"/>
    </row>
    <row r="2373" spans="1:28" s="204" customFormat="1" ht="46" customHeight="1">
      <c r="A2373" s="156" t="str">
        <f>'Reported burning'!A2373</f>
        <v>272f</v>
      </c>
      <c r="B2373" s="156" t="str">
        <f>'Reported burning'!B2373</f>
        <v>272f.9</v>
      </c>
      <c r="C2373" s="156" t="str">
        <f>'Reported burning'!C2373</f>
        <v>Unknown</v>
      </c>
      <c r="D2373" s="156" t="str">
        <f>'Reported burning'!D2373</f>
        <v>ND</v>
      </c>
      <c r="E2373" s="156" t="str">
        <f>'Reported burning'!E2373</f>
        <v>ND</v>
      </c>
      <c r="F2373" s="156" t="str">
        <f>'Reported burning'!F2373</f>
        <v>ND</v>
      </c>
      <c r="G2373" s="156" t="str">
        <f>'Reported burning'!G2373</f>
        <v>Forest</v>
      </c>
      <c r="H2373" s="156"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5"/>
      <c r="AB2373" s="205"/>
    </row>
    <row r="2374" spans="1:28" s="204" customFormat="1" ht="46" customHeight="1">
      <c r="A2374" s="156" t="str">
        <f>'Reported burning'!A2374</f>
        <v>272g</v>
      </c>
      <c r="B2374" s="156" t="str">
        <f>'Reported burning'!B2374</f>
        <v>272g.1</v>
      </c>
      <c r="C2374" s="156" t="str">
        <f>'Reported burning'!C2374</f>
        <v>All</v>
      </c>
      <c r="D2374" s="156" t="str">
        <f>'Reported burning'!D2374</f>
        <v>All</v>
      </c>
      <c r="E2374" s="156" t="str">
        <f>'Reported burning'!E2374</f>
        <v>All</v>
      </c>
      <c r="F2374" s="156" t="str">
        <f>'Reported burning'!F2374</f>
        <v>ND</v>
      </c>
      <c r="G2374" s="156" t="str">
        <f>'Reported burning'!G2374</f>
        <v>Forest</v>
      </c>
      <c r="H2374" s="156"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5"/>
      <c r="AB2374" s="205"/>
    </row>
    <row r="2375" spans="1:28" s="204" customFormat="1" ht="46" customHeight="1">
      <c r="A2375" s="156" t="str">
        <f>'Reported burning'!A2375</f>
        <v>272g</v>
      </c>
      <c r="B2375" s="156" t="str">
        <f>'Reported burning'!B2375</f>
        <v>272g.2</v>
      </c>
      <c r="C2375" s="156" t="str">
        <f>'Reported burning'!C2375</f>
        <v>Human, deliberate</v>
      </c>
      <c r="D2375" s="156" t="str">
        <f>'Reported burning'!D2375</f>
        <v>ND</v>
      </c>
      <c r="E2375" s="156" t="str">
        <f>'Reported burning'!E2375</f>
        <v>Forestry, Industrial</v>
      </c>
      <c r="F2375" s="156" t="str">
        <f>'Reported burning'!F2375</f>
        <v>Forest</v>
      </c>
      <c r="G2375" s="156" t="str">
        <f>'Reported burning'!G2375</f>
        <v>Forest</v>
      </c>
      <c r="H2375" s="156"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5"/>
      <c r="AB2375" s="205"/>
    </row>
    <row r="2376" spans="1:28" s="204" customFormat="1" ht="46" customHeight="1">
      <c r="A2376" s="156" t="str">
        <f>'Reported burning'!A2376</f>
        <v>272g</v>
      </c>
      <c r="B2376" s="156" t="str">
        <f>'Reported burning'!B2376</f>
        <v>272g.3</v>
      </c>
      <c r="C2376" s="156" t="str">
        <f>'Reported burning'!C2376</f>
        <v>Human, deliberate</v>
      </c>
      <c r="D2376" s="156" t="str">
        <f>'Reported burning'!D2376</f>
        <v>ND</v>
      </c>
      <c r="E2376" s="156" t="str">
        <f>'Reported burning'!E2376</f>
        <v>Mixed cropping-livestock small holder, Market-oriented</v>
      </c>
      <c r="F2376" s="156" t="str">
        <f>'Reported burning'!F2376</f>
        <v>Forest</v>
      </c>
      <c r="G2376" s="156" t="str">
        <f>'Reported burning'!G2376</f>
        <v>Forest</v>
      </c>
      <c r="H2376" s="156"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5"/>
      <c r="AB2376" s="205"/>
    </row>
    <row r="2377" spans="1:28" s="204" customFormat="1" ht="46" customHeight="1">
      <c r="A2377" s="156" t="str">
        <f>'Reported burning'!A2377</f>
        <v>272g</v>
      </c>
      <c r="B2377" s="156" t="str">
        <f>'Reported burning'!B2377</f>
        <v>272g.4</v>
      </c>
      <c r="C2377" s="156" t="str">
        <f>'Reported burning'!C2377</f>
        <v>Human, escaped</v>
      </c>
      <c r="D2377" s="156" t="str">
        <f>'Reported burning'!D2377</f>
        <v>ND</v>
      </c>
      <c r="E2377" s="156" t="str">
        <f>'Reported burning'!E2377</f>
        <v>Mixed cropping-livestock small holder, Market-oriented</v>
      </c>
      <c r="F2377" s="156" t="str">
        <f>'Reported burning'!F2377</f>
        <v>ND</v>
      </c>
      <c r="G2377" s="156" t="str">
        <f>'Reported burning'!G2377</f>
        <v>Forest</v>
      </c>
      <c r="H2377" s="156"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5"/>
      <c r="AB2377" s="205"/>
    </row>
    <row r="2378" spans="1:28" s="204" customFormat="1" ht="46" customHeight="1">
      <c r="A2378" s="156" t="str">
        <f>'Reported burning'!A2378</f>
        <v>272g</v>
      </c>
      <c r="B2378" s="156" t="str">
        <f>'Reported burning'!B2378</f>
        <v>272g.5</v>
      </c>
      <c r="C2378" s="156" t="str">
        <f>'Reported burning'!C2378</f>
        <v>Human, escaped</v>
      </c>
      <c r="D2378" s="156" t="str">
        <f>'Reported burning'!D2378</f>
        <v>ND</v>
      </c>
      <c r="E2378" s="156" t="str">
        <f>'Reported burning'!E2378</f>
        <v>Forestry, Industrial</v>
      </c>
      <c r="F2378" s="156" t="str">
        <f>'Reported burning'!F2378</f>
        <v>Shrubland (Mixed forest &amp; grassland)</v>
      </c>
      <c r="G2378" s="156" t="str">
        <f>'Reported burning'!G2378</f>
        <v>Forest</v>
      </c>
      <c r="H2378" s="156"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5"/>
      <c r="AB2378" s="205"/>
    </row>
    <row r="2379" spans="1:28" s="204" customFormat="1" ht="46" customHeight="1">
      <c r="A2379" s="156" t="str">
        <f>'Reported burning'!A2379</f>
        <v>272g</v>
      </c>
      <c r="B2379" s="156" t="str">
        <f>'Reported burning'!B2379</f>
        <v>272g.6</v>
      </c>
      <c r="C2379" s="156" t="str">
        <f>'Reported burning'!C2379</f>
        <v>Human, deliberate</v>
      </c>
      <c r="D2379" s="156" t="str">
        <f>'Reported burning'!D2379</f>
        <v>Arson</v>
      </c>
      <c r="E2379" s="156" t="str">
        <f>'Reported burning'!E2379</f>
        <v>Mixed cropping-livestock small holder, Market-oriented</v>
      </c>
      <c r="F2379" s="156" t="str">
        <f>'Reported burning'!F2379</f>
        <v>Plantation forest</v>
      </c>
      <c r="G2379" s="156" t="str">
        <f>'Reported burning'!G2379</f>
        <v>Plantation forest</v>
      </c>
      <c r="H2379" s="156"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5"/>
      <c r="AB2379" s="205"/>
    </row>
    <row r="2380" spans="1:28" s="204" customFormat="1" ht="46" customHeight="1">
      <c r="A2380" s="156" t="str">
        <f>'Reported burning'!A2380</f>
        <v>272g</v>
      </c>
      <c r="B2380" s="156" t="str">
        <f>'Reported burning'!B2380</f>
        <v>272g.7</v>
      </c>
      <c r="C2380" s="156" t="str">
        <f>'Reported burning'!C2380</f>
        <v>Human, accidental</v>
      </c>
      <c r="D2380" s="156" t="str">
        <f>'Reported burning'!D2380</f>
        <v>Accidental</v>
      </c>
      <c r="E2380" s="156" t="str">
        <f>'Reported burning'!E2380</f>
        <v>ND</v>
      </c>
      <c r="F2380" s="156" t="str">
        <f>'Reported burning'!F2380</f>
        <v>ND</v>
      </c>
      <c r="G2380" s="156" t="str">
        <f>'Reported burning'!G2380</f>
        <v>Forest</v>
      </c>
      <c r="H2380" s="156"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5"/>
      <c r="AB2380" s="205"/>
    </row>
    <row r="2381" spans="1:28" s="204" customFormat="1" ht="46" customHeight="1">
      <c r="A2381" s="156" t="str">
        <f>'Reported burning'!A2381</f>
        <v>272g</v>
      </c>
      <c r="B2381" s="156" t="str">
        <f>'Reported burning'!B2381</f>
        <v>272g.8</v>
      </c>
      <c r="C2381" s="156" t="str">
        <f>'Reported burning'!C2381</f>
        <v>Lightning</v>
      </c>
      <c r="D2381" s="156" t="str">
        <f>'Reported burning'!D2381</f>
        <v>ND</v>
      </c>
      <c r="E2381" s="156" t="str">
        <f>'Reported burning'!E2381</f>
        <v>Mixed cropping-livestock small holder, Market-oriented</v>
      </c>
      <c r="F2381" s="156" t="str">
        <f>'Reported burning'!F2381</f>
        <v>ND</v>
      </c>
      <c r="G2381" s="156" t="str">
        <f>'Reported burning'!G2381</f>
        <v>Forest</v>
      </c>
      <c r="H2381" s="156"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5"/>
      <c r="AB2381" s="205"/>
    </row>
    <row r="2382" spans="1:28" s="204" customFormat="1" ht="46" customHeight="1">
      <c r="A2382" s="156" t="str">
        <f>'Reported burning'!A2382</f>
        <v>272g</v>
      </c>
      <c r="B2382" s="156" t="str">
        <f>'Reported burning'!B2382</f>
        <v>272g.9</v>
      </c>
      <c r="C2382" s="156" t="str">
        <f>'Reported burning'!C2382</f>
        <v>Unknown</v>
      </c>
      <c r="D2382" s="156" t="str">
        <f>'Reported burning'!D2382</f>
        <v>ND</v>
      </c>
      <c r="E2382" s="156" t="str">
        <f>'Reported burning'!E2382</f>
        <v>ND</v>
      </c>
      <c r="F2382" s="156" t="str">
        <f>'Reported burning'!F2382</f>
        <v>ND</v>
      </c>
      <c r="G2382" s="156" t="str">
        <f>'Reported burning'!G2382</f>
        <v>Forest</v>
      </c>
      <c r="H2382" s="156"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5"/>
      <c r="AB2382" s="205"/>
    </row>
    <row r="2383" spans="1:28" s="204" customFormat="1" ht="46" customHeight="1">
      <c r="A2383" s="156" t="str">
        <f>'Reported burning'!A2383</f>
        <v>273a</v>
      </c>
      <c r="B2383" s="156" t="str">
        <f>'Reported burning'!B2383</f>
        <v>273a.1</v>
      </c>
      <c r="C2383" s="156" t="str">
        <f>'Reported burning'!C2383</f>
        <v>Human, deliberate</v>
      </c>
      <c r="D2383" s="156" t="str">
        <f>'Reported burning'!D2383</f>
        <v>Crop residue burning</v>
      </c>
      <c r="E2383" s="156" t="str">
        <f>'Reported burning'!E2383</f>
        <v>Cropping, Monoculture, Subsistence-oriented</v>
      </c>
      <c r="F2383" s="156" t="str">
        <f>'Reported burning'!F2383</f>
        <v>Cropland</v>
      </c>
      <c r="G2383" s="156" t="str">
        <f>'Reported burning'!G2383</f>
        <v>ND</v>
      </c>
      <c r="H2383" s="156" t="str">
        <f>'Reported burning'!H2383</f>
        <v>Presence</v>
      </c>
      <c r="I2383" s="5"/>
      <c r="J2383" s="21" t="s">
        <v>2276</v>
      </c>
      <c r="K2383" s="21" t="s">
        <v>2276</v>
      </c>
      <c r="L2383" s="21" t="s">
        <v>2276</v>
      </c>
      <c r="M2383" s="21" t="s">
        <v>2276</v>
      </c>
      <c r="N2383" s="21" t="s">
        <v>2276</v>
      </c>
      <c r="O2383" s="4" t="s">
        <v>2375</v>
      </c>
      <c r="P2383" s="21" t="s">
        <v>2276</v>
      </c>
      <c r="Q2383" s="21" t="s">
        <v>2276</v>
      </c>
      <c r="R2383" s="21" t="s">
        <v>2276</v>
      </c>
      <c r="S2383" s="21" t="s">
        <v>2276</v>
      </c>
      <c r="T2383" s="21" t="s">
        <v>2276</v>
      </c>
      <c r="U2383" s="21" t="s">
        <v>2276</v>
      </c>
      <c r="V2383" s="21" t="s">
        <v>2276</v>
      </c>
      <c r="W2383" s="4" t="s">
        <v>2375</v>
      </c>
      <c r="X2383" s="4" t="s">
        <v>399</v>
      </c>
      <c r="Y2383" s="4" t="s">
        <v>38</v>
      </c>
      <c r="Z2383" s="4" t="s">
        <v>64</v>
      </c>
      <c r="AA2383" s="4" t="s">
        <v>6449</v>
      </c>
      <c r="AB2383" s="4" t="s">
        <v>7939</v>
      </c>
    </row>
    <row r="2384" spans="1:28" s="204" customFormat="1" ht="46" customHeight="1">
      <c r="A2384" s="156" t="str">
        <f>'Reported burning'!A2384</f>
        <v>273a</v>
      </c>
      <c r="B2384" s="156" t="str">
        <f>'Reported burning'!B2384</f>
        <v>273a.2</v>
      </c>
      <c r="C2384" s="156" t="str">
        <f>'Reported burning'!C2384</f>
        <v>Human, deliberate</v>
      </c>
      <c r="D2384" s="156" t="str">
        <f>'Reported burning'!D2384</f>
        <v>Crop residue burning</v>
      </c>
      <c r="E2384" s="156" t="str">
        <f>'Reported burning'!E2384</f>
        <v>Cropping, Monoculture, Market-oriented</v>
      </c>
      <c r="F2384" s="156" t="str">
        <f>'Reported burning'!F2384</f>
        <v>Cropland</v>
      </c>
      <c r="G2384" s="156" t="str">
        <f>'Reported burning'!G2384</f>
        <v>ND</v>
      </c>
      <c r="H2384" s="156" t="str">
        <f>'Reported burning'!H2384</f>
        <v>Presence</v>
      </c>
      <c r="I2384" s="5"/>
      <c r="J2384" s="21" t="s">
        <v>2276</v>
      </c>
      <c r="K2384" s="21" t="s">
        <v>2276</v>
      </c>
      <c r="L2384" s="21" t="s">
        <v>2276</v>
      </c>
      <c r="M2384" s="21" t="s">
        <v>2276</v>
      </c>
      <c r="N2384" s="21" t="s">
        <v>2276</v>
      </c>
      <c r="O2384" s="4" t="s">
        <v>2373</v>
      </c>
      <c r="P2384" s="21" t="s">
        <v>2276</v>
      </c>
      <c r="Q2384" s="21" t="s">
        <v>2276</v>
      </c>
      <c r="R2384" s="21" t="s">
        <v>2276</v>
      </c>
      <c r="S2384" s="21" t="s">
        <v>2276</v>
      </c>
      <c r="T2384" s="21" t="s">
        <v>2276</v>
      </c>
      <c r="U2384" s="21" t="s">
        <v>2276</v>
      </c>
      <c r="V2384" s="21" t="s">
        <v>2276</v>
      </c>
      <c r="W2384" s="4" t="s">
        <v>2375</v>
      </c>
      <c r="X2384" s="4" t="s">
        <v>399</v>
      </c>
      <c r="Y2384" s="4" t="s">
        <v>38</v>
      </c>
      <c r="Z2384" s="4" t="s">
        <v>64</v>
      </c>
      <c r="AA2384" s="4" t="s">
        <v>6449</v>
      </c>
      <c r="AB2384" s="4" t="s">
        <v>7939</v>
      </c>
    </row>
    <row r="2385" spans="1:28" ht="46" customHeight="1">
      <c r="A2385" s="156" t="str">
        <f>'Reported burning'!A2385</f>
        <v>273b</v>
      </c>
      <c r="B2385" s="156" t="str">
        <f>'Reported burning'!B2385</f>
        <v>273b.1</v>
      </c>
      <c r="C2385" s="156" t="str">
        <f>'Reported burning'!C2385</f>
        <v>Human, deliberate</v>
      </c>
      <c r="D2385" s="156" t="str">
        <f>'Reported burning'!D2385</f>
        <v>Crop residue burning</v>
      </c>
      <c r="E2385" s="156" t="str">
        <f>'Reported burning'!E2385</f>
        <v>Cropping, Monoculture, Subsistence-oriented</v>
      </c>
      <c r="F2385" s="156" t="str">
        <f>'Reported burning'!F2385</f>
        <v>Cropland</v>
      </c>
      <c r="G2385" s="156" t="str">
        <f>'Reported burning'!G2385</f>
        <v>ND</v>
      </c>
      <c r="H2385" s="156" t="str">
        <f>'Reported burning'!H2385</f>
        <v>Presence</v>
      </c>
      <c r="I2385" s="5"/>
      <c r="J2385" s="21" t="s">
        <v>2276</v>
      </c>
      <c r="K2385" s="21" t="s">
        <v>2276</v>
      </c>
      <c r="L2385" s="21" t="s">
        <v>2276</v>
      </c>
      <c r="M2385" s="21" t="s">
        <v>2276</v>
      </c>
      <c r="N2385" s="21" t="s">
        <v>2276</v>
      </c>
      <c r="O2385" s="4" t="s">
        <v>2375</v>
      </c>
      <c r="P2385" s="21" t="s">
        <v>2276</v>
      </c>
      <c r="Q2385" s="21" t="s">
        <v>2276</v>
      </c>
      <c r="R2385" s="21" t="s">
        <v>2276</v>
      </c>
      <c r="S2385" s="21" t="s">
        <v>2276</v>
      </c>
      <c r="T2385" s="21" t="s">
        <v>2276</v>
      </c>
      <c r="U2385" s="21" t="s">
        <v>2276</v>
      </c>
      <c r="V2385" s="21" t="s">
        <v>2276</v>
      </c>
      <c r="W2385" s="4" t="s">
        <v>2375</v>
      </c>
      <c r="X2385" s="4" t="s">
        <v>399</v>
      </c>
      <c r="Y2385" s="4" t="s">
        <v>38</v>
      </c>
      <c r="Z2385" s="4" t="s">
        <v>64</v>
      </c>
      <c r="AA2385" s="4" t="s">
        <v>6449</v>
      </c>
      <c r="AB2385" s="4" t="s">
        <v>7939</v>
      </c>
    </row>
    <row r="2386" spans="1:28" ht="46" customHeight="1">
      <c r="A2386" s="156" t="str">
        <f>'Reported burning'!A2386</f>
        <v>273b</v>
      </c>
      <c r="B2386" s="156" t="str">
        <f>'Reported burning'!B2386</f>
        <v>273b.2</v>
      </c>
      <c r="C2386" s="156" t="str">
        <f>'Reported burning'!C2386</f>
        <v>Human, deliberate</v>
      </c>
      <c r="D2386" s="156" t="str">
        <f>'Reported burning'!D2386</f>
        <v>Crop residue burning</v>
      </c>
      <c r="E2386" s="156" t="str">
        <f>'Reported burning'!E2386</f>
        <v>Cropping, Monoculture, Market-oriented</v>
      </c>
      <c r="F2386" s="156" t="str">
        <f>'Reported burning'!F2386</f>
        <v>Cropland</v>
      </c>
      <c r="G2386" s="156" t="str">
        <f>'Reported burning'!G2386</f>
        <v>ND</v>
      </c>
      <c r="H2386" s="156" t="str">
        <f>'Reported burning'!H2386</f>
        <v>Presence</v>
      </c>
      <c r="I2386" s="5"/>
      <c r="J2386" s="21" t="s">
        <v>2276</v>
      </c>
      <c r="K2386" s="21" t="s">
        <v>2276</v>
      </c>
      <c r="L2386" s="21" t="s">
        <v>2276</v>
      </c>
      <c r="M2386" s="21" t="s">
        <v>2276</v>
      </c>
      <c r="N2386" s="21" t="s">
        <v>2276</v>
      </c>
      <c r="O2386" s="4" t="s">
        <v>2373</v>
      </c>
      <c r="P2386" s="21" t="s">
        <v>2276</v>
      </c>
      <c r="Q2386" s="21" t="s">
        <v>2276</v>
      </c>
      <c r="R2386" s="21" t="s">
        <v>2276</v>
      </c>
      <c r="S2386" s="21" t="s">
        <v>2276</v>
      </c>
      <c r="T2386" s="21" t="s">
        <v>2276</v>
      </c>
      <c r="U2386" s="21" t="s">
        <v>2276</v>
      </c>
      <c r="V2386" s="21" t="s">
        <v>2276</v>
      </c>
      <c r="W2386" s="4" t="s">
        <v>2375</v>
      </c>
      <c r="X2386" s="4" t="s">
        <v>399</v>
      </c>
      <c r="Y2386" s="4" t="s">
        <v>38</v>
      </c>
      <c r="Z2386" s="4" t="s">
        <v>64</v>
      </c>
      <c r="AA2386" s="4" t="s">
        <v>6449</v>
      </c>
      <c r="AB2386" s="4" t="s">
        <v>7939</v>
      </c>
    </row>
    <row r="2387" spans="1:28" ht="46" customHeight="1">
      <c r="A2387" s="156" t="str">
        <f>'Reported burning'!A2387</f>
        <v>273c</v>
      </c>
      <c r="B2387" s="156" t="str">
        <f>'Reported burning'!B2387</f>
        <v>273c.1</v>
      </c>
      <c r="C2387" s="156" t="str">
        <f>'Reported burning'!C2387</f>
        <v>Human, deliberate</v>
      </c>
      <c r="D2387" s="156" t="str">
        <f>'Reported burning'!D2387</f>
        <v>Crop residue burning</v>
      </c>
      <c r="E2387" s="156" t="str">
        <f>'Reported burning'!E2387</f>
        <v>Cropping, Monoculture, Subsistence-oriented</v>
      </c>
      <c r="F2387" s="156" t="str">
        <f>'Reported burning'!F2387</f>
        <v>Cropland</v>
      </c>
      <c r="G2387" s="156" t="str">
        <f>'Reported burning'!G2387</f>
        <v>ND</v>
      </c>
      <c r="H2387" s="156" t="str">
        <f>'Reported burning'!H2387</f>
        <v>Presence</v>
      </c>
      <c r="I2387" s="5"/>
      <c r="J2387" s="21" t="s">
        <v>2276</v>
      </c>
      <c r="K2387" s="21" t="s">
        <v>2276</v>
      </c>
      <c r="L2387" s="21" t="s">
        <v>2276</v>
      </c>
      <c r="M2387" s="21" t="s">
        <v>2276</v>
      </c>
      <c r="N2387" s="21" t="s">
        <v>2276</v>
      </c>
      <c r="O2387" s="4" t="s">
        <v>2375</v>
      </c>
      <c r="P2387" s="21" t="s">
        <v>2276</v>
      </c>
      <c r="Q2387" s="21" t="s">
        <v>2276</v>
      </c>
      <c r="R2387" s="21" t="s">
        <v>2276</v>
      </c>
      <c r="S2387" s="21" t="s">
        <v>2276</v>
      </c>
      <c r="T2387" s="21" t="s">
        <v>2276</v>
      </c>
      <c r="U2387" s="21" t="s">
        <v>2276</v>
      </c>
      <c r="V2387" s="21" t="s">
        <v>2276</v>
      </c>
      <c r="W2387" s="4" t="s">
        <v>2375</v>
      </c>
      <c r="X2387" s="4" t="s">
        <v>399</v>
      </c>
      <c r="Y2387" s="4" t="s">
        <v>38</v>
      </c>
      <c r="Z2387" s="4" t="s">
        <v>64</v>
      </c>
      <c r="AA2387" s="4" t="s">
        <v>6449</v>
      </c>
      <c r="AB2387" s="4" t="s">
        <v>7939</v>
      </c>
    </row>
    <row r="2388" spans="1:28" ht="46" customHeight="1">
      <c r="A2388" s="156" t="str">
        <f>'Reported burning'!A2388</f>
        <v>273c</v>
      </c>
      <c r="B2388" s="156" t="str">
        <f>'Reported burning'!B2388</f>
        <v>273c.2</v>
      </c>
      <c r="C2388" s="156" t="str">
        <f>'Reported burning'!C2388</f>
        <v>Human, deliberate</v>
      </c>
      <c r="D2388" s="156" t="str">
        <f>'Reported burning'!D2388</f>
        <v>Crop residue burning</v>
      </c>
      <c r="E2388" s="156" t="str">
        <f>'Reported burning'!E2388</f>
        <v>Cropping, Monoculture, Market-oriented</v>
      </c>
      <c r="F2388" s="156" t="str">
        <f>'Reported burning'!F2388</f>
        <v>Cropland</v>
      </c>
      <c r="G2388" s="156" t="str">
        <f>'Reported burning'!G2388</f>
        <v>ND</v>
      </c>
      <c r="H2388" s="156" t="str">
        <f>'Reported burning'!H2388</f>
        <v>Presence</v>
      </c>
      <c r="I2388" s="5"/>
      <c r="J2388" s="21" t="s">
        <v>2276</v>
      </c>
      <c r="K2388" s="21" t="s">
        <v>2276</v>
      </c>
      <c r="L2388" s="21" t="s">
        <v>2276</v>
      </c>
      <c r="M2388" s="21" t="s">
        <v>2276</v>
      </c>
      <c r="N2388" s="21" t="s">
        <v>2276</v>
      </c>
      <c r="O2388" s="4" t="s">
        <v>2373</v>
      </c>
      <c r="P2388" s="21" t="s">
        <v>2276</v>
      </c>
      <c r="Q2388" s="21" t="s">
        <v>2276</v>
      </c>
      <c r="R2388" s="21" t="s">
        <v>2276</v>
      </c>
      <c r="S2388" s="21" t="s">
        <v>2276</v>
      </c>
      <c r="T2388" s="21" t="s">
        <v>2276</v>
      </c>
      <c r="U2388" s="21" t="s">
        <v>2276</v>
      </c>
      <c r="V2388" s="21" t="s">
        <v>2276</v>
      </c>
      <c r="W2388" s="4" t="s">
        <v>2375</v>
      </c>
      <c r="X2388" s="4" t="s">
        <v>399</v>
      </c>
      <c r="Y2388" s="4" t="s">
        <v>38</v>
      </c>
      <c r="Z2388" s="4" t="s">
        <v>64</v>
      </c>
      <c r="AA2388" s="4" t="s">
        <v>6449</v>
      </c>
      <c r="AB2388" s="4" t="s">
        <v>7939</v>
      </c>
    </row>
    <row r="2389" spans="1:28" ht="81.5" customHeight="1">
      <c r="A2389" s="156" t="str">
        <f>'Reported burning'!A2389</f>
        <v>274a</v>
      </c>
      <c r="B2389" s="156" t="str">
        <f>'Reported burning'!B2389</f>
        <v>274a.1</v>
      </c>
      <c r="C2389" s="156" t="str">
        <f>'Reported burning'!C2389</f>
        <v>Human, deliberate</v>
      </c>
      <c r="D2389" s="156" t="str">
        <f>'Reported burning'!D2389</f>
        <v>Crop residue burning</v>
      </c>
      <c r="E2389" s="156" t="str">
        <f>'Reported burning'!E2389</f>
        <v>Cropping, Monoculture, Market-oriented</v>
      </c>
      <c r="F2389" s="156" t="str">
        <f>'Reported burning'!F2389</f>
        <v>Cropland</v>
      </c>
      <c r="G2389" s="156" t="str">
        <f>'Reported burning'!G2389</f>
        <v>ND</v>
      </c>
      <c r="H2389" s="156" t="str">
        <f>'Reported burning'!H2389</f>
        <v>Presence</v>
      </c>
      <c r="I2389" s="5"/>
      <c r="J2389" s="21" t="s">
        <v>2276</v>
      </c>
      <c r="K2389" s="21" t="s">
        <v>2276</v>
      </c>
      <c r="L2389" s="21" t="s">
        <v>2276</v>
      </c>
      <c r="M2389" s="21" t="s">
        <v>2276</v>
      </c>
      <c r="N2389" s="21" t="s">
        <v>2276</v>
      </c>
      <c r="O2389" s="4" t="s">
        <v>2373</v>
      </c>
      <c r="P2389" s="21" t="s">
        <v>2276</v>
      </c>
      <c r="Q2389" s="21" t="s">
        <v>2276</v>
      </c>
      <c r="R2389" s="21" t="s">
        <v>2276</v>
      </c>
      <c r="S2389" s="4" t="s">
        <v>2391</v>
      </c>
      <c r="T2389" s="21" t="s">
        <v>2276</v>
      </c>
      <c r="U2389" s="21" t="s">
        <v>2276</v>
      </c>
      <c r="V2389" s="21" t="s">
        <v>2276</v>
      </c>
      <c r="W2389" s="4" t="s">
        <v>2375</v>
      </c>
      <c r="X2389" s="21" t="s">
        <v>2276</v>
      </c>
      <c r="Y2389" s="21" t="s">
        <v>2276</v>
      </c>
      <c r="Z2389" s="4" t="s">
        <v>64</v>
      </c>
      <c r="AA2389" s="4" t="s">
        <v>7940</v>
      </c>
      <c r="AB2389" s="4" t="s">
        <v>6452</v>
      </c>
    </row>
    <row r="2390" spans="1:28" ht="81.5" customHeight="1">
      <c r="A2390" s="156" t="str">
        <f>'Reported burning'!A2390</f>
        <v>274a</v>
      </c>
      <c r="B2390" s="156" t="str">
        <f>'Reported burning'!B2390</f>
        <v>274a.2</v>
      </c>
      <c r="C2390" s="156" t="str">
        <f>'Reported burning'!C2390</f>
        <v>Human, deliberate</v>
      </c>
      <c r="D2390" s="156" t="str">
        <f>'Reported burning'!D2390</f>
        <v>Crop residue burning</v>
      </c>
      <c r="E2390" s="156" t="str">
        <f>'Reported burning'!E2390</f>
        <v>Cropping, Monoculture, Market-oriented</v>
      </c>
      <c r="F2390" s="156" t="str">
        <f>'Reported burning'!F2390</f>
        <v>Cropland</v>
      </c>
      <c r="G2390" s="156" t="str">
        <f>'Reported burning'!G2390</f>
        <v>ND</v>
      </c>
      <c r="H2390" s="156" t="str">
        <f>'Reported burning'!H2390</f>
        <v>Presence</v>
      </c>
      <c r="I2390" s="5"/>
      <c r="J2390" s="21" t="s">
        <v>2276</v>
      </c>
      <c r="K2390" s="21" t="s">
        <v>2276</v>
      </c>
      <c r="L2390" s="21" t="s">
        <v>2276</v>
      </c>
      <c r="M2390" s="21" t="s">
        <v>2276</v>
      </c>
      <c r="N2390" s="21" t="s">
        <v>2276</v>
      </c>
      <c r="O2390" s="4" t="s">
        <v>2373</v>
      </c>
      <c r="P2390" s="21" t="s">
        <v>2276</v>
      </c>
      <c r="Q2390" s="21" t="s">
        <v>2276</v>
      </c>
      <c r="R2390" s="21" t="s">
        <v>2276</v>
      </c>
      <c r="S2390" s="4" t="s">
        <v>2374</v>
      </c>
      <c r="T2390" s="21" t="s">
        <v>2276</v>
      </c>
      <c r="U2390" s="21" t="s">
        <v>2276</v>
      </c>
      <c r="V2390" s="21" t="s">
        <v>2276</v>
      </c>
      <c r="W2390" s="4" t="s">
        <v>2375</v>
      </c>
      <c r="X2390" s="21" t="s">
        <v>2276</v>
      </c>
      <c r="Y2390" s="21" t="s">
        <v>2276</v>
      </c>
      <c r="Z2390" s="4" t="s">
        <v>64</v>
      </c>
      <c r="AA2390" s="4" t="s">
        <v>7941</v>
      </c>
      <c r="AB2390" s="4" t="s">
        <v>6452</v>
      </c>
    </row>
    <row r="2391" spans="1:28" ht="81.5" customHeight="1">
      <c r="A2391" s="156" t="str">
        <f>'Reported burning'!A2391</f>
        <v>274a</v>
      </c>
      <c r="B2391" s="156" t="str">
        <f>'Reported burning'!B2391</f>
        <v>274a.3</v>
      </c>
      <c r="C2391" s="156" t="str">
        <f>'Reported burning'!C2391</f>
        <v>Human, deliberate</v>
      </c>
      <c r="D2391" s="156" t="str">
        <f>'Reported burning'!D2391</f>
        <v>Crop residue burning</v>
      </c>
      <c r="E2391" s="156" t="str">
        <f>'Reported burning'!E2391</f>
        <v>Cropping, Monoculture, Market-oriented</v>
      </c>
      <c r="F2391" s="156" t="str">
        <f>'Reported burning'!F2391</f>
        <v>Cropland</v>
      </c>
      <c r="G2391" s="156" t="str">
        <f>'Reported burning'!G2391</f>
        <v>ND</v>
      </c>
      <c r="H2391" s="156" t="str">
        <f>'Reported burning'!H2391</f>
        <v>Presence</v>
      </c>
      <c r="I2391" s="5"/>
      <c r="J2391" s="21" t="s">
        <v>2276</v>
      </c>
      <c r="K2391" s="21" t="s">
        <v>2276</v>
      </c>
      <c r="L2391" s="21" t="s">
        <v>2276</v>
      </c>
      <c r="M2391" s="21" t="s">
        <v>2276</v>
      </c>
      <c r="N2391" s="21" t="s">
        <v>2276</v>
      </c>
      <c r="O2391" s="4" t="s">
        <v>2375</v>
      </c>
      <c r="P2391" s="21" t="s">
        <v>2276</v>
      </c>
      <c r="Q2391" s="21" t="s">
        <v>2276</v>
      </c>
      <c r="R2391" s="21" t="s">
        <v>2276</v>
      </c>
      <c r="S2391" s="4" t="s">
        <v>2376</v>
      </c>
      <c r="T2391" s="21" t="s">
        <v>2276</v>
      </c>
      <c r="U2391" s="21" t="s">
        <v>2276</v>
      </c>
      <c r="V2391" s="21" t="s">
        <v>2276</v>
      </c>
      <c r="W2391" s="4" t="s">
        <v>2375</v>
      </c>
      <c r="X2391" s="21" t="s">
        <v>2276</v>
      </c>
      <c r="Y2391" s="21" t="s">
        <v>2276</v>
      </c>
      <c r="Z2391" s="4" t="s">
        <v>64</v>
      </c>
      <c r="AA2391" s="4" t="s">
        <v>7942</v>
      </c>
      <c r="AB2391" s="4" t="s">
        <v>6452</v>
      </c>
    </row>
    <row r="2392" spans="1:28" ht="81.5" customHeight="1">
      <c r="A2392" s="156" t="str">
        <f>'Reported burning'!A2392</f>
        <v>274a</v>
      </c>
      <c r="B2392" s="156" t="str">
        <f>'Reported burning'!B2392</f>
        <v>274a.4</v>
      </c>
      <c r="C2392" s="156" t="str">
        <f>'Reported burning'!C2392</f>
        <v>Human, deliberate</v>
      </c>
      <c r="D2392" s="156" t="str">
        <f>'Reported burning'!D2392</f>
        <v>Crop residue burning</v>
      </c>
      <c r="E2392" s="156" t="str">
        <f>'Reported burning'!E2392</f>
        <v>Cropping, Monoculture, Market-oriented</v>
      </c>
      <c r="F2392" s="156" t="str">
        <f>'Reported burning'!F2392</f>
        <v>Cropland</v>
      </c>
      <c r="G2392" s="156" t="str">
        <f>'Reported burning'!G2392</f>
        <v>ND</v>
      </c>
      <c r="H2392" s="156" t="str">
        <f>'Reported burning'!H2392</f>
        <v>Presence</v>
      </c>
      <c r="I2392" s="5"/>
      <c r="J2392" s="21" t="s">
        <v>2276</v>
      </c>
      <c r="K2392" s="21" t="s">
        <v>2276</v>
      </c>
      <c r="L2392" s="21" t="s">
        <v>2276</v>
      </c>
      <c r="M2392" s="21" t="s">
        <v>2276</v>
      </c>
      <c r="N2392" s="21" t="s">
        <v>2276</v>
      </c>
      <c r="O2392" s="4" t="s">
        <v>2375</v>
      </c>
      <c r="P2392" s="21" t="s">
        <v>2276</v>
      </c>
      <c r="Q2392" s="21" t="s">
        <v>2276</v>
      </c>
      <c r="R2392" s="21" t="s">
        <v>2276</v>
      </c>
      <c r="S2392" s="4" t="s">
        <v>2527</v>
      </c>
      <c r="T2392" s="21" t="s">
        <v>2276</v>
      </c>
      <c r="U2392" s="21" t="s">
        <v>2276</v>
      </c>
      <c r="V2392" s="21" t="s">
        <v>2276</v>
      </c>
      <c r="W2392" s="4" t="s">
        <v>2375</v>
      </c>
      <c r="X2392" s="21" t="s">
        <v>2276</v>
      </c>
      <c r="Y2392" s="21" t="s">
        <v>2276</v>
      </c>
      <c r="Z2392" s="4" t="s">
        <v>64</v>
      </c>
      <c r="AA2392" s="4" t="s">
        <v>7941</v>
      </c>
      <c r="AB2392" s="4" t="s">
        <v>6452</v>
      </c>
    </row>
    <row r="2393" spans="1:28" ht="58">
      <c r="A2393" s="156" t="str">
        <f>'Reported burning'!A2393</f>
        <v>274a</v>
      </c>
      <c r="B2393" s="156" t="str">
        <f>'Reported burning'!B2393</f>
        <v>274a.5</v>
      </c>
      <c r="C2393" s="156" t="str">
        <f>'Reported burning'!C2393</f>
        <v>Human, deliberate</v>
      </c>
      <c r="D2393" s="156" t="str">
        <f>'Reported burning'!D2393</f>
        <v>Crop residue burning</v>
      </c>
      <c r="E2393" s="156" t="str">
        <f>'Reported burning'!E2393</f>
        <v>Cropping, Monoculture, Market-oriented</v>
      </c>
      <c r="F2393" s="156" t="str">
        <f>'Reported burning'!F2393</f>
        <v>Cropland</v>
      </c>
      <c r="G2393" s="156" t="str">
        <f>'Reported burning'!G2393</f>
        <v>ND</v>
      </c>
      <c r="H2393" s="156" t="str">
        <f>'Reported burning'!H2393</f>
        <v>Presence</v>
      </c>
      <c r="I2393" s="5"/>
      <c r="J2393" s="21" t="s">
        <v>2276</v>
      </c>
      <c r="K2393" s="21" t="s">
        <v>2276</v>
      </c>
      <c r="L2393" s="21" t="s">
        <v>2276</v>
      </c>
      <c r="M2393" s="21" t="s">
        <v>2276</v>
      </c>
      <c r="N2393" s="21" t="s">
        <v>2276</v>
      </c>
      <c r="O2393" s="4" t="s">
        <v>2373</v>
      </c>
      <c r="P2393" s="21" t="s">
        <v>2276</v>
      </c>
      <c r="Q2393" s="21" t="s">
        <v>2276</v>
      </c>
      <c r="R2393" s="21" t="s">
        <v>2276</v>
      </c>
      <c r="S2393" s="4" t="s">
        <v>2389</v>
      </c>
      <c r="T2393" s="21" t="s">
        <v>2276</v>
      </c>
      <c r="U2393" s="21" t="s">
        <v>2276</v>
      </c>
      <c r="V2393" s="21" t="s">
        <v>2276</v>
      </c>
      <c r="W2393" s="4" t="s">
        <v>2375</v>
      </c>
      <c r="X2393" s="21" t="s">
        <v>2276</v>
      </c>
      <c r="Y2393" s="21" t="s">
        <v>2276</v>
      </c>
      <c r="Z2393" s="4" t="s">
        <v>64</v>
      </c>
      <c r="AA2393" s="4" t="s">
        <v>7943</v>
      </c>
      <c r="AB2393" s="4" t="s">
        <v>6452</v>
      </c>
    </row>
    <row r="2394" spans="1:28" ht="58">
      <c r="A2394" s="156" t="str">
        <f>'Reported burning'!A2394</f>
        <v>274a</v>
      </c>
      <c r="B2394" s="156" t="str">
        <f>'Reported burning'!B2394</f>
        <v>274a.6</v>
      </c>
      <c r="C2394" s="156" t="str">
        <f>'Reported burning'!C2394</f>
        <v>Human, deliberate</v>
      </c>
      <c r="D2394" s="156" t="str">
        <f>'Reported burning'!D2394</f>
        <v>Crop residue burning</v>
      </c>
      <c r="E2394" s="156" t="str">
        <f>'Reported burning'!E2394</f>
        <v>Cropping, Monoculture, Market-oriented</v>
      </c>
      <c r="F2394" s="156" t="str">
        <f>'Reported burning'!F2394</f>
        <v>Cropland</v>
      </c>
      <c r="G2394" s="156" t="str">
        <f>'Reported burning'!G2394</f>
        <v>ND</v>
      </c>
      <c r="H2394" s="156" t="str">
        <f>'Reported burning'!H2394</f>
        <v>Presence</v>
      </c>
      <c r="I2394" s="5"/>
      <c r="J2394" s="21" t="s">
        <v>2276</v>
      </c>
      <c r="K2394" s="21" t="s">
        <v>2276</v>
      </c>
      <c r="L2394" s="21" t="s">
        <v>2276</v>
      </c>
      <c r="M2394" s="21" t="s">
        <v>2276</v>
      </c>
      <c r="N2394" s="21" t="s">
        <v>2276</v>
      </c>
      <c r="O2394" s="4" t="s">
        <v>2373</v>
      </c>
      <c r="P2394" s="21" t="s">
        <v>2276</v>
      </c>
      <c r="Q2394" s="21" t="s">
        <v>2276</v>
      </c>
      <c r="R2394" s="21" t="s">
        <v>2276</v>
      </c>
      <c r="S2394" s="4" t="s">
        <v>2527</v>
      </c>
      <c r="T2394" s="21" t="s">
        <v>2276</v>
      </c>
      <c r="U2394" s="21" t="s">
        <v>2276</v>
      </c>
      <c r="V2394" s="21" t="s">
        <v>2276</v>
      </c>
      <c r="W2394" s="4" t="s">
        <v>2375</v>
      </c>
      <c r="X2394" s="21" t="s">
        <v>2276</v>
      </c>
      <c r="Y2394" s="21" t="s">
        <v>2276</v>
      </c>
      <c r="Z2394" s="4" t="s">
        <v>64</v>
      </c>
      <c r="AA2394" s="4" t="s">
        <v>7941</v>
      </c>
      <c r="AB2394" s="4" t="s">
        <v>6452</v>
      </c>
    </row>
    <row r="2395" spans="1:28" ht="29">
      <c r="A2395" s="156" t="str">
        <f>'Reported burning'!A2401</f>
        <v>275a</v>
      </c>
      <c r="B2395" s="156" t="str">
        <f>'Reported burning'!B2401</f>
        <v>275a.1</v>
      </c>
      <c r="C2395" s="156" t="str">
        <f>'Reported burning'!C2401</f>
        <v>Human, deliberate</v>
      </c>
      <c r="D2395" s="156" t="str">
        <f>'Reported burning'!D2401</f>
        <v>Crop residue burning</v>
      </c>
      <c r="E2395" s="156" t="str">
        <f>'Reported burning'!E2401</f>
        <v>Cropping, Monoculture, Market-oriented</v>
      </c>
      <c r="F2395" s="156" t="str">
        <f>'Reported burning'!F2401</f>
        <v>Cropland</v>
      </c>
      <c r="G2395" s="156" t="str">
        <f>'Reported burning'!G2401</f>
        <v>ND</v>
      </c>
      <c r="H2395" s="156" t="str">
        <f>'Reported burning'!H2401</f>
        <v>Presence</v>
      </c>
      <c r="I2395" s="5"/>
      <c r="J2395" s="4"/>
      <c r="K2395" s="4"/>
      <c r="L2395" s="4"/>
      <c r="M2395" s="4"/>
      <c r="N2395" s="4"/>
      <c r="O2395" s="4" t="s">
        <v>2375</v>
      </c>
      <c r="P2395" s="4"/>
      <c r="Q2395" s="4"/>
      <c r="R2395" s="4"/>
      <c r="S2395" s="4" t="s">
        <v>2391</v>
      </c>
      <c r="T2395" s="4"/>
      <c r="U2395" s="4"/>
      <c r="V2395" s="4"/>
      <c r="W2395" s="4" t="s">
        <v>2375</v>
      </c>
      <c r="X2395" s="4"/>
      <c r="Y2395" s="4"/>
      <c r="Z2395" s="4" t="s">
        <v>64</v>
      </c>
      <c r="AA2395" s="4" t="s">
        <v>6451</v>
      </c>
      <c r="AB2395" s="4"/>
    </row>
    <row r="2396" spans="1:28" ht="29">
      <c r="A2396" s="156" t="str">
        <f>'Reported burning'!A2402</f>
        <v>275a</v>
      </c>
      <c r="B2396" s="156" t="str">
        <f>'Reported burning'!B2402</f>
        <v>275a.2</v>
      </c>
      <c r="C2396" s="156" t="str">
        <f>'Reported burning'!C2402</f>
        <v>Human, deliberate</v>
      </c>
      <c r="D2396" s="156" t="str">
        <f>'Reported burning'!D2402</f>
        <v>Crop residue burning</v>
      </c>
      <c r="E2396" s="156" t="str">
        <f>'Reported burning'!E2402</f>
        <v>Cropping, Monoculture, Market-oriented</v>
      </c>
      <c r="F2396" s="156" t="str">
        <f>'Reported burning'!F2402</f>
        <v>Cropland</v>
      </c>
      <c r="G2396" s="156" t="str">
        <f>'Reported burning'!G2402</f>
        <v>ND</v>
      </c>
      <c r="H2396" s="156" t="str">
        <f>'Reported burning'!H2402</f>
        <v>Presence</v>
      </c>
      <c r="I2396" s="5"/>
      <c r="J2396" s="4"/>
      <c r="K2396" s="4"/>
      <c r="L2396" s="4"/>
      <c r="M2396" s="4"/>
      <c r="N2396" s="4"/>
      <c r="O2396" s="4" t="s">
        <v>2375</v>
      </c>
      <c r="P2396" s="4"/>
      <c r="Q2396" s="4"/>
      <c r="R2396" s="4"/>
      <c r="S2396" s="4" t="s">
        <v>2391</v>
      </c>
      <c r="T2396" s="4"/>
      <c r="U2396" s="4"/>
      <c r="V2396" s="4"/>
      <c r="W2396" s="4" t="s">
        <v>2375</v>
      </c>
      <c r="X2396" s="4"/>
      <c r="Y2396" s="4"/>
      <c r="Z2396" s="4" t="s">
        <v>64</v>
      </c>
      <c r="AA2396" s="4" t="s">
        <v>6453</v>
      </c>
      <c r="AB2396" s="4"/>
    </row>
    <row r="2397" spans="1:28" ht="29">
      <c r="A2397" s="156" t="str">
        <f>'Reported burning'!A2403</f>
        <v>275a</v>
      </c>
      <c r="B2397" s="156" t="str">
        <f>'Reported burning'!B2403</f>
        <v>275a.3</v>
      </c>
      <c r="C2397" s="156" t="str">
        <f>'Reported burning'!C2403</f>
        <v>Human, deliberate</v>
      </c>
      <c r="D2397" s="156" t="str">
        <f>'Reported burning'!D2403</f>
        <v>Crop residue burning</v>
      </c>
      <c r="E2397" s="156" t="str">
        <f>'Reported burning'!E2403</f>
        <v>Cropping, Monoculture, Subsistence-oriented</v>
      </c>
      <c r="F2397" s="156" t="str">
        <f>'Reported burning'!F2403</f>
        <v>Cropland</v>
      </c>
      <c r="G2397" s="156" t="str">
        <f>'Reported burning'!G2403</f>
        <v>ND</v>
      </c>
      <c r="H2397" s="156" t="str">
        <f>'Reported burning'!H2403</f>
        <v>Presence</v>
      </c>
      <c r="I2397" s="5"/>
      <c r="J2397" s="4"/>
      <c r="K2397" s="4"/>
      <c r="L2397" s="4"/>
      <c r="M2397" s="4"/>
      <c r="N2397" s="4"/>
      <c r="O2397" s="4" t="s">
        <v>2375</v>
      </c>
      <c r="P2397" s="4"/>
      <c r="Q2397" s="4"/>
      <c r="R2397" s="4"/>
      <c r="S2397" s="4" t="s">
        <v>2391</v>
      </c>
      <c r="T2397" s="4"/>
      <c r="U2397" s="4"/>
      <c r="V2397" s="4"/>
      <c r="W2397" s="4" t="s">
        <v>2375</v>
      </c>
      <c r="X2397" s="4"/>
      <c r="Y2397" s="4"/>
      <c r="Z2397" s="4" t="s">
        <v>64</v>
      </c>
      <c r="AA2397" s="4" t="s">
        <v>6451</v>
      </c>
      <c r="AB2397" s="4"/>
    </row>
    <row r="2398" spans="1:28" ht="29">
      <c r="A2398" s="156" t="str">
        <f>'Reported burning'!A2404</f>
        <v>275a</v>
      </c>
      <c r="B2398" s="156" t="str">
        <f>'Reported burning'!B2404</f>
        <v>275a.4</v>
      </c>
      <c r="C2398" s="156" t="str">
        <f>'Reported burning'!C2404</f>
        <v>Human, deliberate</v>
      </c>
      <c r="D2398" s="156" t="str">
        <f>'Reported burning'!D2404</f>
        <v>Crop residue burning</v>
      </c>
      <c r="E2398" s="156" t="str">
        <f>'Reported burning'!E2404</f>
        <v>Cropping, Monoculture, Subsistence-oriented</v>
      </c>
      <c r="F2398" s="156" t="str">
        <f>'Reported burning'!F2404</f>
        <v>Cropland</v>
      </c>
      <c r="G2398" s="156" t="str">
        <f>'Reported burning'!G2404</f>
        <v>ND</v>
      </c>
      <c r="H2398" s="156" t="str">
        <f>'Reported burning'!H2404</f>
        <v>Presence</v>
      </c>
      <c r="I2398" s="5"/>
      <c r="J2398" s="4"/>
      <c r="K2398" s="4"/>
      <c r="L2398" s="4"/>
      <c r="M2398" s="4"/>
      <c r="N2398" s="4"/>
      <c r="O2398" s="4" t="s">
        <v>2375</v>
      </c>
      <c r="P2398" s="4"/>
      <c r="Q2398" s="4"/>
      <c r="R2398" s="4"/>
      <c r="S2398" s="4" t="s">
        <v>2391</v>
      </c>
      <c r="T2398" s="4"/>
      <c r="U2398" s="4"/>
      <c r="V2398" s="4"/>
      <c r="W2398" s="4" t="s">
        <v>2375</v>
      </c>
      <c r="X2398" s="4"/>
      <c r="Y2398" s="4"/>
      <c r="Z2398" s="4" t="s">
        <v>64</v>
      </c>
      <c r="AA2398" s="4" t="s">
        <v>6453</v>
      </c>
      <c r="AB2398" s="4"/>
    </row>
    <row r="2399" spans="1:28" ht="29">
      <c r="A2399" s="156" t="str">
        <f>'Reported burning'!A2405</f>
        <v>275b</v>
      </c>
      <c r="B2399" s="156" t="str">
        <f>'Reported burning'!B2405</f>
        <v>275b.1</v>
      </c>
      <c r="C2399" s="156" t="str">
        <f>'Reported burning'!C2405</f>
        <v>Human, deliberate</v>
      </c>
      <c r="D2399" s="156" t="str">
        <f>'Reported burning'!D2405</f>
        <v>Crop residue burning</v>
      </c>
      <c r="E2399" s="156" t="str">
        <f>'Reported burning'!E2405</f>
        <v>Cropping, Monoculture, Market-oriented</v>
      </c>
      <c r="F2399" s="156" t="str">
        <f>'Reported burning'!F2405</f>
        <v>Cropland</v>
      </c>
      <c r="G2399" s="156" t="str">
        <f>'Reported burning'!G2405</f>
        <v>ND</v>
      </c>
      <c r="H2399" s="156" t="str">
        <f>'Reported burning'!H2405</f>
        <v>Presence</v>
      </c>
      <c r="I2399" s="5"/>
      <c r="J2399" s="4"/>
      <c r="K2399" s="4"/>
      <c r="L2399" s="4"/>
      <c r="M2399" s="4"/>
      <c r="N2399" s="4"/>
      <c r="O2399" s="4" t="s">
        <v>2373</v>
      </c>
      <c r="P2399" s="4"/>
      <c r="Q2399" s="4"/>
      <c r="R2399" s="4"/>
      <c r="S2399" s="4" t="s">
        <v>2391</v>
      </c>
      <c r="T2399" s="4"/>
      <c r="U2399" s="4"/>
      <c r="V2399" s="4"/>
      <c r="W2399" s="4" t="s">
        <v>2375</v>
      </c>
      <c r="X2399" s="4"/>
      <c r="Y2399" s="4"/>
      <c r="Z2399" s="4" t="s">
        <v>64</v>
      </c>
      <c r="AA2399" s="4" t="s">
        <v>6451</v>
      </c>
      <c r="AB2399" s="4"/>
    </row>
    <row r="2400" spans="1:28" ht="29">
      <c r="A2400" s="156" t="str">
        <f>'Reported burning'!A2406</f>
        <v>275b</v>
      </c>
      <c r="B2400" s="156" t="str">
        <f>'Reported burning'!B2406</f>
        <v>275b.2</v>
      </c>
      <c r="C2400" s="156" t="str">
        <f>'Reported burning'!C2406</f>
        <v>Human, deliberate</v>
      </c>
      <c r="D2400" s="156" t="str">
        <f>'Reported burning'!D2406</f>
        <v>Crop residue burning</v>
      </c>
      <c r="E2400" s="156" t="str">
        <f>'Reported burning'!E2406</f>
        <v>Cropping, Monoculture, Market-oriented</v>
      </c>
      <c r="F2400" s="156" t="str">
        <f>'Reported burning'!F2406</f>
        <v>Cropland</v>
      </c>
      <c r="G2400" s="156" t="str">
        <f>'Reported burning'!G2406</f>
        <v>ND</v>
      </c>
      <c r="H2400" s="156" t="str">
        <f>'Reported burning'!H2406</f>
        <v>Presence</v>
      </c>
      <c r="I2400" s="5"/>
      <c r="J2400" s="4"/>
      <c r="K2400" s="4"/>
      <c r="L2400" s="4"/>
      <c r="M2400" s="4"/>
      <c r="N2400" s="4"/>
      <c r="O2400" s="4" t="s">
        <v>2373</v>
      </c>
      <c r="P2400" s="4"/>
      <c r="Q2400" s="4"/>
      <c r="R2400" s="4"/>
      <c r="S2400" s="4" t="s">
        <v>2391</v>
      </c>
      <c r="T2400" s="4"/>
      <c r="U2400" s="4"/>
      <c r="V2400" s="4"/>
      <c r="W2400" s="4" t="s">
        <v>2375</v>
      </c>
      <c r="X2400" s="4"/>
      <c r="Y2400" s="4"/>
      <c r="Z2400" s="4" t="s">
        <v>64</v>
      </c>
      <c r="AA2400" s="4" t="s">
        <v>6453</v>
      </c>
      <c r="AB2400" s="4"/>
    </row>
    <row r="2401" spans="1:28" ht="29">
      <c r="A2401" s="156" t="str">
        <f>'Reported burning'!A2407</f>
        <v>275b</v>
      </c>
      <c r="B2401" s="156" t="str">
        <f>'Reported burning'!B2407</f>
        <v>275b.3</v>
      </c>
      <c r="C2401" s="156" t="str">
        <f>'Reported burning'!C2407</f>
        <v>Human, deliberate</v>
      </c>
      <c r="D2401" s="156" t="str">
        <f>'Reported burning'!D2407</f>
        <v>Crop residue burning</v>
      </c>
      <c r="E2401" s="156" t="str">
        <f>'Reported burning'!E2407</f>
        <v>Cropping, Monoculture, Subsistence-oriented</v>
      </c>
      <c r="F2401" s="156" t="str">
        <f>'Reported burning'!F2407</f>
        <v>Cropland</v>
      </c>
      <c r="G2401" s="156" t="str">
        <f>'Reported burning'!G2407</f>
        <v>ND</v>
      </c>
      <c r="H2401" s="156" t="str">
        <f>'Reported burning'!H2407</f>
        <v>Presence</v>
      </c>
      <c r="I2401" s="5"/>
      <c r="J2401" s="4"/>
      <c r="K2401" s="4"/>
      <c r="L2401" s="4"/>
      <c r="M2401" s="4"/>
      <c r="N2401" s="4"/>
      <c r="O2401" s="4" t="s">
        <v>2373</v>
      </c>
      <c r="P2401" s="4"/>
      <c r="Q2401" s="4"/>
      <c r="R2401" s="4"/>
      <c r="S2401" s="4" t="s">
        <v>2391</v>
      </c>
      <c r="T2401" s="4"/>
      <c r="U2401" s="4"/>
      <c r="V2401" s="4"/>
      <c r="W2401" s="4" t="s">
        <v>2375</v>
      </c>
      <c r="X2401" s="4"/>
      <c r="Y2401" s="4"/>
      <c r="Z2401" s="4" t="s">
        <v>64</v>
      </c>
      <c r="AA2401" s="4" t="s">
        <v>6451</v>
      </c>
      <c r="AB2401" s="4"/>
    </row>
    <row r="2402" spans="1:28" ht="29">
      <c r="A2402" s="156" t="str">
        <f>'Reported burning'!A2408</f>
        <v>275b</v>
      </c>
      <c r="B2402" s="156" t="str">
        <f>'Reported burning'!B2408</f>
        <v>275b.4</v>
      </c>
      <c r="C2402" s="156" t="str">
        <f>'Reported burning'!C2408</f>
        <v>Human, deliberate</v>
      </c>
      <c r="D2402" s="156" t="str">
        <f>'Reported burning'!D2408</f>
        <v>Crop residue burning</v>
      </c>
      <c r="E2402" s="156" t="str">
        <f>'Reported burning'!E2408</f>
        <v>Cropping, Monoculture, Subsistence-oriented</v>
      </c>
      <c r="F2402" s="156" t="str">
        <f>'Reported burning'!F2408</f>
        <v>Cropland</v>
      </c>
      <c r="G2402" s="156" t="str">
        <f>'Reported burning'!G2408</f>
        <v>ND</v>
      </c>
      <c r="H2402" s="156" t="str">
        <f>'Reported burning'!H2408</f>
        <v>Presence</v>
      </c>
      <c r="I2402" s="5"/>
      <c r="J2402" s="4"/>
      <c r="K2402" s="4"/>
      <c r="L2402" s="4"/>
      <c r="M2402" s="4"/>
      <c r="N2402" s="4"/>
      <c r="O2402" s="4" t="s">
        <v>2373</v>
      </c>
      <c r="P2402" s="4"/>
      <c r="Q2402" s="4"/>
      <c r="R2402" s="4"/>
      <c r="S2402" s="4" t="s">
        <v>2391</v>
      </c>
      <c r="T2402" s="4"/>
      <c r="U2402" s="4"/>
      <c r="V2402" s="4"/>
      <c r="W2402" s="4" t="s">
        <v>2375</v>
      </c>
      <c r="X2402" s="4"/>
      <c r="Y2402" s="4"/>
      <c r="Z2402" s="4" t="s">
        <v>64</v>
      </c>
      <c r="AA2402" s="4" t="s">
        <v>6453</v>
      </c>
      <c r="AB2402" s="4"/>
    </row>
    <row r="2403" spans="1:28" ht="29">
      <c r="A2403" s="156" t="str">
        <f>'Reported burning'!A2409</f>
        <v>275c</v>
      </c>
      <c r="B2403" s="156" t="str">
        <f>'Reported burning'!B2409</f>
        <v>275c.1</v>
      </c>
      <c r="C2403" s="156" t="str">
        <f>'Reported burning'!C2409</f>
        <v>Human, deliberate</v>
      </c>
      <c r="D2403" s="156" t="str">
        <f>'Reported burning'!D2409</f>
        <v>Crop residue burning</v>
      </c>
      <c r="E2403" s="156" t="str">
        <f>'Reported burning'!E2409</f>
        <v>Cropping, Monoculture, Market-oriented</v>
      </c>
      <c r="F2403" s="156" t="str">
        <f>'Reported burning'!F2409</f>
        <v>Cropland</v>
      </c>
      <c r="G2403" s="156" t="str">
        <f>'Reported burning'!G2409</f>
        <v>ND</v>
      </c>
      <c r="H2403" s="156" t="str">
        <f>'Reported burning'!H2409</f>
        <v>Presence</v>
      </c>
      <c r="I2403" s="5"/>
      <c r="J2403" s="4"/>
      <c r="K2403" s="4"/>
      <c r="L2403" s="4"/>
      <c r="M2403" s="4"/>
      <c r="N2403" s="4"/>
      <c r="O2403" s="4" t="s">
        <v>2375</v>
      </c>
      <c r="P2403" s="4"/>
      <c r="Q2403" s="4"/>
      <c r="R2403" s="4"/>
      <c r="S2403" s="4" t="s">
        <v>2374</v>
      </c>
      <c r="T2403" s="4"/>
      <c r="U2403" s="4"/>
      <c r="V2403" s="4"/>
      <c r="W2403" s="4" t="s">
        <v>2375</v>
      </c>
      <c r="X2403" s="4"/>
      <c r="Y2403" s="4"/>
      <c r="Z2403" s="4" t="s">
        <v>64</v>
      </c>
      <c r="AA2403" s="4" t="s">
        <v>6456</v>
      </c>
      <c r="AB2403" s="4"/>
    </row>
    <row r="2404" spans="1:28" ht="29">
      <c r="A2404" s="156" t="str">
        <f>'Reported burning'!A2410</f>
        <v>275c</v>
      </c>
      <c r="B2404" s="156" t="str">
        <f>'Reported burning'!B2410</f>
        <v>275c.2</v>
      </c>
      <c r="C2404" s="156" t="str">
        <f>'Reported burning'!C2410</f>
        <v>Human, deliberate</v>
      </c>
      <c r="D2404" s="156" t="str">
        <f>'Reported burning'!D2410</f>
        <v>Crop residue burning</v>
      </c>
      <c r="E2404" s="156" t="str">
        <f>'Reported burning'!E2410</f>
        <v>Cropping, Monoculture, Subsistence-oriented</v>
      </c>
      <c r="F2404" s="156" t="str">
        <f>'Reported burning'!F2410</f>
        <v>Cropland</v>
      </c>
      <c r="G2404" s="156" t="str">
        <f>'Reported burning'!G2410</f>
        <v>ND</v>
      </c>
      <c r="H2404" s="156" t="str">
        <f>'Reported burning'!H2410</f>
        <v>Presence</v>
      </c>
      <c r="I2404" s="5"/>
      <c r="J2404" s="4"/>
      <c r="K2404" s="4"/>
      <c r="L2404" s="4"/>
      <c r="M2404" s="4"/>
      <c r="N2404" s="4"/>
      <c r="O2404" s="4" t="s">
        <v>2375</v>
      </c>
      <c r="P2404" s="4"/>
      <c r="Q2404" s="4"/>
      <c r="R2404" s="4"/>
      <c r="S2404" s="4" t="s">
        <v>2374</v>
      </c>
      <c r="T2404" s="4"/>
      <c r="U2404" s="4"/>
      <c r="V2404" s="4"/>
      <c r="W2404" s="4" t="s">
        <v>2375</v>
      </c>
      <c r="X2404" s="4"/>
      <c r="Y2404" s="4"/>
      <c r="Z2404" s="4" t="s">
        <v>64</v>
      </c>
      <c r="AA2404" s="4" t="s">
        <v>6456</v>
      </c>
      <c r="AB2404" s="4"/>
    </row>
    <row r="2405" spans="1:28" ht="29">
      <c r="A2405" s="156" t="str">
        <f>'Reported burning'!A2411</f>
        <v>275d</v>
      </c>
      <c r="B2405" s="156" t="str">
        <f>'Reported burning'!B2411</f>
        <v>275d.1</v>
      </c>
      <c r="C2405" s="156" t="str">
        <f>'Reported burning'!C2411</f>
        <v>Human, deliberate</v>
      </c>
      <c r="D2405" s="156" t="str">
        <f>'Reported burning'!D2411</f>
        <v>Crop residue burning</v>
      </c>
      <c r="E2405" s="156" t="str">
        <f>'Reported burning'!E2411</f>
        <v>Cropping, Monoculture, Market-oriented</v>
      </c>
      <c r="F2405" s="156" t="str">
        <f>'Reported burning'!F2411</f>
        <v>Cropland</v>
      </c>
      <c r="G2405" s="156" t="str">
        <f>'Reported burning'!G2411</f>
        <v>ND</v>
      </c>
      <c r="H2405" s="156" t="str">
        <f>'Reported burning'!H2411</f>
        <v>Presence</v>
      </c>
      <c r="I2405" s="5"/>
      <c r="J2405" s="4"/>
      <c r="K2405" s="4"/>
      <c r="L2405" s="4"/>
      <c r="M2405" s="4"/>
      <c r="N2405" s="4"/>
      <c r="O2405" s="4" t="s">
        <v>2375</v>
      </c>
      <c r="P2405" s="4"/>
      <c r="Q2405" s="4"/>
      <c r="R2405" s="4"/>
      <c r="S2405" s="4" t="s">
        <v>2389</v>
      </c>
      <c r="T2405" s="4"/>
      <c r="U2405" s="4"/>
      <c r="V2405" s="4"/>
      <c r="W2405" s="4" t="s">
        <v>2375</v>
      </c>
      <c r="X2405" s="4"/>
      <c r="Y2405" s="4"/>
      <c r="Z2405" s="4" t="s">
        <v>64</v>
      </c>
      <c r="AA2405" s="4" t="s">
        <v>6457</v>
      </c>
      <c r="AB2405" s="4"/>
    </row>
    <row r="2406" spans="1:28" ht="29">
      <c r="A2406" s="156" t="str">
        <f>'Reported burning'!A2412</f>
        <v>275d</v>
      </c>
      <c r="B2406" s="156" t="str">
        <f>'Reported burning'!B2412</f>
        <v>275d.2</v>
      </c>
      <c r="C2406" s="156" t="str">
        <f>'Reported burning'!C2412</f>
        <v>Human, deliberate</v>
      </c>
      <c r="D2406" s="156" t="str">
        <f>'Reported burning'!D2412</f>
        <v>Crop residue burning</v>
      </c>
      <c r="E2406" s="156" t="str">
        <f>'Reported burning'!E2412</f>
        <v>Cropping, Monoculture, Market-oriented</v>
      </c>
      <c r="F2406" s="156" t="str">
        <f>'Reported burning'!F2412</f>
        <v>Cropland</v>
      </c>
      <c r="G2406" s="156" t="str">
        <f>'Reported burning'!G2412</f>
        <v>ND</v>
      </c>
      <c r="H2406" s="156" t="str">
        <f>'Reported burning'!H2412</f>
        <v>Presence</v>
      </c>
      <c r="I2406" s="5"/>
      <c r="J2406" s="4"/>
      <c r="K2406" s="4"/>
      <c r="L2406" s="4"/>
      <c r="M2406" s="4"/>
      <c r="N2406" s="4"/>
      <c r="O2406" s="4" t="s">
        <v>2375</v>
      </c>
      <c r="P2406" s="4"/>
      <c r="Q2406" s="4"/>
      <c r="R2406" s="4"/>
      <c r="S2406" s="4" t="s">
        <v>2389</v>
      </c>
      <c r="T2406" s="4"/>
      <c r="U2406" s="4"/>
      <c r="V2406" s="4"/>
      <c r="W2406" s="4" t="s">
        <v>2375</v>
      </c>
      <c r="X2406" s="4"/>
      <c r="Y2406" s="4"/>
      <c r="Z2406" s="4" t="s">
        <v>64</v>
      </c>
      <c r="AA2406" s="4" t="s">
        <v>6458</v>
      </c>
      <c r="AB2406" s="4"/>
    </row>
    <row r="2407" spans="1:28" ht="29">
      <c r="A2407" s="156" t="str">
        <f>'Reported burning'!A2413</f>
        <v>275d</v>
      </c>
      <c r="B2407" s="156" t="str">
        <f>'Reported burning'!B2413</f>
        <v>275d.3</v>
      </c>
      <c r="C2407" s="156" t="str">
        <f>'Reported burning'!C2413</f>
        <v>Human, deliberate</v>
      </c>
      <c r="D2407" s="156" t="str">
        <f>'Reported burning'!D2413</f>
        <v>Crop residue burning</v>
      </c>
      <c r="E2407" s="156" t="str">
        <f>'Reported burning'!E2413</f>
        <v>Cropping, Monoculture, Subsistence-oriented</v>
      </c>
      <c r="F2407" s="156" t="str">
        <f>'Reported burning'!F2413</f>
        <v>Cropland</v>
      </c>
      <c r="G2407" s="156" t="str">
        <f>'Reported burning'!G2413</f>
        <v>ND</v>
      </c>
      <c r="H2407" s="156" t="str">
        <f>'Reported burning'!H2413</f>
        <v>Presence</v>
      </c>
      <c r="I2407" s="5"/>
      <c r="J2407" s="4"/>
      <c r="K2407" s="4"/>
      <c r="L2407" s="4"/>
      <c r="M2407" s="4"/>
      <c r="N2407" s="4"/>
      <c r="O2407" s="4" t="s">
        <v>2375</v>
      </c>
      <c r="P2407" s="4"/>
      <c r="Q2407" s="4"/>
      <c r="R2407" s="4"/>
      <c r="S2407" s="4" t="s">
        <v>2389</v>
      </c>
      <c r="T2407" s="4"/>
      <c r="U2407" s="4"/>
      <c r="V2407" s="4"/>
      <c r="W2407" s="4" t="s">
        <v>2375</v>
      </c>
      <c r="X2407" s="4"/>
      <c r="Y2407" s="4"/>
      <c r="Z2407" s="4" t="s">
        <v>64</v>
      </c>
      <c r="AA2407" s="4" t="s">
        <v>6457</v>
      </c>
      <c r="AB2407" s="4"/>
    </row>
    <row r="2408" spans="1:28" ht="29">
      <c r="A2408" s="156" t="str">
        <f>'Reported burning'!A2414</f>
        <v>275d</v>
      </c>
      <c r="B2408" s="156" t="str">
        <f>'Reported burning'!B2414</f>
        <v>275d.4</v>
      </c>
      <c r="C2408" s="156" t="str">
        <f>'Reported burning'!C2414</f>
        <v>Human, deliberate</v>
      </c>
      <c r="D2408" s="156" t="str">
        <f>'Reported burning'!D2414</f>
        <v>Crop residue burning</v>
      </c>
      <c r="E2408" s="156" t="str">
        <f>'Reported burning'!E2414</f>
        <v>Cropping, Monoculture, Subsistence-oriented</v>
      </c>
      <c r="F2408" s="156" t="str">
        <f>'Reported burning'!F2414</f>
        <v>Cropland</v>
      </c>
      <c r="G2408" s="156" t="str">
        <f>'Reported burning'!G2414</f>
        <v>ND</v>
      </c>
      <c r="H2408" s="156" t="str">
        <f>'Reported burning'!H2414</f>
        <v>Presence</v>
      </c>
      <c r="I2408" s="5"/>
      <c r="J2408" s="4"/>
      <c r="K2408" s="4"/>
      <c r="L2408" s="4"/>
      <c r="M2408" s="4"/>
      <c r="N2408" s="4"/>
      <c r="O2408" s="4" t="s">
        <v>2375</v>
      </c>
      <c r="P2408" s="4"/>
      <c r="Q2408" s="4"/>
      <c r="R2408" s="4"/>
      <c r="S2408" s="4" t="s">
        <v>2389</v>
      </c>
      <c r="T2408" s="4"/>
      <c r="U2408" s="4"/>
      <c r="V2408" s="4"/>
      <c r="W2408" s="4" t="s">
        <v>2375</v>
      </c>
      <c r="X2408" s="4"/>
      <c r="Y2408" s="4"/>
      <c r="Z2408" s="4" t="s">
        <v>64</v>
      </c>
      <c r="AA2408" s="4" t="s">
        <v>6458</v>
      </c>
      <c r="AB2408" s="4"/>
    </row>
    <row r="2409" spans="1:28" ht="29">
      <c r="A2409" s="156" t="str">
        <f>'Reported burning'!A2415</f>
        <v>275e</v>
      </c>
      <c r="B2409" s="156" t="str">
        <f>'Reported burning'!B2415</f>
        <v>275e.1</v>
      </c>
      <c r="C2409" s="156" t="str">
        <f>'Reported burning'!C2415</f>
        <v>Human, deliberate</v>
      </c>
      <c r="D2409" s="156" t="str">
        <f>'Reported burning'!D2415</f>
        <v>Crop residue burning</v>
      </c>
      <c r="E2409" s="156" t="str">
        <f>'Reported burning'!E2415</f>
        <v>Cropping, Monoculture, Subsistence-oriented</v>
      </c>
      <c r="F2409" s="156" t="str">
        <f>'Reported burning'!F2415</f>
        <v>Cropland</v>
      </c>
      <c r="G2409" s="156" t="str">
        <f>'Reported burning'!G2415</f>
        <v>ND</v>
      </c>
      <c r="H2409" s="156" t="str">
        <f>'Reported burning'!H2415</f>
        <v>Presence</v>
      </c>
      <c r="I2409" s="5"/>
      <c r="J2409" s="4"/>
      <c r="K2409" s="4"/>
      <c r="L2409" s="4"/>
      <c r="M2409" s="4"/>
      <c r="N2409" s="4"/>
      <c r="O2409" s="4" t="s">
        <v>2362</v>
      </c>
      <c r="P2409" s="4"/>
      <c r="Q2409" s="4"/>
      <c r="R2409" s="4"/>
      <c r="S2409" s="4" t="s">
        <v>2527</v>
      </c>
      <c r="T2409" s="4"/>
      <c r="U2409" s="4"/>
      <c r="V2409" s="4"/>
      <c r="W2409" s="4" t="s">
        <v>2375</v>
      </c>
      <c r="X2409" s="4"/>
      <c r="Y2409" s="4"/>
      <c r="Z2409" s="4" t="s">
        <v>64</v>
      </c>
      <c r="AA2409" s="4" t="s">
        <v>6457</v>
      </c>
      <c r="AB2409" s="4"/>
    </row>
    <row r="2410" spans="1:28" ht="29">
      <c r="A2410" s="156" t="str">
        <f>'Reported burning'!A2416</f>
        <v>275e</v>
      </c>
      <c r="B2410" s="156" t="str">
        <f>'Reported burning'!B2416</f>
        <v>275e.2</v>
      </c>
      <c r="C2410" s="156" t="str">
        <f>'Reported burning'!C2416</f>
        <v>Human, deliberate</v>
      </c>
      <c r="D2410" s="156" t="str">
        <f>'Reported burning'!D2416</f>
        <v>Crop residue burning</v>
      </c>
      <c r="E2410" s="156" t="str">
        <f>'Reported burning'!E2416</f>
        <v>Cropping, Monoculture, Subsistence-oriented</v>
      </c>
      <c r="F2410" s="156" t="str">
        <f>'Reported burning'!F2416</f>
        <v>Cropland</v>
      </c>
      <c r="G2410" s="156" t="str">
        <f>'Reported burning'!G2416</f>
        <v>ND</v>
      </c>
      <c r="H2410" s="156" t="str">
        <f>'Reported burning'!H2416</f>
        <v>Presence</v>
      </c>
      <c r="I2410" s="5"/>
      <c r="J2410" s="4"/>
      <c r="K2410" s="4"/>
      <c r="L2410" s="4"/>
      <c r="M2410" s="4"/>
      <c r="N2410" s="4"/>
      <c r="O2410" s="4" t="s">
        <v>2362</v>
      </c>
      <c r="P2410" s="4"/>
      <c r="Q2410" s="4"/>
      <c r="R2410" s="4"/>
      <c r="S2410" s="4" t="s">
        <v>2527</v>
      </c>
      <c r="T2410" s="4"/>
      <c r="U2410" s="4"/>
      <c r="V2410" s="4"/>
      <c r="W2410" s="4" t="s">
        <v>2375</v>
      </c>
      <c r="X2410" s="4"/>
      <c r="Y2410" s="4"/>
      <c r="Z2410" s="4" t="s">
        <v>64</v>
      </c>
      <c r="AA2410" s="4" t="s">
        <v>6458</v>
      </c>
      <c r="AB2410" s="4"/>
    </row>
    <row r="2411" spans="1:28" ht="29">
      <c r="A2411" s="156" t="str">
        <f>'Reported burning'!A2417</f>
        <v>275e</v>
      </c>
      <c r="B2411" s="156" t="str">
        <f>'Reported burning'!B2417</f>
        <v>275e.3</v>
      </c>
      <c r="C2411" s="156" t="str">
        <f>'Reported burning'!C2417</f>
        <v>Human, deliberate</v>
      </c>
      <c r="D2411" s="156" t="str">
        <f>'Reported burning'!D2417</f>
        <v>Crop residue burning</v>
      </c>
      <c r="E2411" s="156" t="str">
        <f>'Reported burning'!E2417</f>
        <v>Cropping, Monoculture, Market-oriented</v>
      </c>
      <c r="F2411" s="156" t="str">
        <f>'Reported burning'!F2417</f>
        <v>Cropland</v>
      </c>
      <c r="G2411" s="156" t="str">
        <f>'Reported burning'!G2417</f>
        <v>ND</v>
      </c>
      <c r="H2411" s="156" t="str">
        <f>'Reported burning'!H2417</f>
        <v>Presence</v>
      </c>
      <c r="I2411" s="5"/>
      <c r="J2411" s="4"/>
      <c r="K2411" s="4"/>
      <c r="L2411" s="4"/>
      <c r="M2411" s="4"/>
      <c r="N2411" s="4"/>
      <c r="O2411" s="4" t="s">
        <v>2362</v>
      </c>
      <c r="P2411" s="4"/>
      <c r="Q2411" s="4"/>
      <c r="R2411" s="4"/>
      <c r="S2411" s="4" t="s">
        <v>2527</v>
      </c>
      <c r="T2411" s="4"/>
      <c r="U2411" s="4"/>
      <c r="V2411" s="4"/>
      <c r="W2411" s="4" t="s">
        <v>2375</v>
      </c>
      <c r="X2411" s="4"/>
      <c r="Y2411" s="4"/>
      <c r="Z2411" s="4" t="s">
        <v>64</v>
      </c>
      <c r="AA2411" s="4" t="s">
        <v>6457</v>
      </c>
      <c r="AB2411" s="4"/>
    </row>
    <row r="2412" spans="1:28" ht="29">
      <c r="A2412" s="156" t="str">
        <f>'Reported burning'!A2418</f>
        <v>275e</v>
      </c>
      <c r="B2412" s="156" t="str">
        <f>'Reported burning'!B2418</f>
        <v>275e.4</v>
      </c>
      <c r="C2412" s="156" t="str">
        <f>'Reported burning'!C2418</f>
        <v>Human, deliberate</v>
      </c>
      <c r="D2412" s="156" t="str">
        <f>'Reported burning'!D2418</f>
        <v>Crop residue burning</v>
      </c>
      <c r="E2412" s="156" t="str">
        <f>'Reported burning'!E2418</f>
        <v>Cropping, Monoculture, Market-oriented</v>
      </c>
      <c r="F2412" s="156" t="str">
        <f>'Reported burning'!F2418</f>
        <v>Cropland</v>
      </c>
      <c r="G2412" s="156" t="str">
        <f>'Reported burning'!G2418</f>
        <v>ND</v>
      </c>
      <c r="H2412" s="156" t="str">
        <f>'Reported burning'!H2418</f>
        <v>Presence</v>
      </c>
      <c r="I2412" s="5"/>
      <c r="J2412" s="4"/>
      <c r="K2412" s="4"/>
      <c r="L2412" s="4"/>
      <c r="M2412" s="4"/>
      <c r="N2412" s="4"/>
      <c r="O2412" s="4" t="s">
        <v>2362</v>
      </c>
      <c r="P2412" s="4"/>
      <c r="Q2412" s="4"/>
      <c r="R2412" s="4"/>
      <c r="S2412" s="4" t="s">
        <v>2527</v>
      </c>
      <c r="T2412" s="4"/>
      <c r="U2412" s="4"/>
      <c r="V2412" s="4"/>
      <c r="W2412" s="4" t="s">
        <v>2375</v>
      </c>
      <c r="X2412" s="4"/>
      <c r="Y2412" s="4"/>
      <c r="Z2412" s="4" t="s">
        <v>64</v>
      </c>
      <c r="AA2412" s="4" t="s">
        <v>6458</v>
      </c>
      <c r="AB2412" s="4"/>
    </row>
    <row r="2413" spans="1:28" ht="29">
      <c r="A2413" s="156" t="str">
        <f>'Reported burning'!A2419</f>
        <v>275f</v>
      </c>
      <c r="B2413" s="156" t="str">
        <f>'Reported burning'!B2419</f>
        <v>275f.1</v>
      </c>
      <c r="C2413" s="156" t="str">
        <f>'Reported burning'!C2419</f>
        <v>Human, deliberate</v>
      </c>
      <c r="D2413" s="156" t="str">
        <f>'Reported burning'!D2419</f>
        <v>Crop residue burning</v>
      </c>
      <c r="E2413" s="156" t="str">
        <f>'Reported burning'!E2419</f>
        <v>Cropping, Monoculture, Subsistence-oriented</v>
      </c>
      <c r="F2413" s="156" t="str">
        <f>'Reported burning'!F2419</f>
        <v>Cropland</v>
      </c>
      <c r="G2413" s="156" t="str">
        <f>'Reported burning'!G2419</f>
        <v>ND</v>
      </c>
      <c r="H2413" s="156" t="str">
        <f>'Reported burning'!H2419</f>
        <v>Presence</v>
      </c>
      <c r="I2413" s="5"/>
      <c r="J2413" s="4"/>
      <c r="K2413" s="4"/>
      <c r="L2413" s="4"/>
      <c r="M2413" s="4"/>
      <c r="N2413" s="4"/>
      <c r="O2413" s="4" t="s">
        <v>2375</v>
      </c>
      <c r="P2413" s="4"/>
      <c r="Q2413" s="4"/>
      <c r="R2413" s="4"/>
      <c r="S2413" s="4" t="s">
        <v>2376</v>
      </c>
      <c r="T2413" s="4"/>
      <c r="U2413" s="4"/>
      <c r="V2413" s="4"/>
      <c r="W2413" s="4" t="s">
        <v>2375</v>
      </c>
      <c r="X2413" s="4"/>
      <c r="Y2413" s="4"/>
      <c r="Z2413" s="4" t="s">
        <v>64</v>
      </c>
      <c r="AA2413" s="4" t="s">
        <v>6457</v>
      </c>
      <c r="AB2413" s="4"/>
    </row>
    <row r="2414" spans="1:28" ht="29">
      <c r="A2414" s="156" t="str">
        <f>'Reported burning'!A2420</f>
        <v>275f</v>
      </c>
      <c r="B2414" s="156" t="str">
        <f>'Reported burning'!B2420</f>
        <v>275f.2</v>
      </c>
      <c r="C2414" s="156" t="str">
        <f>'Reported burning'!C2420</f>
        <v>Human, deliberate</v>
      </c>
      <c r="D2414" s="156" t="str">
        <f>'Reported burning'!D2420</f>
        <v>Crop residue burning</v>
      </c>
      <c r="E2414" s="156" t="str">
        <f>'Reported burning'!E2420</f>
        <v>Cropping, Monoculture, Subsistence-oriented</v>
      </c>
      <c r="F2414" s="156" t="str">
        <f>'Reported burning'!F2420</f>
        <v>Cropland</v>
      </c>
      <c r="G2414" s="156" t="str">
        <f>'Reported burning'!G2420</f>
        <v>ND</v>
      </c>
      <c r="H2414" s="156" t="str">
        <f>'Reported burning'!H2420</f>
        <v>Presence</v>
      </c>
      <c r="I2414" s="5"/>
      <c r="J2414" s="4"/>
      <c r="K2414" s="4"/>
      <c r="L2414" s="4"/>
      <c r="M2414" s="4"/>
      <c r="N2414" s="4"/>
      <c r="O2414" s="4" t="s">
        <v>2375</v>
      </c>
      <c r="P2414" s="4"/>
      <c r="Q2414" s="4"/>
      <c r="R2414" s="4"/>
      <c r="S2414" s="4" t="s">
        <v>2376</v>
      </c>
      <c r="T2414" s="4"/>
      <c r="U2414" s="4"/>
      <c r="V2414" s="4"/>
      <c r="W2414" s="4" t="s">
        <v>2375</v>
      </c>
      <c r="X2414" s="4"/>
      <c r="Y2414" s="4"/>
      <c r="Z2414" s="4" t="s">
        <v>64</v>
      </c>
      <c r="AA2414" s="4" t="s">
        <v>6458</v>
      </c>
      <c r="AB2414" s="4"/>
    </row>
    <row r="2415" spans="1:28" ht="29">
      <c r="A2415" s="156" t="str">
        <f>'Reported burning'!A2421</f>
        <v>275f</v>
      </c>
      <c r="B2415" s="156" t="str">
        <f>'Reported burning'!B2421</f>
        <v>275f.3</v>
      </c>
      <c r="C2415" s="156" t="str">
        <f>'Reported burning'!C2421</f>
        <v>Human, deliberate</v>
      </c>
      <c r="D2415" s="156" t="str">
        <f>'Reported burning'!D2421</f>
        <v>Crop residue burning</v>
      </c>
      <c r="E2415" s="156" t="str">
        <f>'Reported burning'!E2421</f>
        <v>Cropping, Monoculture, Market-oriented</v>
      </c>
      <c r="F2415" s="156" t="str">
        <f>'Reported burning'!F2421</f>
        <v>Cropland</v>
      </c>
      <c r="G2415" s="156" t="str">
        <f>'Reported burning'!G2421</f>
        <v>ND</v>
      </c>
      <c r="H2415" s="156" t="str">
        <f>'Reported burning'!H2421</f>
        <v>Presence</v>
      </c>
      <c r="I2415" s="5"/>
      <c r="J2415" s="4"/>
      <c r="K2415" s="4"/>
      <c r="L2415" s="4"/>
      <c r="M2415" s="4"/>
      <c r="N2415" s="4"/>
      <c r="O2415" s="4" t="s">
        <v>2375</v>
      </c>
      <c r="P2415" s="4"/>
      <c r="Q2415" s="4"/>
      <c r="R2415" s="4"/>
      <c r="S2415" s="4" t="s">
        <v>2376</v>
      </c>
      <c r="T2415" s="4"/>
      <c r="U2415" s="4"/>
      <c r="V2415" s="4"/>
      <c r="W2415" s="4" t="s">
        <v>2375</v>
      </c>
      <c r="X2415" s="4"/>
      <c r="Y2415" s="4"/>
      <c r="Z2415" s="4" t="s">
        <v>64</v>
      </c>
      <c r="AA2415" s="4" t="s">
        <v>6457</v>
      </c>
      <c r="AB2415" s="4"/>
    </row>
    <row r="2416" spans="1:28" ht="29">
      <c r="A2416" s="156" t="str">
        <f>'Reported burning'!A2422</f>
        <v>275f</v>
      </c>
      <c r="B2416" s="156" t="str">
        <f>'Reported burning'!B2422</f>
        <v>275f.4</v>
      </c>
      <c r="C2416" s="156" t="str">
        <f>'Reported burning'!C2422</f>
        <v>Human, deliberate</v>
      </c>
      <c r="D2416" s="156" t="str">
        <f>'Reported burning'!D2422</f>
        <v>Crop residue burning</v>
      </c>
      <c r="E2416" s="156" t="str">
        <f>'Reported burning'!E2422</f>
        <v>Cropping, Monoculture, Market-oriented</v>
      </c>
      <c r="F2416" s="156" t="str">
        <f>'Reported burning'!F2422</f>
        <v>Cropland</v>
      </c>
      <c r="G2416" s="156" t="str">
        <f>'Reported burning'!G2422</f>
        <v>ND</v>
      </c>
      <c r="H2416" s="156" t="str">
        <f>'Reported burning'!H2422</f>
        <v>Presence</v>
      </c>
      <c r="I2416" s="5"/>
      <c r="J2416" s="4"/>
      <c r="K2416" s="4"/>
      <c r="L2416" s="4"/>
      <c r="M2416" s="4"/>
      <c r="N2416" s="4"/>
      <c r="O2416" s="4" t="s">
        <v>2375</v>
      </c>
      <c r="P2416" s="4"/>
      <c r="Q2416" s="4"/>
      <c r="R2416" s="4"/>
      <c r="S2416" s="4" t="s">
        <v>2376</v>
      </c>
      <c r="T2416" s="4"/>
      <c r="U2416" s="4"/>
      <c r="V2416" s="4"/>
      <c r="W2416" s="4" t="s">
        <v>2375</v>
      </c>
      <c r="X2416" s="4"/>
      <c r="Y2416" s="4"/>
      <c r="Z2416" s="4" t="s">
        <v>64</v>
      </c>
      <c r="AA2416" s="4" t="s">
        <v>6458</v>
      </c>
      <c r="AB2416" s="4"/>
    </row>
    <row r="2417" spans="1:28" ht="29">
      <c r="A2417" s="156" t="str">
        <f>'Reported burning'!A2423</f>
        <v>275g</v>
      </c>
      <c r="B2417" s="156" t="str">
        <f>'Reported burning'!B2423</f>
        <v>275g.1</v>
      </c>
      <c r="C2417" s="156" t="str">
        <f>'Reported burning'!C2423</f>
        <v>Human, deliberate</v>
      </c>
      <c r="D2417" s="156" t="str">
        <f>'Reported burning'!D2423</f>
        <v>Crop residue burning</v>
      </c>
      <c r="E2417" s="156" t="str">
        <f>'Reported burning'!E2423</f>
        <v>Cropping, Monoculture, Subsistence-oriented</v>
      </c>
      <c r="F2417" s="156" t="str">
        <f>'Reported burning'!F2423</f>
        <v>Cropland</v>
      </c>
      <c r="G2417" s="156" t="str">
        <f>'Reported burning'!G2423</f>
        <v>ND</v>
      </c>
      <c r="H2417" s="156" t="str">
        <f>'Reported burning'!H2423</f>
        <v>Presence</v>
      </c>
      <c r="I2417" s="5"/>
      <c r="J2417" s="4"/>
      <c r="K2417" s="4"/>
      <c r="L2417" s="4"/>
      <c r="M2417" s="4"/>
      <c r="N2417" s="4"/>
      <c r="O2417" s="4" t="s">
        <v>2362</v>
      </c>
      <c r="P2417" s="4"/>
      <c r="Q2417" s="4"/>
      <c r="R2417" s="4"/>
      <c r="S2417" s="4" t="s">
        <v>2527</v>
      </c>
      <c r="T2417" s="4"/>
      <c r="U2417" s="4"/>
      <c r="V2417" s="4"/>
      <c r="W2417" s="4" t="s">
        <v>2375</v>
      </c>
      <c r="X2417" s="4"/>
      <c r="Y2417" s="4"/>
      <c r="Z2417" s="4" t="s">
        <v>64</v>
      </c>
      <c r="AA2417" s="4" t="s">
        <v>6459</v>
      </c>
      <c r="AB2417" s="4"/>
    </row>
    <row r="2418" spans="1:28" ht="29">
      <c r="A2418" s="156" t="str">
        <f>'Reported burning'!A2424</f>
        <v>275g</v>
      </c>
      <c r="B2418" s="156" t="str">
        <f>'Reported burning'!B2424</f>
        <v>275g.2</v>
      </c>
      <c r="C2418" s="156" t="str">
        <f>'Reported burning'!C2424</f>
        <v>Human, deliberate</v>
      </c>
      <c r="D2418" s="156" t="str">
        <f>'Reported burning'!D2424</f>
        <v>Crop residue burning</v>
      </c>
      <c r="E2418" s="156" t="str">
        <f>'Reported burning'!E2424</f>
        <v>Cropping, Monoculture, Subsistence-oriented</v>
      </c>
      <c r="F2418" s="156" t="str">
        <f>'Reported burning'!F2424</f>
        <v>Cropland</v>
      </c>
      <c r="G2418" s="156" t="str">
        <f>'Reported burning'!G2424</f>
        <v>ND</v>
      </c>
      <c r="H2418" s="156" t="str">
        <f>'Reported burning'!H2424</f>
        <v>Presence</v>
      </c>
      <c r="I2418" s="5"/>
      <c r="J2418" s="4"/>
      <c r="K2418" s="4"/>
      <c r="L2418" s="4"/>
      <c r="M2418" s="4"/>
      <c r="N2418" s="4"/>
      <c r="O2418" s="4" t="s">
        <v>2362</v>
      </c>
      <c r="P2418" s="4"/>
      <c r="Q2418" s="4"/>
      <c r="R2418" s="4"/>
      <c r="S2418" s="4" t="s">
        <v>2527</v>
      </c>
      <c r="T2418" s="4"/>
      <c r="U2418" s="4"/>
      <c r="V2418" s="4"/>
      <c r="W2418" s="4" t="s">
        <v>2375</v>
      </c>
      <c r="X2418" s="4"/>
      <c r="Y2418" s="4"/>
      <c r="Z2418" s="4" t="s">
        <v>64</v>
      </c>
      <c r="AA2418" s="4" t="s">
        <v>6460</v>
      </c>
      <c r="AB2418" s="4"/>
    </row>
    <row r="2419" spans="1:28" ht="29">
      <c r="A2419" s="156" t="str">
        <f>'Reported burning'!A2425</f>
        <v>275g</v>
      </c>
      <c r="B2419" s="156" t="str">
        <f>'Reported burning'!B2425</f>
        <v>275g.3</v>
      </c>
      <c r="C2419" s="156" t="str">
        <f>'Reported burning'!C2425</f>
        <v>Human, deliberate</v>
      </c>
      <c r="D2419" s="156" t="str">
        <f>'Reported burning'!D2425</f>
        <v>Crop residue burning</v>
      </c>
      <c r="E2419" s="156" t="str">
        <f>'Reported burning'!E2425</f>
        <v>Cropping, Monoculture, Market-oriented</v>
      </c>
      <c r="F2419" s="156" t="str">
        <f>'Reported burning'!F2425</f>
        <v>Cropland</v>
      </c>
      <c r="G2419" s="156" t="str">
        <f>'Reported burning'!G2425</f>
        <v>ND</v>
      </c>
      <c r="H2419" s="156" t="str">
        <f>'Reported burning'!H2425</f>
        <v>Presence</v>
      </c>
      <c r="I2419" s="5"/>
      <c r="J2419" s="4"/>
      <c r="K2419" s="4"/>
      <c r="L2419" s="4"/>
      <c r="M2419" s="4"/>
      <c r="N2419" s="4"/>
      <c r="O2419" s="4" t="s">
        <v>2362</v>
      </c>
      <c r="P2419" s="4"/>
      <c r="Q2419" s="4"/>
      <c r="R2419" s="4"/>
      <c r="S2419" s="4" t="s">
        <v>2527</v>
      </c>
      <c r="T2419" s="4"/>
      <c r="U2419" s="4"/>
      <c r="V2419" s="4"/>
      <c r="W2419" s="4" t="s">
        <v>2375</v>
      </c>
      <c r="X2419" s="4"/>
      <c r="Y2419" s="4"/>
      <c r="Z2419" s="4" t="s">
        <v>64</v>
      </c>
      <c r="AA2419" s="4" t="s">
        <v>6459</v>
      </c>
      <c r="AB2419" s="4"/>
    </row>
    <row r="2420" spans="1:28" ht="29">
      <c r="A2420" s="156" t="str">
        <f>'Reported burning'!A2426</f>
        <v>275g</v>
      </c>
      <c r="B2420" s="156" t="str">
        <f>'Reported burning'!B2426</f>
        <v>275g.4</v>
      </c>
      <c r="C2420" s="156" t="str">
        <f>'Reported burning'!C2426</f>
        <v>Human, deliberate</v>
      </c>
      <c r="D2420" s="156" t="str">
        <f>'Reported burning'!D2426</f>
        <v>Crop residue burning</v>
      </c>
      <c r="E2420" s="156" t="str">
        <f>'Reported burning'!E2426</f>
        <v>Cropping, Monoculture, Market-oriented</v>
      </c>
      <c r="F2420" s="156" t="str">
        <f>'Reported burning'!F2426</f>
        <v>Cropland</v>
      </c>
      <c r="G2420" s="156" t="str">
        <f>'Reported burning'!G2426</f>
        <v>ND</v>
      </c>
      <c r="H2420" s="156" t="str">
        <f>'Reported burning'!H2426</f>
        <v>Presence</v>
      </c>
      <c r="I2420" s="5"/>
      <c r="J2420" s="4"/>
      <c r="K2420" s="4"/>
      <c r="L2420" s="4"/>
      <c r="M2420" s="4"/>
      <c r="N2420" s="4"/>
      <c r="O2420" s="4" t="s">
        <v>2362</v>
      </c>
      <c r="P2420" s="4"/>
      <c r="Q2420" s="4"/>
      <c r="R2420" s="4"/>
      <c r="S2420" s="4" t="s">
        <v>2527</v>
      </c>
      <c r="T2420" s="4"/>
      <c r="U2420" s="4"/>
      <c r="V2420" s="4"/>
      <c r="W2420" s="4" t="s">
        <v>2375</v>
      </c>
      <c r="X2420" s="4"/>
      <c r="Y2420" s="4"/>
      <c r="Z2420" s="4" t="s">
        <v>64</v>
      </c>
      <c r="AA2420" s="4" t="s">
        <v>6460</v>
      </c>
      <c r="AB2420" s="4"/>
    </row>
    <row r="2421" spans="1:28" ht="29">
      <c r="A2421" s="156" t="str">
        <f>'Reported burning'!A2427</f>
        <v>275h</v>
      </c>
      <c r="B2421" s="156" t="str">
        <f>'Reported burning'!B2427</f>
        <v>275h.1</v>
      </c>
      <c r="C2421" s="156" t="str">
        <f>'Reported burning'!C2427</f>
        <v>Human, deliberate</v>
      </c>
      <c r="D2421" s="156" t="str">
        <f>'Reported burning'!D2427</f>
        <v>Crop residue burning</v>
      </c>
      <c r="E2421" s="156" t="str">
        <f>'Reported burning'!E2427</f>
        <v>Cropping, Monoculture, Subsistence-oriented</v>
      </c>
      <c r="F2421" s="156" t="str">
        <f>'Reported burning'!F2427</f>
        <v>Cropland</v>
      </c>
      <c r="G2421" s="156" t="str">
        <f>'Reported burning'!G2427</f>
        <v>ND</v>
      </c>
      <c r="H2421" s="156" t="str">
        <f>'Reported burning'!H2427</f>
        <v>Presence</v>
      </c>
      <c r="I2421" s="5"/>
      <c r="J2421" s="4"/>
      <c r="K2421" s="4"/>
      <c r="L2421" s="4"/>
      <c r="M2421" s="4"/>
      <c r="N2421" s="4"/>
      <c r="O2421" s="4" t="s">
        <v>2375</v>
      </c>
      <c r="P2421" s="4"/>
      <c r="Q2421" s="4"/>
      <c r="R2421" s="4"/>
      <c r="S2421" s="4" t="s">
        <v>2374</v>
      </c>
      <c r="T2421" s="4"/>
      <c r="U2421" s="4"/>
      <c r="V2421" s="4"/>
      <c r="W2421" s="4" t="s">
        <v>2375</v>
      </c>
      <c r="X2421" s="4"/>
      <c r="Y2421" s="4"/>
      <c r="Z2421" s="4" t="s">
        <v>64</v>
      </c>
      <c r="AA2421" s="4" t="s">
        <v>6457</v>
      </c>
      <c r="AB2421" s="4"/>
    </row>
    <row r="2422" spans="1:28" ht="29">
      <c r="A2422" s="156" t="str">
        <f>'Reported burning'!A2428</f>
        <v>275h</v>
      </c>
      <c r="B2422" s="156" t="str">
        <f>'Reported burning'!B2428</f>
        <v>275h.2</v>
      </c>
      <c r="C2422" s="156" t="str">
        <f>'Reported burning'!C2428</f>
        <v>Human, deliberate</v>
      </c>
      <c r="D2422" s="156" t="str">
        <f>'Reported burning'!D2428</f>
        <v>Crop residue burning</v>
      </c>
      <c r="E2422" s="156" t="str">
        <f>'Reported burning'!E2428</f>
        <v>Cropping, Monoculture, Subsistence-oriented</v>
      </c>
      <c r="F2422" s="156" t="str">
        <f>'Reported burning'!F2428</f>
        <v>Cropland</v>
      </c>
      <c r="G2422" s="156" t="str">
        <f>'Reported burning'!G2428</f>
        <v>ND</v>
      </c>
      <c r="H2422" s="156" t="str">
        <f>'Reported burning'!H2428</f>
        <v>Presence</v>
      </c>
      <c r="I2422" s="5"/>
      <c r="J2422" s="4"/>
      <c r="K2422" s="4"/>
      <c r="L2422" s="4"/>
      <c r="M2422" s="4"/>
      <c r="N2422" s="4"/>
      <c r="O2422" s="4" t="s">
        <v>2375</v>
      </c>
      <c r="P2422" s="4"/>
      <c r="Q2422" s="4"/>
      <c r="R2422" s="4"/>
      <c r="S2422" s="4" t="s">
        <v>2374</v>
      </c>
      <c r="T2422" s="4"/>
      <c r="U2422" s="4"/>
      <c r="V2422" s="4"/>
      <c r="W2422" s="4" t="s">
        <v>2375</v>
      </c>
      <c r="X2422" s="4"/>
      <c r="Y2422" s="4"/>
      <c r="Z2422" s="4" t="s">
        <v>64</v>
      </c>
      <c r="AA2422" s="4" t="s">
        <v>6458</v>
      </c>
      <c r="AB2422" s="4"/>
    </row>
    <row r="2423" spans="1:28" ht="29">
      <c r="A2423" s="156" t="str">
        <f>'Reported burning'!A2429</f>
        <v>275h</v>
      </c>
      <c r="B2423" s="156" t="str">
        <f>'Reported burning'!B2429</f>
        <v>275h.3</v>
      </c>
      <c r="C2423" s="156" t="str">
        <f>'Reported burning'!C2429</f>
        <v>Human, deliberate</v>
      </c>
      <c r="D2423" s="156" t="str">
        <f>'Reported burning'!D2429</f>
        <v>Crop residue burning</v>
      </c>
      <c r="E2423" s="156" t="str">
        <f>'Reported burning'!E2429</f>
        <v>Cropping, Monoculture, Market-oriented</v>
      </c>
      <c r="F2423" s="156" t="str">
        <f>'Reported burning'!F2429</f>
        <v>Cropland</v>
      </c>
      <c r="G2423" s="156" t="str">
        <f>'Reported burning'!G2429</f>
        <v>ND</v>
      </c>
      <c r="H2423" s="156" t="str">
        <f>'Reported burning'!H2429</f>
        <v>Presence</v>
      </c>
      <c r="I2423" s="5"/>
      <c r="J2423" s="4"/>
      <c r="K2423" s="4"/>
      <c r="L2423" s="4"/>
      <c r="M2423" s="4"/>
      <c r="N2423" s="4"/>
      <c r="O2423" s="4" t="s">
        <v>2375</v>
      </c>
      <c r="P2423" s="4"/>
      <c r="Q2423" s="4"/>
      <c r="R2423" s="4"/>
      <c r="S2423" s="4" t="s">
        <v>2374</v>
      </c>
      <c r="T2423" s="4"/>
      <c r="U2423" s="4"/>
      <c r="V2423" s="4"/>
      <c r="W2423" s="4" t="s">
        <v>2375</v>
      </c>
      <c r="X2423" s="4"/>
      <c r="Y2423" s="4"/>
      <c r="Z2423" s="4" t="s">
        <v>64</v>
      </c>
      <c r="AA2423" s="4" t="s">
        <v>6457</v>
      </c>
      <c r="AB2423" s="4"/>
    </row>
    <row r="2424" spans="1:28" ht="29">
      <c r="A2424" s="156" t="str">
        <f>'Reported burning'!A2430</f>
        <v>275h</v>
      </c>
      <c r="B2424" s="156" t="str">
        <f>'Reported burning'!B2430</f>
        <v>275h.4</v>
      </c>
      <c r="C2424" s="156" t="str">
        <f>'Reported burning'!C2430</f>
        <v>Human, deliberate</v>
      </c>
      <c r="D2424" s="156" t="str">
        <f>'Reported burning'!D2430</f>
        <v>Crop residue burning</v>
      </c>
      <c r="E2424" s="156" t="str">
        <f>'Reported burning'!E2430</f>
        <v>Cropping, Monoculture, Market-oriented</v>
      </c>
      <c r="F2424" s="156" t="str">
        <f>'Reported burning'!F2430</f>
        <v>Cropland</v>
      </c>
      <c r="G2424" s="156" t="str">
        <f>'Reported burning'!G2430</f>
        <v>ND</v>
      </c>
      <c r="H2424" s="156" t="str">
        <f>'Reported burning'!H2430</f>
        <v>Presence</v>
      </c>
      <c r="I2424" s="5"/>
      <c r="J2424" s="4"/>
      <c r="K2424" s="4"/>
      <c r="L2424" s="4"/>
      <c r="M2424" s="4"/>
      <c r="N2424" s="4"/>
      <c r="O2424" s="4" t="s">
        <v>2375</v>
      </c>
      <c r="P2424" s="4"/>
      <c r="Q2424" s="4"/>
      <c r="R2424" s="4"/>
      <c r="S2424" s="4" t="s">
        <v>2374</v>
      </c>
      <c r="T2424" s="4"/>
      <c r="U2424" s="4"/>
      <c r="V2424" s="4"/>
      <c r="W2424" s="4" t="s">
        <v>2375</v>
      </c>
      <c r="X2424" s="4"/>
      <c r="Y2424" s="4"/>
      <c r="Z2424" s="4" t="s">
        <v>64</v>
      </c>
      <c r="AA2424" s="4" t="s">
        <v>6458</v>
      </c>
      <c r="AB2424" s="4"/>
    </row>
    <row r="2425" spans="1:28" ht="29">
      <c r="A2425" s="156" t="str">
        <f>'Reported burning'!A2431</f>
        <v>275i</v>
      </c>
      <c r="B2425" s="156" t="str">
        <f>'Reported burning'!B2431</f>
        <v>275i.1</v>
      </c>
      <c r="C2425" s="156" t="str">
        <f>'Reported burning'!C2431</f>
        <v>Human, deliberate</v>
      </c>
      <c r="D2425" s="156" t="str">
        <f>'Reported burning'!D2431</f>
        <v>Crop residue burning</v>
      </c>
      <c r="E2425" s="156" t="str">
        <f>'Reported burning'!E2431</f>
        <v>Cropping, Monoculture, Subsistence-oriented</v>
      </c>
      <c r="F2425" s="156" t="str">
        <f>'Reported burning'!F2431</f>
        <v>Cropland</v>
      </c>
      <c r="G2425" s="156" t="str">
        <f>'Reported burning'!G2431</f>
        <v>ND</v>
      </c>
      <c r="H2425" s="156" t="str">
        <f>'Reported burning'!H2431</f>
        <v>Presence</v>
      </c>
      <c r="I2425" s="5"/>
      <c r="J2425" s="4"/>
      <c r="K2425" s="4"/>
      <c r="L2425" s="4"/>
      <c r="M2425" s="4"/>
      <c r="N2425" s="4"/>
      <c r="O2425" s="4" t="s">
        <v>2362</v>
      </c>
      <c r="P2425" s="4"/>
      <c r="Q2425" s="4"/>
      <c r="R2425" s="4"/>
      <c r="S2425" s="4" t="s">
        <v>2374</v>
      </c>
      <c r="T2425" s="4"/>
      <c r="U2425" s="4"/>
      <c r="V2425" s="4"/>
      <c r="W2425" s="4" t="s">
        <v>2375</v>
      </c>
      <c r="X2425" s="4"/>
      <c r="Y2425" s="4"/>
      <c r="Z2425" s="4" t="s">
        <v>64</v>
      </c>
      <c r="AA2425" s="4" t="s">
        <v>6461</v>
      </c>
      <c r="AB2425" s="4"/>
    </row>
    <row r="2426" spans="1:28" ht="29">
      <c r="A2426" s="156" t="str">
        <f>'Reported burning'!A2432</f>
        <v>275i</v>
      </c>
      <c r="B2426" s="156" t="str">
        <f>'Reported burning'!B2432</f>
        <v>275i.2</v>
      </c>
      <c r="C2426" s="156" t="str">
        <f>'Reported burning'!C2432</f>
        <v>Human, deliberate</v>
      </c>
      <c r="D2426" s="156" t="str">
        <f>'Reported burning'!D2432</f>
        <v>Crop residue burning</v>
      </c>
      <c r="E2426" s="156" t="str">
        <f>'Reported burning'!E2432</f>
        <v>Cropping, Monoculture, Subsistence-oriented</v>
      </c>
      <c r="F2426" s="156" t="str">
        <f>'Reported burning'!F2432</f>
        <v>Cropland</v>
      </c>
      <c r="G2426" s="156" t="str">
        <f>'Reported burning'!G2432</f>
        <v>ND</v>
      </c>
      <c r="H2426" s="156" t="str">
        <f>'Reported burning'!H2432</f>
        <v>Presence</v>
      </c>
      <c r="I2426" s="5"/>
      <c r="J2426" s="4"/>
      <c r="K2426" s="4"/>
      <c r="L2426" s="4"/>
      <c r="M2426" s="4"/>
      <c r="N2426" s="4"/>
      <c r="O2426" s="4" t="s">
        <v>2362</v>
      </c>
      <c r="P2426" s="4"/>
      <c r="Q2426" s="4"/>
      <c r="R2426" s="4"/>
      <c r="S2426" s="4" t="s">
        <v>2374</v>
      </c>
      <c r="T2426" s="4"/>
      <c r="U2426" s="4"/>
      <c r="V2426" s="4"/>
      <c r="W2426" s="4" t="s">
        <v>2375</v>
      </c>
      <c r="X2426" s="4"/>
      <c r="Y2426" s="4"/>
      <c r="Z2426" s="4" t="s">
        <v>64</v>
      </c>
      <c r="AA2426" s="4" t="s">
        <v>6462</v>
      </c>
      <c r="AB2426" s="4"/>
    </row>
    <row r="2427" spans="1:28" ht="29">
      <c r="A2427" s="156" t="str">
        <f>'Reported burning'!A2433</f>
        <v>275i</v>
      </c>
      <c r="B2427" s="156" t="str">
        <f>'Reported burning'!B2433</f>
        <v>275i.3</v>
      </c>
      <c r="C2427" s="156" t="str">
        <f>'Reported burning'!C2433</f>
        <v>Human, deliberate</v>
      </c>
      <c r="D2427" s="156" t="str">
        <f>'Reported burning'!D2433</f>
        <v>Crop residue burning</v>
      </c>
      <c r="E2427" s="156" t="str">
        <f>'Reported burning'!E2433</f>
        <v>Cropping, Monoculture, Market-oriented</v>
      </c>
      <c r="F2427" s="156" t="str">
        <f>'Reported burning'!F2433</f>
        <v>Cropland</v>
      </c>
      <c r="G2427" s="156" t="str">
        <f>'Reported burning'!G2433</f>
        <v>ND</v>
      </c>
      <c r="H2427" s="156" t="str">
        <f>'Reported burning'!H2433</f>
        <v>Presence</v>
      </c>
      <c r="I2427" s="5"/>
      <c r="J2427" s="4"/>
      <c r="K2427" s="4"/>
      <c r="L2427" s="4"/>
      <c r="M2427" s="4"/>
      <c r="N2427" s="4"/>
      <c r="O2427" s="4" t="s">
        <v>2362</v>
      </c>
      <c r="P2427" s="4"/>
      <c r="Q2427" s="4"/>
      <c r="R2427" s="4"/>
      <c r="S2427" s="4" t="s">
        <v>2374</v>
      </c>
      <c r="T2427" s="4"/>
      <c r="U2427" s="4"/>
      <c r="V2427" s="4"/>
      <c r="W2427" s="4" t="s">
        <v>2375</v>
      </c>
      <c r="X2427" s="4"/>
      <c r="Y2427" s="4"/>
      <c r="Z2427" s="4" t="s">
        <v>64</v>
      </c>
      <c r="AA2427" s="4" t="s">
        <v>6461</v>
      </c>
      <c r="AB2427" s="4"/>
    </row>
    <row r="2428" spans="1:28" ht="29">
      <c r="A2428" s="156" t="str">
        <f>'Reported burning'!A2434</f>
        <v>275i</v>
      </c>
      <c r="B2428" s="156" t="str">
        <f>'Reported burning'!B2434</f>
        <v>275i.4</v>
      </c>
      <c r="C2428" s="156" t="str">
        <f>'Reported burning'!C2434</f>
        <v>Human, deliberate</v>
      </c>
      <c r="D2428" s="156" t="str">
        <f>'Reported burning'!D2434</f>
        <v>Crop residue burning</v>
      </c>
      <c r="E2428" s="156" t="str">
        <f>'Reported burning'!E2434</f>
        <v>Cropping, Monoculture, Market-oriented</v>
      </c>
      <c r="F2428" s="156" t="str">
        <f>'Reported burning'!F2434</f>
        <v>Cropland</v>
      </c>
      <c r="G2428" s="156" t="str">
        <f>'Reported burning'!G2434</f>
        <v>ND</v>
      </c>
      <c r="H2428" s="156" t="str">
        <f>'Reported burning'!H2434</f>
        <v>Presence</v>
      </c>
      <c r="I2428" s="5"/>
      <c r="J2428" s="4"/>
      <c r="K2428" s="4"/>
      <c r="L2428" s="4"/>
      <c r="M2428" s="4"/>
      <c r="N2428" s="4"/>
      <c r="O2428" s="4" t="s">
        <v>2362</v>
      </c>
      <c r="P2428" s="4"/>
      <c r="Q2428" s="4"/>
      <c r="R2428" s="4"/>
      <c r="S2428" s="4" t="s">
        <v>2374</v>
      </c>
      <c r="T2428" s="4"/>
      <c r="U2428" s="4"/>
      <c r="V2428" s="4"/>
      <c r="W2428" s="4" t="s">
        <v>2375</v>
      </c>
      <c r="X2428" s="4"/>
      <c r="Y2428" s="4"/>
      <c r="Z2428" s="4" t="s">
        <v>64</v>
      </c>
      <c r="AA2428" s="4" t="s">
        <v>6462</v>
      </c>
      <c r="AB2428" s="4"/>
    </row>
    <row r="2429" spans="1:28" ht="29">
      <c r="A2429" s="156" t="str">
        <f>'Reported burning'!A2435</f>
        <v>275j</v>
      </c>
      <c r="B2429" s="156" t="str">
        <f>'Reported burning'!B2435</f>
        <v>275j.1</v>
      </c>
      <c r="C2429" s="156" t="str">
        <f>'Reported burning'!C2435</f>
        <v>Human, deliberate</v>
      </c>
      <c r="D2429" s="156" t="str">
        <f>'Reported burning'!D2435</f>
        <v>Crop residue burning</v>
      </c>
      <c r="E2429" s="156" t="str">
        <f>'Reported burning'!E2435</f>
        <v>Cropping, Monoculture, Subsistence-oriented</v>
      </c>
      <c r="F2429" s="156" t="str">
        <f>'Reported burning'!F2435</f>
        <v>Cropland</v>
      </c>
      <c r="G2429" s="156" t="str">
        <f>'Reported burning'!G2435</f>
        <v>ND</v>
      </c>
      <c r="H2429" s="156" t="str">
        <f>'Reported burning'!H2435</f>
        <v>Presence</v>
      </c>
      <c r="I2429" s="5"/>
      <c r="J2429" s="4"/>
      <c r="K2429" s="4"/>
      <c r="L2429" s="4"/>
      <c r="M2429" s="4"/>
      <c r="N2429" s="4"/>
      <c r="O2429" s="4" t="s">
        <v>2362</v>
      </c>
      <c r="P2429" s="4"/>
      <c r="Q2429" s="4"/>
      <c r="R2429" s="4"/>
      <c r="S2429" s="4" t="s">
        <v>2374</v>
      </c>
      <c r="T2429" s="4"/>
      <c r="U2429" s="4"/>
      <c r="V2429" s="4"/>
      <c r="W2429" s="4" t="s">
        <v>2375</v>
      </c>
      <c r="X2429" s="4"/>
      <c r="Y2429" s="4"/>
      <c r="Z2429" s="4" t="s">
        <v>64</v>
      </c>
      <c r="AA2429" s="4" t="s">
        <v>6463</v>
      </c>
      <c r="AB2429" s="4"/>
    </row>
    <row r="2430" spans="1:28" ht="29">
      <c r="A2430" s="156" t="str">
        <f>'Reported burning'!A2436</f>
        <v>275j</v>
      </c>
      <c r="B2430" s="156" t="str">
        <f>'Reported burning'!B2436</f>
        <v>275j.2</v>
      </c>
      <c r="C2430" s="156" t="str">
        <f>'Reported burning'!C2436</f>
        <v>Human, deliberate</v>
      </c>
      <c r="D2430" s="156" t="str">
        <f>'Reported burning'!D2436</f>
        <v>Crop residue burning</v>
      </c>
      <c r="E2430" s="156" t="str">
        <f>'Reported burning'!E2436</f>
        <v>Cropping, Monoculture, Market-oriented</v>
      </c>
      <c r="F2430" s="156" t="str">
        <f>'Reported burning'!F2436</f>
        <v>Cropland</v>
      </c>
      <c r="G2430" s="156" t="str">
        <f>'Reported burning'!G2436</f>
        <v>ND</v>
      </c>
      <c r="H2430" s="156" t="str">
        <f>'Reported burning'!H2436</f>
        <v>Presence</v>
      </c>
      <c r="I2430" s="5"/>
      <c r="J2430" s="4"/>
      <c r="K2430" s="4"/>
      <c r="L2430" s="4"/>
      <c r="M2430" s="4"/>
      <c r="N2430" s="4"/>
      <c r="O2430" s="4" t="s">
        <v>2362</v>
      </c>
      <c r="P2430" s="4"/>
      <c r="Q2430" s="4"/>
      <c r="R2430" s="4"/>
      <c r="S2430" s="4" t="s">
        <v>2374</v>
      </c>
      <c r="T2430" s="4"/>
      <c r="U2430" s="4"/>
      <c r="V2430" s="4"/>
      <c r="W2430" s="4" t="s">
        <v>2375</v>
      </c>
      <c r="X2430" s="4"/>
      <c r="Y2430" s="4"/>
      <c r="Z2430" s="4" t="s">
        <v>64</v>
      </c>
      <c r="AA2430" s="4" t="s">
        <v>6463</v>
      </c>
      <c r="AB2430" s="4"/>
    </row>
    <row r="2431" spans="1:28" ht="29">
      <c r="A2431" s="156" t="str">
        <f>'Reported burning'!A2437</f>
        <v>275k</v>
      </c>
      <c r="B2431" s="156" t="str">
        <f>'Reported burning'!B2437</f>
        <v>275k.1</v>
      </c>
      <c r="C2431" s="156" t="str">
        <f>'Reported burning'!C2437</f>
        <v>Human, deliberate</v>
      </c>
      <c r="D2431" s="156" t="str">
        <f>'Reported burning'!D2437</f>
        <v>Crop residue burning</v>
      </c>
      <c r="E2431" s="156" t="str">
        <f>'Reported burning'!E2437</f>
        <v>Cropping, Monoculture, Market-oriented</v>
      </c>
      <c r="F2431" s="156" t="str">
        <f>'Reported burning'!F2437</f>
        <v>Cropland</v>
      </c>
      <c r="G2431" s="156" t="str">
        <f>'Reported burning'!G2437</f>
        <v>ND</v>
      </c>
      <c r="H2431" s="156" t="str">
        <f>'Reported burning'!H2437</f>
        <v>Presence</v>
      </c>
      <c r="I2431" s="5"/>
      <c r="J2431" s="4"/>
      <c r="K2431" s="4"/>
      <c r="L2431" s="4"/>
      <c r="M2431" s="4"/>
      <c r="N2431" s="4"/>
      <c r="O2431" s="4" t="s">
        <v>2362</v>
      </c>
      <c r="P2431" s="4"/>
      <c r="Q2431" s="4"/>
      <c r="R2431" s="4"/>
      <c r="S2431" s="4" t="s">
        <v>2374</v>
      </c>
      <c r="T2431" s="4"/>
      <c r="U2431" s="4"/>
      <c r="V2431" s="4"/>
      <c r="W2431" s="4" t="s">
        <v>2375</v>
      </c>
      <c r="X2431" s="4"/>
      <c r="Y2431" s="4"/>
      <c r="Z2431" s="4" t="s">
        <v>64</v>
      </c>
      <c r="AA2431" s="4" t="s">
        <v>6463</v>
      </c>
      <c r="AB2431" s="4"/>
    </row>
    <row r="2432" spans="1:28" ht="29">
      <c r="A2432" s="156" t="str">
        <f>'Reported burning'!A2438</f>
        <v>275k</v>
      </c>
      <c r="B2432" s="156" t="str">
        <f>'Reported burning'!B2438</f>
        <v>275k.2</v>
      </c>
      <c r="C2432" s="156" t="str">
        <f>'Reported burning'!C2438</f>
        <v>Human, deliberate</v>
      </c>
      <c r="D2432" s="156" t="str">
        <f>'Reported burning'!D2438</f>
        <v>Crop residue burning</v>
      </c>
      <c r="E2432" s="156" t="str">
        <f>'Reported burning'!E2438</f>
        <v>Cropping, Monoculture, Subsistence-oriented</v>
      </c>
      <c r="F2432" s="156" t="str">
        <f>'Reported burning'!F2438</f>
        <v>Cropland</v>
      </c>
      <c r="G2432" s="156" t="str">
        <f>'Reported burning'!G2438</f>
        <v>ND</v>
      </c>
      <c r="H2432" s="156" t="str">
        <f>'Reported burning'!H2438</f>
        <v>Presence</v>
      </c>
      <c r="I2432" s="5"/>
      <c r="J2432" s="4"/>
      <c r="K2432" s="4"/>
      <c r="L2432" s="4"/>
      <c r="M2432" s="4"/>
      <c r="N2432" s="4"/>
      <c r="O2432" s="4" t="s">
        <v>2362</v>
      </c>
      <c r="P2432" s="4"/>
      <c r="Q2432" s="4"/>
      <c r="R2432" s="4"/>
      <c r="S2432" s="4" t="s">
        <v>2374</v>
      </c>
      <c r="T2432" s="4"/>
      <c r="U2432" s="4"/>
      <c r="V2432" s="4"/>
      <c r="W2432" s="4" t="s">
        <v>2375</v>
      </c>
      <c r="X2432" s="4"/>
      <c r="Y2432" s="4"/>
      <c r="Z2432" s="4" t="s">
        <v>64</v>
      </c>
      <c r="AA2432" s="4" t="s">
        <v>6463</v>
      </c>
      <c r="AB2432" s="4"/>
    </row>
    <row r="2433" spans="1:28" ht="29">
      <c r="A2433" s="156" t="str">
        <f>'Reported burning'!A2439</f>
        <v>275l</v>
      </c>
      <c r="B2433" s="156" t="str">
        <f>'Reported burning'!B2439</f>
        <v>275l.1</v>
      </c>
      <c r="C2433" s="156" t="str">
        <f>'Reported burning'!C2439</f>
        <v>Human, deliberate</v>
      </c>
      <c r="D2433" s="156" t="str">
        <f>'Reported burning'!D2439</f>
        <v>Crop residue burning</v>
      </c>
      <c r="E2433" s="156" t="str">
        <f>'Reported burning'!E2439</f>
        <v>Cropping, Monoculture, Subsistence-oriented</v>
      </c>
      <c r="F2433" s="156" t="str">
        <f>'Reported burning'!F2439</f>
        <v>Cropland</v>
      </c>
      <c r="G2433" s="156" t="str">
        <f>'Reported burning'!G2439</f>
        <v>ND</v>
      </c>
      <c r="H2433" s="156" t="str">
        <f>'Reported burning'!H2439</f>
        <v>Presence</v>
      </c>
      <c r="I2433" s="5"/>
      <c r="J2433" s="4"/>
      <c r="K2433" s="4"/>
      <c r="L2433" s="4"/>
      <c r="M2433" s="4"/>
      <c r="N2433" s="4"/>
      <c r="O2433" s="4" t="s">
        <v>2362</v>
      </c>
      <c r="P2433" s="4"/>
      <c r="Q2433" s="4"/>
      <c r="R2433" s="4"/>
      <c r="S2433" s="4" t="s">
        <v>2527</v>
      </c>
      <c r="T2433" s="4"/>
      <c r="U2433" s="4"/>
      <c r="V2433" s="4"/>
      <c r="W2433" s="4" t="s">
        <v>2375</v>
      </c>
      <c r="X2433" s="4"/>
      <c r="Y2433" s="4"/>
      <c r="Z2433" s="4" t="s">
        <v>64</v>
      </c>
      <c r="AA2433" s="4" t="s">
        <v>6463</v>
      </c>
      <c r="AB2433" s="4"/>
    </row>
    <row r="2434" spans="1:28" ht="29">
      <c r="A2434" s="156" t="str">
        <f>'Reported burning'!A2440</f>
        <v>275l</v>
      </c>
      <c r="B2434" s="156" t="str">
        <f>'Reported burning'!B2440</f>
        <v>275l.2</v>
      </c>
      <c r="C2434" s="156" t="str">
        <f>'Reported burning'!C2440</f>
        <v>Human, deliberate</v>
      </c>
      <c r="D2434" s="156" t="str">
        <f>'Reported burning'!D2440</f>
        <v>Crop residue burning</v>
      </c>
      <c r="E2434" s="156" t="str">
        <f>'Reported burning'!E2440</f>
        <v>Cropping, Monoculture, Market-oriented</v>
      </c>
      <c r="F2434" s="156" t="str">
        <f>'Reported burning'!F2440</f>
        <v>Cropland</v>
      </c>
      <c r="G2434" s="156" t="str">
        <f>'Reported burning'!G2440</f>
        <v>ND</v>
      </c>
      <c r="H2434" s="156" t="str">
        <f>'Reported burning'!H2440</f>
        <v>Presence</v>
      </c>
      <c r="I2434" s="5"/>
      <c r="J2434" s="4"/>
      <c r="K2434" s="4"/>
      <c r="L2434" s="4"/>
      <c r="M2434" s="4"/>
      <c r="N2434" s="4"/>
      <c r="O2434" s="4" t="s">
        <v>2362</v>
      </c>
      <c r="P2434" s="4"/>
      <c r="Q2434" s="4"/>
      <c r="R2434" s="4"/>
      <c r="S2434" s="4" t="s">
        <v>2527</v>
      </c>
      <c r="T2434" s="4"/>
      <c r="U2434" s="4"/>
      <c r="V2434" s="4"/>
      <c r="W2434" s="4" t="s">
        <v>2375</v>
      </c>
      <c r="X2434" s="4"/>
      <c r="Y2434" s="4"/>
      <c r="Z2434" s="4" t="s">
        <v>64</v>
      </c>
      <c r="AA2434" s="4" t="s">
        <v>6463</v>
      </c>
      <c r="AB2434" s="4"/>
    </row>
    <row r="2435" spans="1:28" ht="29">
      <c r="A2435" s="156" t="str">
        <f>'Reported burning'!A2441</f>
        <v>277aa</v>
      </c>
      <c r="B2435" s="156" t="str">
        <f>'Reported burning'!B2441</f>
        <v>277aa.1</v>
      </c>
      <c r="C2435" s="156" t="str">
        <f>'Reported burning'!C2441</f>
        <v>Human, deliberate</v>
      </c>
      <c r="D2435" s="156" t="str">
        <f>'Reported burning'!D2441</f>
        <v>Crop residue burning</v>
      </c>
      <c r="E2435" s="156" t="str">
        <f>'Reported burning'!E2441</f>
        <v>Cropping, Monoculture, Market-oriented</v>
      </c>
      <c r="F2435" s="156" t="str">
        <f>'Reported burning'!F2441</f>
        <v>Cropland</v>
      </c>
      <c r="G2435" s="156" t="str">
        <f>'Reported burning'!G2441</f>
        <v>ND</v>
      </c>
      <c r="H2435" s="156" t="str">
        <f>'Reported burning'!H2441</f>
        <v>Presence</v>
      </c>
      <c r="I2435" s="5"/>
      <c r="J2435" s="4"/>
      <c r="K2435" s="4"/>
      <c r="L2435" s="4"/>
      <c r="M2435" s="4"/>
      <c r="N2435" s="4"/>
      <c r="O2435" s="4"/>
      <c r="P2435" s="4"/>
      <c r="Q2435" s="4"/>
      <c r="R2435" s="4"/>
      <c r="S2435" s="4" t="s">
        <v>2390</v>
      </c>
      <c r="T2435" s="4"/>
      <c r="U2435" s="4"/>
      <c r="V2435" s="4"/>
      <c r="W2435" s="4" t="s">
        <v>2375</v>
      </c>
      <c r="X2435" s="4"/>
      <c r="Y2435" s="4"/>
      <c r="Z2435" s="4" t="s">
        <v>64</v>
      </c>
      <c r="AA2435" s="4" t="s">
        <v>6464</v>
      </c>
      <c r="AB2435" s="4"/>
    </row>
    <row r="2436" spans="1:28" ht="29">
      <c r="A2436" s="156" t="str">
        <f>'Reported burning'!A2442</f>
        <v>277aa</v>
      </c>
      <c r="B2436" s="156" t="str">
        <f>'Reported burning'!B2442</f>
        <v>277aa.2</v>
      </c>
      <c r="C2436" s="156" t="str">
        <f>'Reported burning'!C2442</f>
        <v>Human, deliberate</v>
      </c>
      <c r="D2436" s="156" t="str">
        <f>'Reported burning'!D2442</f>
        <v>Crop residue burning</v>
      </c>
      <c r="E2436" s="156" t="str">
        <f>'Reported burning'!E2442</f>
        <v>Cropping, Monoculture, Market-oriented</v>
      </c>
      <c r="F2436" s="156" t="str">
        <f>'Reported burning'!F2442</f>
        <v>Cropland</v>
      </c>
      <c r="G2436" s="156" t="str">
        <f>'Reported burning'!G2442</f>
        <v>ND</v>
      </c>
      <c r="H2436" s="156" t="str">
        <f>'Reported burning'!H2442</f>
        <v>Presence</v>
      </c>
      <c r="I2436" s="5"/>
      <c r="J2436" s="4"/>
      <c r="K2436" s="4"/>
      <c r="L2436" s="4"/>
      <c r="M2436" s="4"/>
      <c r="N2436" s="4"/>
      <c r="O2436" s="4"/>
      <c r="P2436" s="4"/>
      <c r="Q2436" s="4"/>
      <c r="R2436" s="4"/>
      <c r="S2436" s="4" t="s">
        <v>2374</v>
      </c>
      <c r="T2436" s="4"/>
      <c r="U2436" s="4"/>
      <c r="V2436" s="4"/>
      <c r="W2436" s="4" t="s">
        <v>2375</v>
      </c>
      <c r="X2436" s="4"/>
      <c r="Y2436" s="4"/>
      <c r="Z2436" s="4" t="s">
        <v>64</v>
      </c>
      <c r="AA2436" s="4" t="s">
        <v>6464</v>
      </c>
      <c r="AB2436" s="4"/>
    </row>
    <row r="2437" spans="1:28" ht="29">
      <c r="A2437" s="156" t="str">
        <f>'Reported burning'!A2443</f>
        <v>277aa</v>
      </c>
      <c r="B2437" s="156" t="str">
        <f>'Reported burning'!B2443</f>
        <v>277aa.3</v>
      </c>
      <c r="C2437" s="156" t="str">
        <f>'Reported burning'!C2443</f>
        <v>Human, deliberate</v>
      </c>
      <c r="D2437" s="156" t="str">
        <f>'Reported burning'!D2443</f>
        <v>Crop residue burning</v>
      </c>
      <c r="E2437" s="156" t="str">
        <f>'Reported burning'!E2443</f>
        <v>Cropping, Monoculture, Market-oriented</v>
      </c>
      <c r="F2437" s="156" t="str">
        <f>'Reported burning'!F2443</f>
        <v>Cropland</v>
      </c>
      <c r="G2437" s="156" t="str">
        <f>'Reported burning'!G2443</f>
        <v>ND</v>
      </c>
      <c r="H2437" s="156" t="str">
        <f>'Reported burning'!H2443</f>
        <v>Presence</v>
      </c>
      <c r="I2437" s="5"/>
      <c r="J2437" s="4"/>
      <c r="K2437" s="4"/>
      <c r="L2437" s="4"/>
      <c r="M2437" s="4"/>
      <c r="N2437" s="4"/>
      <c r="O2437" s="4"/>
      <c r="P2437" s="4"/>
      <c r="Q2437" s="4"/>
      <c r="R2437" s="4"/>
      <c r="S2437" s="4"/>
      <c r="T2437" s="4"/>
      <c r="U2437" s="4"/>
      <c r="V2437" s="4"/>
      <c r="W2437" s="4" t="s">
        <v>2375</v>
      </c>
      <c r="X2437" s="4"/>
      <c r="Y2437" s="4"/>
      <c r="Z2437" s="4" t="s">
        <v>64</v>
      </c>
      <c r="AA2437" s="4" t="s">
        <v>6464</v>
      </c>
      <c r="AB2437" s="4"/>
    </row>
    <row r="2438" spans="1:28" ht="29">
      <c r="A2438" s="156" t="str">
        <f>'Reported burning'!A2444</f>
        <v>277aa</v>
      </c>
      <c r="B2438" s="156" t="str">
        <f>'Reported burning'!B2444</f>
        <v>277aa.4</v>
      </c>
      <c r="C2438" s="156" t="str">
        <f>'Reported burning'!C2444</f>
        <v>Human, deliberate</v>
      </c>
      <c r="D2438" s="156" t="str">
        <f>'Reported burning'!D2444</f>
        <v>Crop residue burning</v>
      </c>
      <c r="E2438" s="156" t="str">
        <f>'Reported burning'!E2444</f>
        <v>Cropping, Monoculture, Subsistence-oriented</v>
      </c>
      <c r="F2438" s="156" t="str">
        <f>'Reported burning'!F2444</f>
        <v>Cropland</v>
      </c>
      <c r="G2438" s="156" t="str">
        <f>'Reported burning'!G2444</f>
        <v>ND</v>
      </c>
      <c r="H2438" s="156" t="str">
        <f>'Reported burning'!H2444</f>
        <v>Presence</v>
      </c>
      <c r="I2438" s="5"/>
      <c r="J2438" s="4"/>
      <c r="K2438" s="4"/>
      <c r="L2438" s="4"/>
      <c r="M2438" s="4"/>
      <c r="N2438" s="4"/>
      <c r="O2438" s="4"/>
      <c r="P2438" s="4"/>
      <c r="Q2438" s="4"/>
      <c r="R2438" s="4"/>
      <c r="S2438" s="4" t="s">
        <v>2390</v>
      </c>
      <c r="T2438" s="4"/>
      <c r="U2438" s="4"/>
      <c r="V2438" s="4"/>
      <c r="W2438" s="4" t="s">
        <v>2375</v>
      </c>
      <c r="X2438" s="4"/>
      <c r="Y2438" s="4"/>
      <c r="Z2438" s="4" t="s">
        <v>64</v>
      </c>
      <c r="AA2438" s="4" t="s">
        <v>6464</v>
      </c>
      <c r="AB2438" s="4"/>
    </row>
    <row r="2439" spans="1:28" ht="29">
      <c r="A2439" s="156" t="str">
        <f>'Reported burning'!A2445</f>
        <v>277aa</v>
      </c>
      <c r="B2439" s="156" t="str">
        <f>'Reported burning'!B2445</f>
        <v>277aa.5</v>
      </c>
      <c r="C2439" s="156" t="str">
        <f>'Reported burning'!C2445</f>
        <v>Human, deliberate</v>
      </c>
      <c r="D2439" s="156" t="str">
        <f>'Reported burning'!D2445</f>
        <v>Crop residue burning</v>
      </c>
      <c r="E2439" s="156" t="str">
        <f>'Reported burning'!E2445</f>
        <v>Cropping, Monoculture, Subsistence-oriented</v>
      </c>
      <c r="F2439" s="156" t="str">
        <f>'Reported burning'!F2445</f>
        <v>Cropland</v>
      </c>
      <c r="G2439" s="156" t="str">
        <f>'Reported burning'!G2445</f>
        <v>ND</v>
      </c>
      <c r="H2439" s="156" t="str">
        <f>'Reported burning'!H2445</f>
        <v>Presence</v>
      </c>
      <c r="I2439" s="5"/>
      <c r="J2439" s="4"/>
      <c r="K2439" s="4"/>
      <c r="L2439" s="4"/>
      <c r="M2439" s="4"/>
      <c r="N2439" s="4"/>
      <c r="O2439" s="4"/>
      <c r="P2439" s="4"/>
      <c r="Q2439" s="4"/>
      <c r="R2439" s="4"/>
      <c r="S2439" s="4" t="s">
        <v>2374</v>
      </c>
      <c r="T2439" s="4"/>
      <c r="U2439" s="4"/>
      <c r="V2439" s="4"/>
      <c r="W2439" s="4" t="s">
        <v>2375</v>
      </c>
      <c r="X2439" s="4"/>
      <c r="Y2439" s="4"/>
      <c r="Z2439" s="4" t="s">
        <v>64</v>
      </c>
      <c r="AA2439" s="4" t="s">
        <v>6464</v>
      </c>
      <c r="AB2439" s="4"/>
    </row>
    <row r="2440" spans="1:28" ht="29">
      <c r="A2440" s="156" t="str">
        <f>'Reported burning'!A2446</f>
        <v>277aa</v>
      </c>
      <c r="B2440" s="156" t="str">
        <f>'Reported burning'!B2446</f>
        <v>277aa.6</v>
      </c>
      <c r="C2440" s="156" t="str">
        <f>'Reported burning'!C2446</f>
        <v>Human, deliberate</v>
      </c>
      <c r="D2440" s="156" t="str">
        <f>'Reported burning'!D2446</f>
        <v>Crop residue burning</v>
      </c>
      <c r="E2440" s="156" t="str">
        <f>'Reported burning'!E2446</f>
        <v>Cropping, Monoculture, Subsistence-oriented</v>
      </c>
      <c r="F2440" s="156" t="str">
        <f>'Reported burning'!F2446</f>
        <v>Cropland</v>
      </c>
      <c r="G2440" s="156" t="str">
        <f>'Reported burning'!G2446</f>
        <v>ND</v>
      </c>
      <c r="H2440" s="156" t="str">
        <f>'Reported burning'!H2446</f>
        <v>Presence</v>
      </c>
      <c r="I2440" s="5"/>
      <c r="J2440" s="4"/>
      <c r="K2440" s="4"/>
      <c r="L2440" s="4"/>
      <c r="M2440" s="4"/>
      <c r="N2440" s="4"/>
      <c r="O2440" s="4"/>
      <c r="P2440" s="4"/>
      <c r="Q2440" s="4"/>
      <c r="R2440" s="4"/>
      <c r="S2440" s="4"/>
      <c r="T2440" s="21" t="s">
        <v>2276</v>
      </c>
      <c r="U2440" s="21" t="s">
        <v>2276</v>
      </c>
      <c r="V2440" s="21" t="s">
        <v>2276</v>
      </c>
      <c r="W2440" s="4" t="s">
        <v>2375</v>
      </c>
      <c r="X2440" s="4"/>
      <c r="Y2440" s="4"/>
      <c r="Z2440" s="4" t="s">
        <v>64</v>
      </c>
      <c r="AA2440" s="4" t="s">
        <v>6464</v>
      </c>
      <c r="AB2440" s="4"/>
    </row>
    <row r="2441" spans="1:28" ht="29">
      <c r="A2441" s="156" t="str">
        <f>'Reported burning'!A2447</f>
        <v>277ab</v>
      </c>
      <c r="B2441" s="156" t="str">
        <f>'Reported burning'!B2447</f>
        <v>277ab.1</v>
      </c>
      <c r="C2441" s="156" t="str">
        <f>'Reported burning'!C2447</f>
        <v>Human, deliberate</v>
      </c>
      <c r="D2441" s="156" t="str">
        <f>'Reported burning'!D2447</f>
        <v>Crop residue burning</v>
      </c>
      <c r="E2441" s="156" t="str">
        <f>'Reported burning'!E2447</f>
        <v>Cropping, Monoculture, Market-oriented</v>
      </c>
      <c r="F2441" s="156" t="str">
        <f>'Reported burning'!F2447</f>
        <v>Cropland</v>
      </c>
      <c r="G2441" s="156" t="str">
        <f>'Reported burning'!G2447</f>
        <v>ND</v>
      </c>
      <c r="H2441" s="156" t="str">
        <f>'Reported burning'!H2447</f>
        <v>Presence</v>
      </c>
      <c r="I2441" s="5"/>
      <c r="J2441" s="4"/>
      <c r="K2441" s="4"/>
      <c r="L2441" s="4"/>
      <c r="M2441" s="4"/>
      <c r="N2441" s="4"/>
      <c r="O2441" s="4"/>
      <c r="P2441" s="4"/>
      <c r="Q2441" s="4"/>
      <c r="R2441" s="4"/>
      <c r="S2441" s="4" t="s">
        <v>2390</v>
      </c>
      <c r="T2441" s="21" t="s">
        <v>2276</v>
      </c>
      <c r="U2441" s="21" t="s">
        <v>2276</v>
      </c>
      <c r="V2441" s="21" t="s">
        <v>2276</v>
      </c>
      <c r="W2441" s="4" t="s">
        <v>2375</v>
      </c>
      <c r="X2441" s="4"/>
      <c r="Y2441" s="4"/>
      <c r="Z2441" s="4" t="s">
        <v>64</v>
      </c>
      <c r="AA2441" s="4" t="s">
        <v>6464</v>
      </c>
      <c r="AB2441" s="4"/>
    </row>
    <row r="2442" spans="1:28" ht="29">
      <c r="A2442" s="156" t="str">
        <f>'Reported burning'!A2448</f>
        <v>277ab</v>
      </c>
      <c r="B2442" s="156" t="str">
        <f>'Reported burning'!B2448</f>
        <v>277ab.2</v>
      </c>
      <c r="C2442" s="156" t="str">
        <f>'Reported burning'!C2448</f>
        <v>Human, deliberate</v>
      </c>
      <c r="D2442" s="156" t="str">
        <f>'Reported burning'!D2448</f>
        <v>Crop residue burning</v>
      </c>
      <c r="E2442" s="156" t="str">
        <f>'Reported burning'!E2448</f>
        <v>Cropping, Monoculture, Market-oriented</v>
      </c>
      <c r="F2442" s="156" t="str">
        <f>'Reported burning'!F2448</f>
        <v>Cropland</v>
      </c>
      <c r="G2442" s="156" t="str">
        <f>'Reported burning'!G2448</f>
        <v>ND</v>
      </c>
      <c r="H2442" s="156" t="str">
        <f>'Reported burning'!H2448</f>
        <v>Presence</v>
      </c>
      <c r="I2442" s="5"/>
      <c r="J2442" s="4"/>
      <c r="K2442" s="4"/>
      <c r="L2442" s="4"/>
      <c r="M2442" s="4"/>
      <c r="N2442" s="4"/>
      <c r="O2442" s="4"/>
      <c r="P2442" s="4"/>
      <c r="Q2442" s="4"/>
      <c r="R2442" s="4"/>
      <c r="S2442" s="4" t="s">
        <v>2374</v>
      </c>
      <c r="T2442" s="21" t="s">
        <v>2276</v>
      </c>
      <c r="U2442" s="21" t="s">
        <v>2276</v>
      </c>
      <c r="V2442" s="21" t="s">
        <v>2276</v>
      </c>
      <c r="W2442" s="4" t="s">
        <v>2375</v>
      </c>
      <c r="X2442" s="4"/>
      <c r="Y2442" s="4"/>
      <c r="Z2442" s="4" t="s">
        <v>64</v>
      </c>
      <c r="AA2442" s="4" t="s">
        <v>6464</v>
      </c>
      <c r="AB2442" s="4"/>
    </row>
    <row r="2443" spans="1:28" ht="29">
      <c r="A2443" s="156" t="str">
        <f>'Reported burning'!A2449</f>
        <v>277ab</v>
      </c>
      <c r="B2443" s="156" t="str">
        <f>'Reported burning'!B2449</f>
        <v>277ab.3</v>
      </c>
      <c r="C2443" s="156" t="str">
        <f>'Reported burning'!C2449</f>
        <v>Human, deliberate</v>
      </c>
      <c r="D2443" s="156" t="str">
        <f>'Reported burning'!D2449</f>
        <v>Crop residue burning</v>
      </c>
      <c r="E2443" s="156" t="str">
        <f>'Reported burning'!E2449</f>
        <v>Cropping, Monoculture, Market-oriented</v>
      </c>
      <c r="F2443" s="156" t="str">
        <f>'Reported burning'!F2449</f>
        <v>Cropland</v>
      </c>
      <c r="G2443" s="156" t="str">
        <f>'Reported burning'!G2449</f>
        <v>ND</v>
      </c>
      <c r="H2443" s="156" t="str">
        <f>'Reported burning'!H2449</f>
        <v>Presence</v>
      </c>
      <c r="I2443" s="5"/>
      <c r="J2443" s="4"/>
      <c r="K2443" s="4"/>
      <c r="L2443" s="4"/>
      <c r="M2443" s="4"/>
      <c r="N2443" s="4"/>
      <c r="O2443" s="4"/>
      <c r="P2443" s="4"/>
      <c r="Q2443" s="4"/>
      <c r="R2443" s="4"/>
      <c r="S2443" s="4"/>
      <c r="T2443" s="21" t="s">
        <v>2276</v>
      </c>
      <c r="U2443" s="21" t="s">
        <v>2276</v>
      </c>
      <c r="V2443" s="21" t="s">
        <v>2276</v>
      </c>
      <c r="W2443" s="4" t="s">
        <v>2375</v>
      </c>
      <c r="X2443" s="4"/>
      <c r="Y2443" s="4"/>
      <c r="Z2443" s="4" t="s">
        <v>64</v>
      </c>
      <c r="AA2443" s="4" t="s">
        <v>6464</v>
      </c>
      <c r="AB2443" s="4"/>
    </row>
    <row r="2444" spans="1:28" ht="29">
      <c r="A2444" s="156" t="str">
        <f>'Reported burning'!A2450</f>
        <v>277ab</v>
      </c>
      <c r="B2444" s="156" t="str">
        <f>'Reported burning'!B2450</f>
        <v>277ab.4</v>
      </c>
      <c r="C2444" s="156" t="str">
        <f>'Reported burning'!C2450</f>
        <v>Human, deliberate</v>
      </c>
      <c r="D2444" s="156" t="str">
        <f>'Reported burning'!D2450</f>
        <v>Crop residue burning</v>
      </c>
      <c r="E2444" s="156" t="str">
        <f>'Reported burning'!E2450</f>
        <v>Cropping, Monoculture, Subsistence-oriented</v>
      </c>
      <c r="F2444" s="156" t="str">
        <f>'Reported burning'!F2450</f>
        <v>Cropland</v>
      </c>
      <c r="G2444" s="156" t="str">
        <f>'Reported burning'!G2450</f>
        <v>ND</v>
      </c>
      <c r="H2444" s="156" t="str">
        <f>'Reported burning'!H2450</f>
        <v>Presence</v>
      </c>
      <c r="I2444" s="5"/>
      <c r="J2444" s="4"/>
      <c r="K2444" s="4"/>
      <c r="L2444" s="4"/>
      <c r="M2444" s="4"/>
      <c r="N2444" s="4"/>
      <c r="O2444" s="4"/>
      <c r="P2444" s="4"/>
      <c r="Q2444" s="4"/>
      <c r="R2444" s="4"/>
      <c r="S2444" s="4" t="s">
        <v>2390</v>
      </c>
      <c r="T2444" s="21" t="s">
        <v>2276</v>
      </c>
      <c r="U2444" s="21" t="s">
        <v>2276</v>
      </c>
      <c r="V2444" s="21" t="s">
        <v>2276</v>
      </c>
      <c r="W2444" s="4" t="s">
        <v>2375</v>
      </c>
      <c r="X2444" s="4"/>
      <c r="Y2444" s="4"/>
      <c r="Z2444" s="4" t="s">
        <v>64</v>
      </c>
      <c r="AA2444" s="4" t="s">
        <v>6464</v>
      </c>
      <c r="AB2444" s="4"/>
    </row>
    <row r="2445" spans="1:28" ht="29">
      <c r="A2445" s="156" t="str">
        <f>'Reported burning'!A2451</f>
        <v>277ab</v>
      </c>
      <c r="B2445" s="156" t="str">
        <f>'Reported burning'!B2451</f>
        <v>277ab.5</v>
      </c>
      <c r="C2445" s="156" t="str">
        <f>'Reported burning'!C2451</f>
        <v>Human, deliberate</v>
      </c>
      <c r="D2445" s="156" t="str">
        <f>'Reported burning'!D2451</f>
        <v>Crop residue burning</v>
      </c>
      <c r="E2445" s="156" t="str">
        <f>'Reported burning'!E2451</f>
        <v>Cropping, Monoculture, Subsistence-oriented</v>
      </c>
      <c r="F2445" s="156" t="str">
        <f>'Reported burning'!F2451</f>
        <v>Cropland</v>
      </c>
      <c r="G2445" s="156" t="str">
        <f>'Reported burning'!G2451</f>
        <v>ND</v>
      </c>
      <c r="H2445" s="156" t="str">
        <f>'Reported burning'!H2451</f>
        <v>Presence</v>
      </c>
      <c r="I2445" s="5"/>
      <c r="J2445" s="4"/>
      <c r="K2445" s="4"/>
      <c r="L2445" s="4"/>
      <c r="M2445" s="4"/>
      <c r="N2445" s="4"/>
      <c r="O2445" s="4"/>
      <c r="P2445" s="4"/>
      <c r="Q2445" s="4"/>
      <c r="R2445" s="4"/>
      <c r="S2445" s="4" t="s">
        <v>2374</v>
      </c>
      <c r="T2445" s="21" t="s">
        <v>2276</v>
      </c>
      <c r="U2445" s="21" t="s">
        <v>2276</v>
      </c>
      <c r="V2445" s="21" t="s">
        <v>2276</v>
      </c>
      <c r="W2445" s="4" t="s">
        <v>2375</v>
      </c>
      <c r="X2445" s="4"/>
      <c r="Y2445" s="4"/>
      <c r="Z2445" s="4" t="s">
        <v>64</v>
      </c>
      <c r="AA2445" s="4" t="s">
        <v>6464</v>
      </c>
      <c r="AB2445" s="4"/>
    </row>
    <row r="2446" spans="1:28" ht="29">
      <c r="A2446" s="156" t="str">
        <f>'Reported burning'!A2452</f>
        <v>277ab</v>
      </c>
      <c r="B2446" s="156" t="str">
        <f>'Reported burning'!B2452</f>
        <v>277ab.6</v>
      </c>
      <c r="C2446" s="156" t="str">
        <f>'Reported burning'!C2452</f>
        <v>Human, deliberate</v>
      </c>
      <c r="D2446" s="156" t="str">
        <f>'Reported burning'!D2452</f>
        <v>Crop residue burning</v>
      </c>
      <c r="E2446" s="156" t="str">
        <f>'Reported burning'!E2452</f>
        <v>Cropping, Monoculture, Subsistence-oriented</v>
      </c>
      <c r="F2446" s="156" t="str">
        <f>'Reported burning'!F2452</f>
        <v>Cropland</v>
      </c>
      <c r="G2446" s="156" t="str">
        <f>'Reported burning'!G2452</f>
        <v>ND</v>
      </c>
      <c r="H2446" s="156" t="str">
        <f>'Reported burning'!H2452</f>
        <v>Presence</v>
      </c>
      <c r="I2446" s="5"/>
      <c r="J2446" s="4"/>
      <c r="K2446" s="4"/>
      <c r="L2446" s="4"/>
      <c r="M2446" s="4"/>
      <c r="N2446" s="4"/>
      <c r="O2446" s="4"/>
      <c r="P2446" s="4"/>
      <c r="Q2446" s="4"/>
      <c r="R2446" s="4"/>
      <c r="S2446" s="4"/>
      <c r="T2446" s="21" t="s">
        <v>2276</v>
      </c>
      <c r="U2446" s="21" t="s">
        <v>2276</v>
      </c>
      <c r="V2446" s="21" t="s">
        <v>2276</v>
      </c>
      <c r="W2446" s="4" t="s">
        <v>2375</v>
      </c>
      <c r="X2446" s="4"/>
      <c r="Y2446" s="4"/>
      <c r="Z2446" s="4" t="s">
        <v>64</v>
      </c>
      <c r="AA2446" s="4" t="s">
        <v>6464</v>
      </c>
      <c r="AB2446" s="4"/>
    </row>
    <row r="2447" spans="1:28" ht="29">
      <c r="A2447" s="156" t="str">
        <f>'Reported burning'!A2453</f>
        <v>277ba</v>
      </c>
      <c r="B2447" s="156" t="str">
        <f>'Reported burning'!B2453</f>
        <v>277ba.1</v>
      </c>
      <c r="C2447" s="156" t="str">
        <f>'Reported burning'!C2453</f>
        <v>Human, deliberate</v>
      </c>
      <c r="D2447" s="156" t="str">
        <f>'Reported burning'!D2453</f>
        <v>Crop residue burning</v>
      </c>
      <c r="E2447" s="156" t="str">
        <f>'Reported burning'!E2453</f>
        <v>Cropping, Monoculture, Market-oriented</v>
      </c>
      <c r="F2447" s="156" t="str">
        <f>'Reported burning'!F2453</f>
        <v>Cropland</v>
      </c>
      <c r="G2447" s="156" t="str">
        <f>'Reported burning'!G2453</f>
        <v>ND</v>
      </c>
      <c r="H2447" s="156" t="str">
        <f>'Reported burning'!H2453</f>
        <v>Presence</v>
      </c>
      <c r="I2447" s="5"/>
      <c r="J2447" s="4"/>
      <c r="K2447" s="4"/>
      <c r="L2447" s="4"/>
      <c r="M2447" s="4"/>
      <c r="N2447" s="4"/>
      <c r="O2447" s="4"/>
      <c r="P2447" s="4"/>
      <c r="Q2447" s="4"/>
      <c r="R2447" s="4"/>
      <c r="S2447" s="4" t="s">
        <v>2390</v>
      </c>
      <c r="T2447" s="21" t="s">
        <v>2276</v>
      </c>
      <c r="U2447" s="21" t="s">
        <v>2276</v>
      </c>
      <c r="V2447" s="21" t="s">
        <v>2276</v>
      </c>
      <c r="W2447" s="4" t="s">
        <v>2375</v>
      </c>
      <c r="X2447" s="4"/>
      <c r="Y2447" s="4"/>
      <c r="Z2447" s="4" t="s">
        <v>64</v>
      </c>
      <c r="AA2447" s="4" t="s">
        <v>6464</v>
      </c>
      <c r="AB2447" s="4"/>
    </row>
    <row r="2448" spans="1:28" ht="29">
      <c r="A2448" s="156" t="str">
        <f>'Reported burning'!A2454</f>
        <v>277ba</v>
      </c>
      <c r="B2448" s="156" t="str">
        <f>'Reported burning'!B2454</f>
        <v>277ba.2</v>
      </c>
      <c r="C2448" s="156" t="str">
        <f>'Reported burning'!C2454</f>
        <v>Human, deliberate</v>
      </c>
      <c r="D2448" s="156" t="str">
        <f>'Reported burning'!D2454</f>
        <v>Crop residue burning</v>
      </c>
      <c r="E2448" s="156" t="str">
        <f>'Reported burning'!E2454</f>
        <v>Cropping, Monoculture, Market-oriented</v>
      </c>
      <c r="F2448" s="156" t="str">
        <f>'Reported burning'!F2454</f>
        <v>Cropland</v>
      </c>
      <c r="G2448" s="156" t="str">
        <f>'Reported burning'!G2454</f>
        <v>ND</v>
      </c>
      <c r="H2448" s="156" t="str">
        <f>'Reported burning'!H2454</f>
        <v>Presence</v>
      </c>
      <c r="I2448" s="5"/>
      <c r="J2448" s="4"/>
      <c r="K2448" s="4"/>
      <c r="L2448" s="4"/>
      <c r="M2448" s="4"/>
      <c r="N2448" s="4"/>
      <c r="O2448" s="4"/>
      <c r="P2448" s="4"/>
      <c r="Q2448" s="4"/>
      <c r="R2448" s="4"/>
      <c r="S2448" s="4" t="s">
        <v>2527</v>
      </c>
      <c r="T2448" s="21" t="s">
        <v>2276</v>
      </c>
      <c r="U2448" s="21" t="s">
        <v>2276</v>
      </c>
      <c r="V2448" s="21" t="s">
        <v>2276</v>
      </c>
      <c r="W2448" s="4" t="s">
        <v>2375</v>
      </c>
      <c r="X2448" s="4"/>
      <c r="Y2448" s="4"/>
      <c r="Z2448" s="4" t="s">
        <v>64</v>
      </c>
      <c r="AA2448" s="4" t="s">
        <v>6464</v>
      </c>
      <c r="AB2448" s="4"/>
    </row>
    <row r="2449" spans="1:28" ht="29">
      <c r="A2449" s="156" t="str">
        <f>'Reported burning'!A2455</f>
        <v>277ba</v>
      </c>
      <c r="B2449" s="156" t="str">
        <f>'Reported burning'!B2455</f>
        <v>277ba.3</v>
      </c>
      <c r="C2449" s="156" t="str">
        <f>'Reported burning'!C2455</f>
        <v>Human, deliberate</v>
      </c>
      <c r="D2449" s="156" t="str">
        <f>'Reported burning'!D2455</f>
        <v>Crop residue burning</v>
      </c>
      <c r="E2449" s="156" t="str">
        <f>'Reported burning'!E2455</f>
        <v>Cropping, Monoculture, Market-oriented</v>
      </c>
      <c r="F2449" s="156" t="str">
        <f>'Reported burning'!F2455</f>
        <v>Cropland</v>
      </c>
      <c r="G2449" s="156" t="str">
        <f>'Reported burning'!G2455</f>
        <v>ND</v>
      </c>
      <c r="H2449" s="156" t="str">
        <f>'Reported burning'!H2455</f>
        <v>Presence</v>
      </c>
      <c r="I2449" s="5"/>
      <c r="J2449" s="4"/>
      <c r="K2449" s="4"/>
      <c r="L2449" s="4"/>
      <c r="M2449" s="4"/>
      <c r="N2449" s="4"/>
      <c r="O2449" s="4"/>
      <c r="P2449" s="4"/>
      <c r="Q2449" s="4"/>
      <c r="R2449" s="4"/>
      <c r="S2449" s="4"/>
      <c r="T2449" s="21" t="s">
        <v>2276</v>
      </c>
      <c r="U2449" s="21" t="s">
        <v>2276</v>
      </c>
      <c r="V2449" s="21" t="s">
        <v>2276</v>
      </c>
      <c r="W2449" s="4" t="s">
        <v>2375</v>
      </c>
      <c r="X2449" s="4"/>
      <c r="Y2449" s="4"/>
      <c r="Z2449" s="4" t="s">
        <v>64</v>
      </c>
      <c r="AA2449" s="4" t="s">
        <v>6464</v>
      </c>
      <c r="AB2449" s="4"/>
    </row>
    <row r="2450" spans="1:28" ht="29">
      <c r="A2450" s="156" t="str">
        <f>'Reported burning'!A2456</f>
        <v>277ba</v>
      </c>
      <c r="B2450" s="156" t="str">
        <f>'Reported burning'!B2456</f>
        <v>277ba.4</v>
      </c>
      <c r="C2450" s="156" t="str">
        <f>'Reported burning'!C2456</f>
        <v>Human, deliberate</v>
      </c>
      <c r="D2450" s="156" t="str">
        <f>'Reported burning'!D2456</f>
        <v>Crop residue burning</v>
      </c>
      <c r="E2450" s="156" t="str">
        <f>'Reported burning'!E2456</f>
        <v>Cropping, Monoculture, Subsistence-oriented</v>
      </c>
      <c r="F2450" s="156" t="str">
        <f>'Reported burning'!F2456</f>
        <v>Cropland</v>
      </c>
      <c r="G2450" s="156" t="str">
        <f>'Reported burning'!G2456</f>
        <v>ND</v>
      </c>
      <c r="H2450" s="156" t="str">
        <f>'Reported burning'!H2456</f>
        <v>Presence</v>
      </c>
      <c r="I2450" s="5"/>
      <c r="J2450" s="4"/>
      <c r="K2450" s="4"/>
      <c r="L2450" s="4"/>
      <c r="M2450" s="4"/>
      <c r="N2450" s="4"/>
      <c r="O2450" s="4"/>
      <c r="P2450" s="4"/>
      <c r="Q2450" s="4"/>
      <c r="R2450" s="4"/>
      <c r="S2450" s="4" t="s">
        <v>2390</v>
      </c>
      <c r="T2450" s="21" t="s">
        <v>2276</v>
      </c>
      <c r="U2450" s="21" t="s">
        <v>2276</v>
      </c>
      <c r="V2450" s="21" t="s">
        <v>2276</v>
      </c>
      <c r="W2450" s="4" t="s">
        <v>2375</v>
      </c>
      <c r="X2450" s="4"/>
      <c r="Y2450" s="4"/>
      <c r="Z2450" s="4" t="s">
        <v>64</v>
      </c>
      <c r="AA2450" s="4" t="s">
        <v>6464</v>
      </c>
      <c r="AB2450" s="4"/>
    </row>
    <row r="2451" spans="1:28" ht="29">
      <c r="A2451" s="156" t="str">
        <f>'Reported burning'!A2457</f>
        <v>277ba</v>
      </c>
      <c r="B2451" s="156" t="str">
        <f>'Reported burning'!B2457</f>
        <v>277ba.5</v>
      </c>
      <c r="C2451" s="156" t="str">
        <f>'Reported burning'!C2457</f>
        <v>Human, deliberate</v>
      </c>
      <c r="D2451" s="156" t="str">
        <f>'Reported burning'!D2457</f>
        <v>Crop residue burning</v>
      </c>
      <c r="E2451" s="156" t="str">
        <f>'Reported burning'!E2457</f>
        <v>Cropping, Monoculture, Subsistence-oriented</v>
      </c>
      <c r="F2451" s="156" t="str">
        <f>'Reported burning'!F2457</f>
        <v>Cropland</v>
      </c>
      <c r="G2451" s="156" t="str">
        <f>'Reported burning'!G2457</f>
        <v>ND</v>
      </c>
      <c r="H2451" s="156" t="str">
        <f>'Reported burning'!H2457</f>
        <v>Presence</v>
      </c>
      <c r="I2451" s="5"/>
      <c r="J2451" s="4"/>
      <c r="K2451" s="4"/>
      <c r="L2451" s="4"/>
      <c r="M2451" s="4"/>
      <c r="N2451" s="4"/>
      <c r="O2451" s="4"/>
      <c r="P2451" s="4"/>
      <c r="Q2451" s="4"/>
      <c r="R2451" s="4"/>
      <c r="S2451" s="4" t="s">
        <v>2527</v>
      </c>
      <c r="T2451" s="21" t="s">
        <v>2276</v>
      </c>
      <c r="U2451" s="21" t="s">
        <v>2276</v>
      </c>
      <c r="V2451" s="21" t="s">
        <v>2276</v>
      </c>
      <c r="W2451" s="4" t="s">
        <v>2375</v>
      </c>
      <c r="X2451" s="4"/>
      <c r="Y2451" s="4"/>
      <c r="Z2451" s="4" t="s">
        <v>64</v>
      </c>
      <c r="AA2451" s="4" t="s">
        <v>6464</v>
      </c>
      <c r="AB2451" s="4"/>
    </row>
    <row r="2452" spans="1:28" ht="29">
      <c r="A2452" s="156" t="str">
        <f>'Reported burning'!A2458</f>
        <v>277ba</v>
      </c>
      <c r="B2452" s="156" t="str">
        <f>'Reported burning'!B2458</f>
        <v>277ba.6</v>
      </c>
      <c r="C2452" s="156" t="str">
        <f>'Reported burning'!C2458</f>
        <v>Human, deliberate</v>
      </c>
      <c r="D2452" s="156" t="str">
        <f>'Reported burning'!D2458</f>
        <v>Crop residue burning</v>
      </c>
      <c r="E2452" s="156" t="str">
        <f>'Reported burning'!E2458</f>
        <v>Cropping, Monoculture, Subsistence-oriented</v>
      </c>
      <c r="F2452" s="156" t="str">
        <f>'Reported burning'!F2458</f>
        <v>Cropland</v>
      </c>
      <c r="G2452" s="156" t="str">
        <f>'Reported burning'!G2458</f>
        <v>ND</v>
      </c>
      <c r="H2452" s="156" t="str">
        <f>'Reported burning'!H2458</f>
        <v>Presence</v>
      </c>
      <c r="I2452" s="5"/>
      <c r="J2452" s="4"/>
      <c r="K2452" s="4"/>
      <c r="L2452" s="4"/>
      <c r="M2452" s="4"/>
      <c r="N2452" s="4"/>
      <c r="O2452" s="4"/>
      <c r="P2452" s="4"/>
      <c r="Q2452" s="4"/>
      <c r="R2452" s="4"/>
      <c r="S2452" s="4"/>
      <c r="T2452" s="21" t="s">
        <v>2276</v>
      </c>
      <c r="U2452" s="21" t="s">
        <v>2276</v>
      </c>
      <c r="V2452" s="21" t="s">
        <v>2276</v>
      </c>
      <c r="W2452" s="4" t="s">
        <v>2375</v>
      </c>
      <c r="X2452" s="4"/>
      <c r="Y2452" s="4"/>
      <c r="Z2452" s="4" t="s">
        <v>64</v>
      </c>
      <c r="AA2452" s="4" t="s">
        <v>6464</v>
      </c>
      <c r="AB2452" s="4"/>
    </row>
    <row r="2453" spans="1:28" ht="29">
      <c r="A2453" s="156" t="str">
        <f>'Reported burning'!A2459</f>
        <v>277bb</v>
      </c>
      <c r="B2453" s="156" t="str">
        <f>'Reported burning'!B2459</f>
        <v>277bb.1</v>
      </c>
      <c r="C2453" s="156" t="str">
        <f>'Reported burning'!C2459</f>
        <v>Human, deliberate</v>
      </c>
      <c r="D2453" s="156" t="str">
        <f>'Reported burning'!D2459</f>
        <v>Crop residue burning</v>
      </c>
      <c r="E2453" s="156" t="str">
        <f>'Reported burning'!E2459</f>
        <v>Cropping, Monoculture, Market-oriented</v>
      </c>
      <c r="F2453" s="156" t="str">
        <f>'Reported burning'!F2459</f>
        <v>Cropland</v>
      </c>
      <c r="G2453" s="156" t="str">
        <f>'Reported burning'!G2459</f>
        <v>ND</v>
      </c>
      <c r="H2453" s="156" t="str">
        <f>'Reported burning'!H2459</f>
        <v>Presence</v>
      </c>
      <c r="I2453" s="5"/>
      <c r="J2453" s="4"/>
      <c r="K2453" s="4"/>
      <c r="L2453" s="4"/>
      <c r="M2453" s="4"/>
      <c r="N2453" s="4"/>
      <c r="O2453" s="4"/>
      <c r="P2453" s="4"/>
      <c r="Q2453" s="4"/>
      <c r="R2453" s="4"/>
      <c r="S2453" s="4" t="s">
        <v>2390</v>
      </c>
      <c r="T2453" s="21" t="s">
        <v>2276</v>
      </c>
      <c r="U2453" s="21" t="s">
        <v>2276</v>
      </c>
      <c r="V2453" s="21" t="s">
        <v>2276</v>
      </c>
      <c r="W2453" s="4" t="s">
        <v>2375</v>
      </c>
      <c r="X2453" s="4"/>
      <c r="Y2453" s="4"/>
      <c r="Z2453" s="4" t="s">
        <v>64</v>
      </c>
      <c r="AA2453" s="4" t="s">
        <v>6464</v>
      </c>
      <c r="AB2453" s="4"/>
    </row>
    <row r="2454" spans="1:28" ht="29">
      <c r="A2454" s="156" t="str">
        <f>'Reported burning'!A2460</f>
        <v>277bb</v>
      </c>
      <c r="B2454" s="156" t="str">
        <f>'Reported burning'!B2460</f>
        <v>277bb.2</v>
      </c>
      <c r="C2454" s="156" t="str">
        <f>'Reported burning'!C2460</f>
        <v>Human, deliberate</v>
      </c>
      <c r="D2454" s="156" t="str">
        <f>'Reported burning'!D2460</f>
        <v>Crop residue burning</v>
      </c>
      <c r="E2454" s="156" t="str">
        <f>'Reported burning'!E2460</f>
        <v>Cropping, Monoculture, Market-oriented</v>
      </c>
      <c r="F2454" s="156" t="str">
        <f>'Reported burning'!F2460</f>
        <v>Cropland</v>
      </c>
      <c r="G2454" s="156" t="str">
        <f>'Reported burning'!G2460</f>
        <v>ND</v>
      </c>
      <c r="H2454" s="156" t="str">
        <f>'Reported burning'!H2460</f>
        <v>Presence</v>
      </c>
      <c r="I2454" s="5"/>
      <c r="J2454" s="4"/>
      <c r="K2454" s="4"/>
      <c r="L2454" s="4"/>
      <c r="M2454" s="4"/>
      <c r="N2454" s="4"/>
      <c r="O2454" s="4"/>
      <c r="P2454" s="4"/>
      <c r="Q2454" s="4"/>
      <c r="R2454" s="4"/>
      <c r="S2454" s="4" t="s">
        <v>2527</v>
      </c>
      <c r="T2454" s="21" t="s">
        <v>2276</v>
      </c>
      <c r="U2454" s="21" t="s">
        <v>2276</v>
      </c>
      <c r="V2454" s="21" t="s">
        <v>2276</v>
      </c>
      <c r="W2454" s="4" t="s">
        <v>2375</v>
      </c>
      <c r="X2454" s="4"/>
      <c r="Y2454" s="4"/>
      <c r="Z2454" s="4" t="s">
        <v>64</v>
      </c>
      <c r="AA2454" s="4" t="s">
        <v>6464</v>
      </c>
      <c r="AB2454" s="4"/>
    </row>
    <row r="2455" spans="1:28" ht="29">
      <c r="A2455" s="156" t="str">
        <f>'Reported burning'!A2461</f>
        <v>277bb</v>
      </c>
      <c r="B2455" s="156" t="str">
        <f>'Reported burning'!B2461</f>
        <v>277bb.3</v>
      </c>
      <c r="C2455" s="156" t="str">
        <f>'Reported burning'!C2461</f>
        <v>Human, deliberate</v>
      </c>
      <c r="D2455" s="156" t="str">
        <f>'Reported burning'!D2461</f>
        <v>Crop residue burning</v>
      </c>
      <c r="E2455" s="156" t="str">
        <f>'Reported burning'!E2461</f>
        <v>Cropping, Monoculture, Market-oriented</v>
      </c>
      <c r="F2455" s="156" t="str">
        <f>'Reported burning'!F2461</f>
        <v>Cropland</v>
      </c>
      <c r="G2455" s="156" t="str">
        <f>'Reported burning'!G2461</f>
        <v>ND</v>
      </c>
      <c r="H2455" s="156" t="str">
        <f>'Reported burning'!H2461</f>
        <v>Presence</v>
      </c>
      <c r="I2455" s="5"/>
      <c r="J2455" s="4"/>
      <c r="K2455" s="4"/>
      <c r="L2455" s="4"/>
      <c r="M2455" s="4"/>
      <c r="N2455" s="4"/>
      <c r="O2455" s="4"/>
      <c r="P2455" s="4"/>
      <c r="Q2455" s="4"/>
      <c r="R2455" s="4"/>
      <c r="S2455" s="4"/>
      <c r="T2455" s="21" t="s">
        <v>2276</v>
      </c>
      <c r="U2455" s="21" t="s">
        <v>2276</v>
      </c>
      <c r="V2455" s="21" t="s">
        <v>2276</v>
      </c>
      <c r="W2455" s="4" t="s">
        <v>2375</v>
      </c>
      <c r="X2455" s="4"/>
      <c r="Y2455" s="4"/>
      <c r="Z2455" s="4" t="s">
        <v>64</v>
      </c>
      <c r="AA2455" s="4" t="s">
        <v>6464</v>
      </c>
      <c r="AB2455" s="4"/>
    </row>
    <row r="2456" spans="1:28" ht="29">
      <c r="A2456" s="156" t="str">
        <f>'Reported burning'!A2462</f>
        <v>277bb</v>
      </c>
      <c r="B2456" s="156" t="str">
        <f>'Reported burning'!B2462</f>
        <v>277bb.4</v>
      </c>
      <c r="C2456" s="156" t="str">
        <f>'Reported burning'!C2462</f>
        <v>Human, deliberate</v>
      </c>
      <c r="D2456" s="156" t="str">
        <f>'Reported burning'!D2462</f>
        <v>Crop residue burning</v>
      </c>
      <c r="E2456" s="156" t="str">
        <f>'Reported burning'!E2462</f>
        <v>Cropping, Monoculture, Subsistence-oriented</v>
      </c>
      <c r="F2456" s="156" t="str">
        <f>'Reported burning'!F2462</f>
        <v>Cropland</v>
      </c>
      <c r="G2456" s="156" t="str">
        <f>'Reported burning'!G2462</f>
        <v>ND</v>
      </c>
      <c r="H2456" s="156" t="str">
        <f>'Reported burning'!H2462</f>
        <v>Presence</v>
      </c>
      <c r="I2456" s="5"/>
      <c r="J2456" s="4"/>
      <c r="K2456" s="4"/>
      <c r="L2456" s="4"/>
      <c r="M2456" s="4"/>
      <c r="N2456" s="4"/>
      <c r="O2456" s="4"/>
      <c r="P2456" s="4"/>
      <c r="Q2456" s="4"/>
      <c r="R2456" s="4"/>
      <c r="S2456" s="4" t="s">
        <v>2390</v>
      </c>
      <c r="T2456" s="21" t="s">
        <v>2276</v>
      </c>
      <c r="U2456" s="21" t="s">
        <v>2276</v>
      </c>
      <c r="V2456" s="21" t="s">
        <v>2276</v>
      </c>
      <c r="W2456" s="4" t="s">
        <v>2375</v>
      </c>
      <c r="X2456" s="4"/>
      <c r="Y2456" s="4"/>
      <c r="Z2456" s="4" t="s">
        <v>64</v>
      </c>
      <c r="AA2456" s="4" t="s">
        <v>6464</v>
      </c>
      <c r="AB2456" s="4"/>
    </row>
    <row r="2457" spans="1:28" ht="29">
      <c r="A2457" s="156" t="str">
        <f>'Reported burning'!A2463</f>
        <v>277bb</v>
      </c>
      <c r="B2457" s="156" t="str">
        <f>'Reported burning'!B2463</f>
        <v>277bb.5</v>
      </c>
      <c r="C2457" s="156" t="str">
        <f>'Reported burning'!C2463</f>
        <v>Human, deliberate</v>
      </c>
      <c r="D2457" s="156" t="str">
        <f>'Reported burning'!D2463</f>
        <v>Crop residue burning</v>
      </c>
      <c r="E2457" s="156" t="str">
        <f>'Reported burning'!E2463</f>
        <v>Cropping, Monoculture, Subsistence-oriented</v>
      </c>
      <c r="F2457" s="156" t="str">
        <f>'Reported burning'!F2463</f>
        <v>Cropland</v>
      </c>
      <c r="G2457" s="156" t="str">
        <f>'Reported burning'!G2463</f>
        <v>ND</v>
      </c>
      <c r="H2457" s="156" t="str">
        <f>'Reported burning'!H2463</f>
        <v>Presence</v>
      </c>
      <c r="I2457" s="5"/>
      <c r="J2457" s="4"/>
      <c r="K2457" s="4"/>
      <c r="L2457" s="4"/>
      <c r="M2457" s="4"/>
      <c r="N2457" s="4"/>
      <c r="O2457" s="4"/>
      <c r="P2457" s="4"/>
      <c r="Q2457" s="4"/>
      <c r="R2457" s="4"/>
      <c r="S2457" s="4" t="s">
        <v>2527</v>
      </c>
      <c r="T2457" s="21" t="s">
        <v>2276</v>
      </c>
      <c r="U2457" s="21" t="s">
        <v>2276</v>
      </c>
      <c r="V2457" s="21" t="s">
        <v>2276</v>
      </c>
      <c r="W2457" s="4" t="s">
        <v>2375</v>
      </c>
      <c r="X2457" s="4"/>
      <c r="Y2457" s="4"/>
      <c r="Z2457" s="4" t="s">
        <v>64</v>
      </c>
      <c r="AA2457" s="4" t="s">
        <v>6464</v>
      </c>
      <c r="AB2457" s="4"/>
    </row>
    <row r="2458" spans="1:28" ht="29">
      <c r="A2458" s="156" t="str">
        <f>'Reported burning'!A2464</f>
        <v>277bb</v>
      </c>
      <c r="B2458" s="156" t="str">
        <f>'Reported burning'!B2464</f>
        <v>277bb.6</v>
      </c>
      <c r="C2458" s="156" t="str">
        <f>'Reported burning'!C2464</f>
        <v>Human, deliberate</v>
      </c>
      <c r="D2458" s="156" t="str">
        <f>'Reported burning'!D2464</f>
        <v>Crop residue burning</v>
      </c>
      <c r="E2458" s="156" t="str">
        <f>'Reported burning'!E2464</f>
        <v>Cropping, Monoculture, Subsistence-oriented</v>
      </c>
      <c r="F2458" s="156" t="str">
        <f>'Reported burning'!F2464</f>
        <v>Cropland</v>
      </c>
      <c r="G2458" s="156" t="str">
        <f>'Reported burning'!G2464</f>
        <v>ND</v>
      </c>
      <c r="H2458" s="156" t="str">
        <f>'Reported burning'!H2464</f>
        <v>Presence</v>
      </c>
      <c r="I2458" s="5"/>
      <c r="J2458" s="4"/>
      <c r="K2458" s="4"/>
      <c r="L2458" s="4"/>
      <c r="M2458" s="4"/>
      <c r="N2458" s="4"/>
      <c r="O2458" s="4"/>
      <c r="P2458" s="4"/>
      <c r="Q2458" s="4"/>
      <c r="R2458" s="4"/>
      <c r="S2458" s="4"/>
      <c r="T2458" s="21" t="s">
        <v>2276</v>
      </c>
      <c r="U2458" s="21" t="s">
        <v>2276</v>
      </c>
      <c r="V2458" s="21" t="s">
        <v>2276</v>
      </c>
      <c r="W2458" s="4" t="s">
        <v>2375</v>
      </c>
      <c r="X2458" s="4"/>
      <c r="Y2458" s="4"/>
      <c r="Z2458" s="4" t="s">
        <v>64</v>
      </c>
      <c r="AA2458" s="4" t="s">
        <v>6464</v>
      </c>
      <c r="AB2458" s="4"/>
    </row>
    <row r="2459" spans="1:28" ht="29">
      <c r="A2459" s="156" t="str">
        <f>'Reported burning'!A2465</f>
        <v>277ca</v>
      </c>
      <c r="B2459" s="156" t="str">
        <f>'Reported burning'!B2465</f>
        <v>277ca.1</v>
      </c>
      <c r="C2459" s="156" t="str">
        <f>'Reported burning'!C2465</f>
        <v>Human, deliberate</v>
      </c>
      <c r="D2459" s="156" t="str">
        <f>'Reported burning'!D2465</f>
        <v>Crop residue burning</v>
      </c>
      <c r="E2459" s="156" t="str">
        <f>'Reported burning'!E2465</f>
        <v>Cropping, Monoculture, Market-oriented</v>
      </c>
      <c r="F2459" s="156" t="str">
        <f>'Reported burning'!F2465</f>
        <v>Cropland</v>
      </c>
      <c r="G2459" s="156" t="str">
        <f>'Reported burning'!G2465</f>
        <v>ND</v>
      </c>
      <c r="H2459" s="156" t="str">
        <f>'Reported burning'!H2465</f>
        <v>Presence</v>
      </c>
      <c r="I2459" s="5"/>
      <c r="J2459" s="4"/>
      <c r="K2459" s="4"/>
      <c r="L2459" s="4"/>
      <c r="M2459" s="4"/>
      <c r="N2459" s="4"/>
      <c r="O2459" s="4"/>
      <c r="P2459" s="4"/>
      <c r="Q2459" s="4"/>
      <c r="R2459" s="4"/>
      <c r="S2459" s="4" t="s">
        <v>2391</v>
      </c>
      <c r="T2459" s="21" t="s">
        <v>2276</v>
      </c>
      <c r="U2459" s="21" t="s">
        <v>2276</v>
      </c>
      <c r="V2459" s="21" t="s">
        <v>2276</v>
      </c>
      <c r="W2459" s="4" t="s">
        <v>2375</v>
      </c>
      <c r="X2459" s="4"/>
      <c r="Y2459" s="4"/>
      <c r="Z2459" s="4" t="s">
        <v>64</v>
      </c>
      <c r="AA2459" s="4" t="s">
        <v>6464</v>
      </c>
      <c r="AB2459" s="4"/>
    </row>
    <row r="2460" spans="1:28" ht="29">
      <c r="A2460" s="156" t="str">
        <f>'Reported burning'!A2466</f>
        <v>277ca</v>
      </c>
      <c r="B2460" s="156" t="str">
        <f>'Reported burning'!B2466</f>
        <v>277ca.2</v>
      </c>
      <c r="C2460" s="156" t="str">
        <f>'Reported burning'!C2466</f>
        <v>Human, deliberate</v>
      </c>
      <c r="D2460" s="156" t="str">
        <f>'Reported burning'!D2466</f>
        <v>Crop residue burning</v>
      </c>
      <c r="E2460" s="156" t="str">
        <f>'Reported burning'!E2466</f>
        <v>Cropping, Monoculture, Market-oriented</v>
      </c>
      <c r="F2460" s="156" t="str">
        <f>'Reported burning'!F2466</f>
        <v>Cropland</v>
      </c>
      <c r="G2460" s="156" t="str">
        <f>'Reported burning'!G2466</f>
        <v>ND</v>
      </c>
      <c r="H2460" s="156" t="str">
        <f>'Reported burning'!H2466</f>
        <v>Presence</v>
      </c>
      <c r="I2460" s="5"/>
      <c r="J2460" s="4"/>
      <c r="K2460" s="4"/>
      <c r="L2460" s="4"/>
      <c r="M2460" s="4"/>
      <c r="N2460" s="4"/>
      <c r="O2460" s="4"/>
      <c r="P2460" s="4"/>
      <c r="Q2460" s="4"/>
      <c r="R2460" s="4"/>
      <c r="S2460" s="4" t="s">
        <v>2376</v>
      </c>
      <c r="T2460" s="21" t="s">
        <v>2276</v>
      </c>
      <c r="U2460" s="21" t="s">
        <v>2276</v>
      </c>
      <c r="V2460" s="21" t="s">
        <v>2276</v>
      </c>
      <c r="W2460" s="4" t="s">
        <v>2375</v>
      </c>
      <c r="X2460" s="4"/>
      <c r="Y2460" s="4"/>
      <c r="Z2460" s="4" t="s">
        <v>64</v>
      </c>
      <c r="AA2460" s="4" t="s">
        <v>6464</v>
      </c>
      <c r="AB2460" s="4"/>
    </row>
    <row r="2461" spans="1:28" ht="29">
      <c r="A2461" s="156" t="str">
        <f>'Reported burning'!A2467</f>
        <v>277ca</v>
      </c>
      <c r="B2461" s="156" t="str">
        <f>'Reported burning'!B2467</f>
        <v>277ca.3</v>
      </c>
      <c r="C2461" s="156" t="str">
        <f>'Reported burning'!C2467</f>
        <v>Human, deliberate</v>
      </c>
      <c r="D2461" s="156" t="str">
        <f>'Reported burning'!D2467</f>
        <v>Crop residue burning</v>
      </c>
      <c r="E2461" s="156" t="str">
        <f>'Reported burning'!E2467</f>
        <v>Cropping, Monoculture, Market-oriented</v>
      </c>
      <c r="F2461" s="156" t="str">
        <f>'Reported burning'!F2467</f>
        <v>Cropland</v>
      </c>
      <c r="G2461" s="156" t="str">
        <f>'Reported burning'!G2467</f>
        <v>ND</v>
      </c>
      <c r="H2461" s="156" t="str">
        <f>'Reported burning'!H2467</f>
        <v>Presence</v>
      </c>
      <c r="I2461" s="5"/>
      <c r="J2461" s="4"/>
      <c r="K2461" s="4"/>
      <c r="L2461" s="4"/>
      <c r="M2461" s="4"/>
      <c r="N2461" s="4"/>
      <c r="O2461" s="4"/>
      <c r="P2461" s="4"/>
      <c r="Q2461" s="4"/>
      <c r="R2461" s="4"/>
      <c r="S2461" s="4"/>
      <c r="T2461" s="21" t="s">
        <v>2276</v>
      </c>
      <c r="U2461" s="21" t="s">
        <v>2276</v>
      </c>
      <c r="V2461" s="21" t="s">
        <v>2276</v>
      </c>
      <c r="W2461" s="4" t="s">
        <v>2375</v>
      </c>
      <c r="X2461" s="4"/>
      <c r="Y2461" s="4"/>
      <c r="Z2461" s="4" t="s">
        <v>64</v>
      </c>
      <c r="AA2461" s="4" t="s">
        <v>6464</v>
      </c>
      <c r="AB2461" s="4"/>
    </row>
    <row r="2462" spans="1:28" ht="29">
      <c r="A2462" s="156" t="str">
        <f>'Reported burning'!A2468</f>
        <v>277ca</v>
      </c>
      <c r="B2462" s="156" t="str">
        <f>'Reported burning'!B2468</f>
        <v>277ca.4</v>
      </c>
      <c r="C2462" s="156" t="str">
        <f>'Reported burning'!C2468</f>
        <v>Human, deliberate</v>
      </c>
      <c r="D2462" s="156" t="str">
        <f>'Reported burning'!D2468</f>
        <v>Crop residue burning</v>
      </c>
      <c r="E2462" s="156" t="str">
        <f>'Reported burning'!E2468</f>
        <v>Cropping, Monoculture, Subsistence-oriented</v>
      </c>
      <c r="F2462" s="156" t="str">
        <f>'Reported burning'!F2468</f>
        <v>Cropland</v>
      </c>
      <c r="G2462" s="156" t="str">
        <f>'Reported burning'!G2468</f>
        <v>ND</v>
      </c>
      <c r="H2462" s="156" t="str">
        <f>'Reported burning'!H2468</f>
        <v>Presence</v>
      </c>
      <c r="I2462" s="5"/>
      <c r="J2462" s="4"/>
      <c r="K2462" s="4"/>
      <c r="L2462" s="4"/>
      <c r="M2462" s="4"/>
      <c r="N2462" s="4"/>
      <c r="O2462" s="4"/>
      <c r="P2462" s="4"/>
      <c r="Q2462" s="4"/>
      <c r="R2462" s="4"/>
      <c r="S2462" s="4" t="s">
        <v>2391</v>
      </c>
      <c r="T2462" s="21" t="s">
        <v>2276</v>
      </c>
      <c r="U2462" s="21" t="s">
        <v>2276</v>
      </c>
      <c r="V2462" s="21" t="s">
        <v>2276</v>
      </c>
      <c r="W2462" s="4" t="s">
        <v>2375</v>
      </c>
      <c r="X2462" s="4"/>
      <c r="Y2462" s="4"/>
      <c r="Z2462" s="4" t="s">
        <v>64</v>
      </c>
      <c r="AA2462" s="4" t="s">
        <v>6464</v>
      </c>
      <c r="AB2462" s="4"/>
    </row>
    <row r="2463" spans="1:28" ht="29">
      <c r="A2463" s="156" t="str">
        <f>'Reported burning'!A2469</f>
        <v>277ca</v>
      </c>
      <c r="B2463" s="156" t="str">
        <f>'Reported burning'!B2469</f>
        <v>277ca.5</v>
      </c>
      <c r="C2463" s="156" t="str">
        <f>'Reported burning'!C2469</f>
        <v>Human, deliberate</v>
      </c>
      <c r="D2463" s="156" t="str">
        <f>'Reported burning'!D2469</f>
        <v>Crop residue burning</v>
      </c>
      <c r="E2463" s="156" t="str">
        <f>'Reported burning'!E2469</f>
        <v>Cropping, Monoculture, Subsistence-oriented</v>
      </c>
      <c r="F2463" s="156" t="str">
        <f>'Reported burning'!F2469</f>
        <v>Cropland</v>
      </c>
      <c r="G2463" s="156" t="str">
        <f>'Reported burning'!G2469</f>
        <v>ND</v>
      </c>
      <c r="H2463" s="156" t="str">
        <f>'Reported burning'!H2469</f>
        <v>Presence</v>
      </c>
      <c r="I2463" s="5"/>
      <c r="J2463" s="4"/>
      <c r="K2463" s="4"/>
      <c r="L2463" s="4"/>
      <c r="M2463" s="4"/>
      <c r="N2463" s="4"/>
      <c r="O2463" s="4"/>
      <c r="P2463" s="4"/>
      <c r="Q2463" s="4"/>
      <c r="R2463" s="4"/>
      <c r="S2463" s="4" t="s">
        <v>2376</v>
      </c>
      <c r="T2463" s="21" t="s">
        <v>2276</v>
      </c>
      <c r="U2463" s="21" t="s">
        <v>2276</v>
      </c>
      <c r="V2463" s="21" t="s">
        <v>2276</v>
      </c>
      <c r="W2463" s="4" t="s">
        <v>2375</v>
      </c>
      <c r="X2463" s="4"/>
      <c r="Y2463" s="4"/>
      <c r="Z2463" s="4" t="s">
        <v>64</v>
      </c>
      <c r="AA2463" s="4" t="s">
        <v>6464</v>
      </c>
      <c r="AB2463" s="4"/>
    </row>
    <row r="2464" spans="1:28" ht="29">
      <c r="A2464" s="156" t="str">
        <f>'Reported burning'!A2470</f>
        <v>277ca</v>
      </c>
      <c r="B2464" s="156" t="str">
        <f>'Reported burning'!B2470</f>
        <v>277ca.6</v>
      </c>
      <c r="C2464" s="156" t="str">
        <f>'Reported burning'!C2470</f>
        <v>Human, deliberate</v>
      </c>
      <c r="D2464" s="156" t="str">
        <f>'Reported burning'!D2470</f>
        <v>Crop residue burning</v>
      </c>
      <c r="E2464" s="156" t="str">
        <f>'Reported burning'!E2470</f>
        <v>Cropping, Monoculture, Subsistence-oriented</v>
      </c>
      <c r="F2464" s="156" t="str">
        <f>'Reported burning'!F2470</f>
        <v>Cropland</v>
      </c>
      <c r="G2464" s="156" t="str">
        <f>'Reported burning'!G2470</f>
        <v>ND</v>
      </c>
      <c r="H2464" s="156" t="str">
        <f>'Reported burning'!H2470</f>
        <v>Presence</v>
      </c>
      <c r="I2464" s="5"/>
      <c r="J2464" s="4"/>
      <c r="K2464" s="4"/>
      <c r="L2464" s="4"/>
      <c r="M2464" s="4"/>
      <c r="N2464" s="4"/>
      <c r="O2464" s="4"/>
      <c r="P2464" s="4"/>
      <c r="Q2464" s="4"/>
      <c r="R2464" s="4"/>
      <c r="S2464" s="4"/>
      <c r="T2464" s="21" t="s">
        <v>2276</v>
      </c>
      <c r="U2464" s="21" t="s">
        <v>2276</v>
      </c>
      <c r="V2464" s="21" t="s">
        <v>2276</v>
      </c>
      <c r="W2464" s="4" t="s">
        <v>2375</v>
      </c>
      <c r="X2464" s="4"/>
      <c r="Y2464" s="4"/>
      <c r="Z2464" s="4" t="s">
        <v>64</v>
      </c>
      <c r="AA2464" s="4" t="s">
        <v>6464</v>
      </c>
      <c r="AB2464" s="4"/>
    </row>
    <row r="2465" spans="1:28" ht="29">
      <c r="A2465" s="156" t="str">
        <f>'Reported burning'!A2471</f>
        <v>277cb</v>
      </c>
      <c r="B2465" s="156" t="str">
        <f>'Reported burning'!B2471</f>
        <v>277cb.1</v>
      </c>
      <c r="C2465" s="156" t="str">
        <f>'Reported burning'!C2471</f>
        <v>Human, deliberate</v>
      </c>
      <c r="D2465" s="156" t="str">
        <f>'Reported burning'!D2471</f>
        <v>Crop residue burning</v>
      </c>
      <c r="E2465" s="156" t="str">
        <f>'Reported burning'!E2471</f>
        <v>Cropping, Monoculture, Market-oriented</v>
      </c>
      <c r="F2465" s="156" t="str">
        <f>'Reported burning'!F2471</f>
        <v>Cropland</v>
      </c>
      <c r="G2465" s="156" t="str">
        <f>'Reported burning'!G2471</f>
        <v>ND</v>
      </c>
      <c r="H2465" s="156" t="str">
        <f>'Reported burning'!H2471</f>
        <v>Presence</v>
      </c>
      <c r="I2465" s="5"/>
      <c r="J2465" s="4"/>
      <c r="K2465" s="4"/>
      <c r="L2465" s="4"/>
      <c r="M2465" s="4"/>
      <c r="N2465" s="4"/>
      <c r="O2465" s="4"/>
      <c r="P2465" s="4"/>
      <c r="Q2465" s="4"/>
      <c r="R2465" s="4"/>
      <c r="S2465" s="4" t="s">
        <v>2391</v>
      </c>
      <c r="T2465" s="21" t="s">
        <v>2276</v>
      </c>
      <c r="U2465" s="21" t="s">
        <v>2276</v>
      </c>
      <c r="V2465" s="21" t="s">
        <v>2276</v>
      </c>
      <c r="W2465" s="4" t="s">
        <v>2375</v>
      </c>
      <c r="X2465" s="4"/>
      <c r="Y2465" s="4"/>
      <c r="Z2465" s="4" t="s">
        <v>64</v>
      </c>
      <c r="AA2465" s="4" t="s">
        <v>6464</v>
      </c>
      <c r="AB2465" s="4"/>
    </row>
    <row r="2466" spans="1:28" ht="29">
      <c r="A2466" s="156" t="str">
        <f>'Reported burning'!A2472</f>
        <v>277cb</v>
      </c>
      <c r="B2466" s="156" t="str">
        <f>'Reported burning'!B2472</f>
        <v>277cb.2</v>
      </c>
      <c r="C2466" s="156" t="str">
        <f>'Reported burning'!C2472</f>
        <v>Human, deliberate</v>
      </c>
      <c r="D2466" s="156" t="str">
        <f>'Reported burning'!D2472</f>
        <v>Crop residue burning</v>
      </c>
      <c r="E2466" s="156" t="str">
        <f>'Reported burning'!E2472</f>
        <v>Cropping, Monoculture, Market-oriented</v>
      </c>
      <c r="F2466" s="156" t="str">
        <f>'Reported burning'!F2472</f>
        <v>Cropland</v>
      </c>
      <c r="G2466" s="156" t="str">
        <f>'Reported burning'!G2472</f>
        <v>ND</v>
      </c>
      <c r="H2466" s="156" t="str">
        <f>'Reported burning'!H2472</f>
        <v>Presence</v>
      </c>
      <c r="I2466" s="5"/>
      <c r="J2466" s="4"/>
      <c r="K2466" s="4"/>
      <c r="L2466" s="4"/>
      <c r="M2466" s="4"/>
      <c r="N2466" s="4"/>
      <c r="O2466" s="4"/>
      <c r="P2466" s="4"/>
      <c r="Q2466" s="4"/>
      <c r="R2466" s="4"/>
      <c r="S2466" s="4" t="s">
        <v>2376</v>
      </c>
      <c r="T2466" s="21" t="s">
        <v>2276</v>
      </c>
      <c r="U2466" s="21" t="s">
        <v>2276</v>
      </c>
      <c r="V2466" s="21" t="s">
        <v>2276</v>
      </c>
      <c r="W2466" s="4" t="s">
        <v>2375</v>
      </c>
      <c r="X2466" s="4"/>
      <c r="Y2466" s="4"/>
      <c r="Z2466" s="4" t="s">
        <v>64</v>
      </c>
      <c r="AA2466" s="4" t="s">
        <v>6464</v>
      </c>
      <c r="AB2466" s="4"/>
    </row>
    <row r="2467" spans="1:28" ht="29">
      <c r="A2467" s="156" t="str">
        <f>'Reported burning'!A2473</f>
        <v>277cb</v>
      </c>
      <c r="B2467" s="156" t="str">
        <f>'Reported burning'!B2473</f>
        <v>277cb.3</v>
      </c>
      <c r="C2467" s="156" t="str">
        <f>'Reported burning'!C2473</f>
        <v>Human, deliberate</v>
      </c>
      <c r="D2467" s="156" t="str">
        <f>'Reported burning'!D2473</f>
        <v>Crop residue burning</v>
      </c>
      <c r="E2467" s="156" t="str">
        <f>'Reported burning'!E2473</f>
        <v>Cropping, Monoculture, Market-oriented</v>
      </c>
      <c r="F2467" s="156" t="str">
        <f>'Reported burning'!F2473</f>
        <v>Cropland</v>
      </c>
      <c r="G2467" s="156" t="str">
        <f>'Reported burning'!G2473</f>
        <v>ND</v>
      </c>
      <c r="H2467" s="156" t="str">
        <f>'Reported burning'!H2473</f>
        <v>Presence</v>
      </c>
      <c r="I2467" s="5"/>
      <c r="J2467" s="4"/>
      <c r="K2467" s="4"/>
      <c r="L2467" s="4"/>
      <c r="M2467" s="4"/>
      <c r="N2467" s="4"/>
      <c r="O2467" s="4"/>
      <c r="P2467" s="4"/>
      <c r="Q2467" s="4"/>
      <c r="R2467" s="4"/>
      <c r="S2467" s="4"/>
      <c r="T2467" s="21" t="s">
        <v>2276</v>
      </c>
      <c r="U2467" s="21" t="s">
        <v>2276</v>
      </c>
      <c r="V2467" s="21" t="s">
        <v>2276</v>
      </c>
      <c r="W2467" s="4" t="s">
        <v>2375</v>
      </c>
      <c r="X2467" s="4"/>
      <c r="Y2467" s="4"/>
      <c r="Z2467" s="4" t="s">
        <v>64</v>
      </c>
      <c r="AA2467" s="4" t="s">
        <v>6464</v>
      </c>
      <c r="AB2467" s="4"/>
    </row>
    <row r="2468" spans="1:28" ht="29">
      <c r="A2468" s="156" t="str">
        <f>'Reported burning'!A2474</f>
        <v>277cb</v>
      </c>
      <c r="B2468" s="156" t="str">
        <f>'Reported burning'!B2474</f>
        <v>277cb.4</v>
      </c>
      <c r="C2468" s="156" t="str">
        <f>'Reported burning'!C2474</f>
        <v>Human, deliberate</v>
      </c>
      <c r="D2468" s="156" t="str">
        <f>'Reported burning'!D2474</f>
        <v>Crop residue burning</v>
      </c>
      <c r="E2468" s="156" t="str">
        <f>'Reported burning'!E2474</f>
        <v>Cropping, Monoculture, Subsistence-oriented</v>
      </c>
      <c r="F2468" s="156" t="str">
        <f>'Reported burning'!F2474</f>
        <v>Cropland</v>
      </c>
      <c r="G2468" s="156" t="str">
        <f>'Reported burning'!G2474</f>
        <v>ND</v>
      </c>
      <c r="H2468" s="156" t="str">
        <f>'Reported burning'!H2474</f>
        <v>Presence</v>
      </c>
      <c r="I2468" s="5"/>
      <c r="J2468" s="4"/>
      <c r="K2468" s="4"/>
      <c r="L2468" s="4"/>
      <c r="M2468" s="4"/>
      <c r="N2468" s="4"/>
      <c r="O2468" s="4"/>
      <c r="P2468" s="4"/>
      <c r="Q2468" s="4"/>
      <c r="R2468" s="4"/>
      <c r="S2468" s="4" t="s">
        <v>2391</v>
      </c>
      <c r="T2468" s="21" t="s">
        <v>2276</v>
      </c>
      <c r="U2468" s="21" t="s">
        <v>2276</v>
      </c>
      <c r="V2468" s="21" t="s">
        <v>2276</v>
      </c>
      <c r="W2468" s="4" t="s">
        <v>2375</v>
      </c>
      <c r="X2468" s="4"/>
      <c r="Y2468" s="4"/>
      <c r="Z2468" s="4" t="s">
        <v>64</v>
      </c>
      <c r="AA2468" s="4" t="s">
        <v>6464</v>
      </c>
      <c r="AB2468" s="4"/>
    </row>
    <row r="2469" spans="1:28" ht="29">
      <c r="A2469" s="156" t="str">
        <f>'Reported burning'!A2475</f>
        <v>277cb</v>
      </c>
      <c r="B2469" s="156" t="str">
        <f>'Reported burning'!B2475</f>
        <v>277cb.5</v>
      </c>
      <c r="C2469" s="156" t="str">
        <f>'Reported burning'!C2475</f>
        <v>Human, deliberate</v>
      </c>
      <c r="D2469" s="156" t="str">
        <f>'Reported burning'!D2475</f>
        <v>Crop residue burning</v>
      </c>
      <c r="E2469" s="156" t="str">
        <f>'Reported burning'!E2475</f>
        <v>Cropping, Monoculture, Subsistence-oriented</v>
      </c>
      <c r="F2469" s="156" t="str">
        <f>'Reported burning'!F2475</f>
        <v>Cropland</v>
      </c>
      <c r="G2469" s="156" t="str">
        <f>'Reported burning'!G2475</f>
        <v>ND</v>
      </c>
      <c r="H2469" s="156" t="str">
        <f>'Reported burning'!H2475</f>
        <v>Presence</v>
      </c>
      <c r="I2469" s="5"/>
      <c r="J2469" s="4"/>
      <c r="K2469" s="4"/>
      <c r="L2469" s="4"/>
      <c r="M2469" s="4"/>
      <c r="N2469" s="4"/>
      <c r="O2469" s="4"/>
      <c r="P2469" s="4"/>
      <c r="Q2469" s="4"/>
      <c r="R2469" s="4"/>
      <c r="S2469" s="4" t="s">
        <v>2376</v>
      </c>
      <c r="T2469" s="21" t="s">
        <v>2276</v>
      </c>
      <c r="U2469" s="21" t="s">
        <v>2276</v>
      </c>
      <c r="V2469" s="21" t="s">
        <v>2276</v>
      </c>
      <c r="W2469" s="4" t="s">
        <v>2375</v>
      </c>
      <c r="X2469" s="4"/>
      <c r="Y2469" s="4"/>
      <c r="Z2469" s="4" t="s">
        <v>64</v>
      </c>
      <c r="AA2469" s="4" t="s">
        <v>6464</v>
      </c>
      <c r="AB2469" s="4"/>
    </row>
    <row r="2470" spans="1:28" ht="29">
      <c r="A2470" s="156" t="str">
        <f>'Reported burning'!A2476</f>
        <v>277cb</v>
      </c>
      <c r="B2470" s="156" t="str">
        <f>'Reported burning'!B2476</f>
        <v>277cb.6</v>
      </c>
      <c r="C2470" s="156" t="str">
        <f>'Reported burning'!C2476</f>
        <v>Human, deliberate</v>
      </c>
      <c r="D2470" s="156" t="str">
        <f>'Reported burning'!D2476</f>
        <v>Crop residue burning</v>
      </c>
      <c r="E2470" s="156" t="str">
        <f>'Reported burning'!E2476</f>
        <v>Cropping, Monoculture, Subsistence-oriented</v>
      </c>
      <c r="F2470" s="156" t="str">
        <f>'Reported burning'!F2476</f>
        <v>Cropland</v>
      </c>
      <c r="G2470" s="156" t="str">
        <f>'Reported burning'!G2476</f>
        <v>ND</v>
      </c>
      <c r="H2470" s="156" t="str">
        <f>'Reported burning'!H2476</f>
        <v>Presence</v>
      </c>
      <c r="I2470" s="5"/>
      <c r="J2470" s="4"/>
      <c r="K2470" s="4"/>
      <c r="L2470" s="4"/>
      <c r="M2470" s="4"/>
      <c r="N2470" s="4"/>
      <c r="O2470" s="4"/>
      <c r="P2470" s="4"/>
      <c r="Q2470" s="4"/>
      <c r="R2470" s="4"/>
      <c r="S2470" s="4"/>
      <c r="T2470" s="21" t="s">
        <v>2276</v>
      </c>
      <c r="U2470" s="21" t="s">
        <v>2276</v>
      </c>
      <c r="V2470" s="21" t="s">
        <v>2276</v>
      </c>
      <c r="W2470" s="4" t="s">
        <v>2375</v>
      </c>
      <c r="X2470" s="4"/>
      <c r="Y2470" s="4"/>
      <c r="Z2470" s="4" t="s">
        <v>64</v>
      </c>
      <c r="AA2470" s="4" t="s">
        <v>6464</v>
      </c>
      <c r="AB2470" s="4"/>
    </row>
    <row r="2471" spans="1:28" ht="29">
      <c r="A2471" s="156" t="str">
        <f>'Reported burning'!A2477</f>
        <v>278aa</v>
      </c>
      <c r="B2471" s="156" t="str">
        <f>'Reported burning'!B2477</f>
        <v>278aa.1</v>
      </c>
      <c r="C2471" s="156" t="str">
        <f>'Reported burning'!C2477</f>
        <v>Human, deliberate</v>
      </c>
      <c r="D2471" s="156" t="str">
        <f>'Reported burning'!D2477</f>
        <v>Crop residue burning</v>
      </c>
      <c r="E2471" s="156" t="str">
        <f>'Reported burning'!E2477</f>
        <v>Cropping, Monoculture, Market-oriented</v>
      </c>
      <c r="F2471" s="156" t="str">
        <f>'Reported burning'!F2477</f>
        <v>Cropland</v>
      </c>
      <c r="G2471" s="156" t="str">
        <f>'Reported burning'!G2477</f>
        <v>ND</v>
      </c>
      <c r="H2471" s="156" t="str">
        <f>'Reported burning'!H2477</f>
        <v>Presence</v>
      </c>
      <c r="I2471" s="5"/>
      <c r="J2471" s="4"/>
      <c r="K2471" s="4"/>
      <c r="L2471" s="4"/>
      <c r="M2471" s="4"/>
      <c r="N2471" s="4"/>
      <c r="O2471" s="4" t="s">
        <v>2373</v>
      </c>
      <c r="P2471" s="4"/>
      <c r="Q2471" s="4"/>
      <c r="R2471" s="4"/>
      <c r="S2471" s="4" t="s">
        <v>2391</v>
      </c>
      <c r="T2471" s="21" t="s">
        <v>2276</v>
      </c>
      <c r="U2471" s="21" t="s">
        <v>2276</v>
      </c>
      <c r="V2471" s="21" t="s">
        <v>2276</v>
      </c>
      <c r="W2471" s="4" t="s">
        <v>2375</v>
      </c>
      <c r="X2471" s="4"/>
      <c r="Y2471" s="4"/>
      <c r="Z2471" s="4" t="s">
        <v>64</v>
      </c>
      <c r="AA2471" s="4"/>
      <c r="AB2471" s="4"/>
    </row>
    <row r="2472" spans="1:28" ht="29">
      <c r="A2472" s="156" t="str">
        <f>'Reported burning'!A2478</f>
        <v>278aa</v>
      </c>
      <c r="B2472" s="156" t="str">
        <f>'Reported burning'!B2478</f>
        <v>278aa.2</v>
      </c>
      <c r="C2472" s="156" t="str">
        <f>'Reported burning'!C2478</f>
        <v>Human, deliberate</v>
      </c>
      <c r="D2472" s="156" t="str">
        <f>'Reported burning'!D2478</f>
        <v>Crop residue burning</v>
      </c>
      <c r="E2472" s="156" t="str">
        <f>'Reported burning'!E2478</f>
        <v>Cropping, Monoculture, Subsistence-oriented</v>
      </c>
      <c r="F2472" s="156" t="str">
        <f>'Reported burning'!F2478</f>
        <v>Cropland</v>
      </c>
      <c r="G2472" s="156" t="str">
        <f>'Reported burning'!G2478</f>
        <v>ND</v>
      </c>
      <c r="H2472" s="156" t="str">
        <f>'Reported burning'!H2478</f>
        <v>Presence</v>
      </c>
      <c r="I2472" s="5"/>
      <c r="J2472" s="4"/>
      <c r="K2472" s="4"/>
      <c r="L2472" s="4"/>
      <c r="M2472" s="4"/>
      <c r="N2472" s="4"/>
      <c r="O2472" s="4" t="s">
        <v>2373</v>
      </c>
      <c r="P2472" s="4"/>
      <c r="Q2472" s="4"/>
      <c r="R2472" s="4"/>
      <c r="S2472" s="4" t="s">
        <v>2391</v>
      </c>
      <c r="T2472" s="21" t="s">
        <v>2276</v>
      </c>
      <c r="U2472" s="21" t="s">
        <v>2276</v>
      </c>
      <c r="V2472" s="21" t="s">
        <v>2276</v>
      </c>
      <c r="W2472" s="4" t="s">
        <v>2375</v>
      </c>
      <c r="X2472" s="4"/>
      <c r="Y2472" s="4"/>
      <c r="Z2472" s="4" t="s">
        <v>64</v>
      </c>
      <c r="AA2472" s="4"/>
      <c r="AB2472" s="4"/>
    </row>
    <row r="2473" spans="1:28" ht="29">
      <c r="A2473" s="156" t="str">
        <f>'Reported burning'!A2479</f>
        <v>278ab</v>
      </c>
      <c r="B2473" s="156" t="str">
        <f>'Reported burning'!B2479</f>
        <v>278ab.1</v>
      </c>
      <c r="C2473" s="156" t="str">
        <f>'Reported burning'!C2479</f>
        <v>Human, deliberate</v>
      </c>
      <c r="D2473" s="156" t="str">
        <f>'Reported burning'!D2479</f>
        <v>Crop residue burning</v>
      </c>
      <c r="E2473" s="156" t="str">
        <f>'Reported burning'!E2479</f>
        <v>Cropping, Monoculture, Market-oriented</v>
      </c>
      <c r="F2473" s="156" t="str">
        <f>'Reported burning'!F2479</f>
        <v>Cropland</v>
      </c>
      <c r="G2473" s="156" t="str">
        <f>'Reported burning'!G2479</f>
        <v>ND</v>
      </c>
      <c r="H2473" s="156" t="str">
        <f>'Reported burning'!H2479</f>
        <v>Presence</v>
      </c>
      <c r="I2473" s="5"/>
      <c r="J2473" s="4"/>
      <c r="K2473" s="4"/>
      <c r="L2473" s="4"/>
      <c r="M2473" s="4"/>
      <c r="N2473" s="4"/>
      <c r="O2473" s="4" t="s">
        <v>2373</v>
      </c>
      <c r="P2473" s="4"/>
      <c r="Q2473" s="4"/>
      <c r="R2473" s="4"/>
      <c r="S2473" s="4" t="s">
        <v>2391</v>
      </c>
      <c r="T2473" s="21" t="s">
        <v>2276</v>
      </c>
      <c r="U2473" s="21" t="s">
        <v>2276</v>
      </c>
      <c r="V2473" s="21" t="s">
        <v>2276</v>
      </c>
      <c r="W2473" s="4" t="s">
        <v>2375</v>
      </c>
      <c r="X2473" s="4"/>
      <c r="Y2473" s="4"/>
      <c r="Z2473" s="4" t="s">
        <v>64</v>
      </c>
      <c r="AA2473" s="4"/>
      <c r="AB2473" s="4"/>
    </row>
    <row r="2474" spans="1:28" ht="29">
      <c r="A2474" s="156" t="str">
        <f>'Reported burning'!A2480</f>
        <v>278ab</v>
      </c>
      <c r="B2474" s="156" t="str">
        <f>'Reported burning'!B2480</f>
        <v>278ab.2</v>
      </c>
      <c r="C2474" s="156" t="str">
        <f>'Reported burning'!C2480</f>
        <v>Human, deliberate</v>
      </c>
      <c r="D2474" s="156" t="str">
        <f>'Reported burning'!D2480</f>
        <v>Crop residue burning</v>
      </c>
      <c r="E2474" s="156" t="str">
        <f>'Reported burning'!E2480</f>
        <v>Cropping, Monoculture, Subsistence-oriented</v>
      </c>
      <c r="F2474" s="156" t="str">
        <f>'Reported burning'!F2480</f>
        <v>Cropland</v>
      </c>
      <c r="G2474" s="156" t="str">
        <f>'Reported burning'!G2480</f>
        <v>ND</v>
      </c>
      <c r="H2474" s="156" t="str">
        <f>'Reported burning'!H2480</f>
        <v>Presence</v>
      </c>
      <c r="I2474" s="5"/>
      <c r="J2474" s="4"/>
      <c r="K2474" s="4"/>
      <c r="L2474" s="4"/>
      <c r="M2474" s="4"/>
      <c r="N2474" s="4"/>
      <c r="O2474" s="4" t="s">
        <v>2373</v>
      </c>
      <c r="P2474" s="4"/>
      <c r="Q2474" s="4"/>
      <c r="R2474" s="4"/>
      <c r="S2474" s="4" t="s">
        <v>2391</v>
      </c>
      <c r="T2474" s="21" t="s">
        <v>2276</v>
      </c>
      <c r="U2474" s="21" t="s">
        <v>2276</v>
      </c>
      <c r="V2474" s="21" t="s">
        <v>2276</v>
      </c>
      <c r="W2474" s="4" t="s">
        <v>2375</v>
      </c>
      <c r="X2474" s="4"/>
      <c r="Y2474" s="4"/>
      <c r="Z2474" s="4" t="s">
        <v>64</v>
      </c>
      <c r="AA2474" s="4"/>
      <c r="AB2474" s="4"/>
    </row>
    <row r="2475" spans="1:28" ht="29">
      <c r="A2475" s="156" t="str">
        <f>'Reported burning'!A2481</f>
        <v>279a</v>
      </c>
      <c r="B2475" s="156" t="str">
        <f>'Reported burning'!B2481</f>
        <v>279a.1</v>
      </c>
      <c r="C2475" s="156" t="str">
        <f>'Reported burning'!C2481</f>
        <v>Human, deliberate</v>
      </c>
      <c r="D2475" s="156" t="str">
        <f>'Reported burning'!D2481</f>
        <v>Crop residue burning</v>
      </c>
      <c r="E2475" s="156" t="str">
        <f>'Reported burning'!E2481</f>
        <v>Mixed cropping-livestock small holder, Market-oriented</v>
      </c>
      <c r="F2475" s="156" t="str">
        <f>'Reported burning'!F2481</f>
        <v>Cropland</v>
      </c>
      <c r="G2475" s="156" t="str">
        <f>'Reported burning'!G2481</f>
        <v>ND</v>
      </c>
      <c r="H2475" s="156" t="str">
        <f>'Reported burning'!H2481</f>
        <v>Presence</v>
      </c>
      <c r="I2475" s="5"/>
      <c r="J2475" s="4"/>
      <c r="K2475" s="4"/>
      <c r="L2475" s="4"/>
      <c r="M2475" s="4"/>
      <c r="N2475" s="4"/>
      <c r="O2475" s="4" t="s">
        <v>2375</v>
      </c>
      <c r="P2475" s="4"/>
      <c r="Q2475" s="4"/>
      <c r="R2475" s="4"/>
      <c r="S2475" s="4" t="s">
        <v>2374</v>
      </c>
      <c r="T2475" s="21" t="s">
        <v>2276</v>
      </c>
      <c r="U2475" s="21" t="s">
        <v>2276</v>
      </c>
      <c r="V2475" s="21" t="s">
        <v>2276</v>
      </c>
      <c r="W2475" s="4" t="s">
        <v>2375</v>
      </c>
      <c r="X2475" s="4" t="s">
        <v>405</v>
      </c>
      <c r="Y2475" s="4" t="s">
        <v>86</v>
      </c>
      <c r="Z2475" s="4" t="s">
        <v>64</v>
      </c>
      <c r="AA2475" s="4" t="s">
        <v>6465</v>
      </c>
      <c r="AB2475" s="4"/>
    </row>
    <row r="2476" spans="1:28" ht="29">
      <c r="A2476" s="156" t="str">
        <f>'Reported burning'!A2482</f>
        <v>279a</v>
      </c>
      <c r="B2476" s="156" t="str">
        <f>'Reported burning'!B2482</f>
        <v>279a.2</v>
      </c>
      <c r="C2476" s="156" t="str">
        <f>'Reported burning'!C2482</f>
        <v>Human, deliberate</v>
      </c>
      <c r="D2476" s="156" t="str">
        <f>'Reported burning'!D2482</f>
        <v>Crop residue burning</v>
      </c>
      <c r="E2476" s="156" t="str">
        <f>'Reported burning'!E2482</f>
        <v>Mixed cropping-livestock small holder, Market-oriented</v>
      </c>
      <c r="F2476" s="156" t="str">
        <f>'Reported burning'!F2482</f>
        <v>Cropland</v>
      </c>
      <c r="G2476" s="156" t="str">
        <f>'Reported burning'!G2482</f>
        <v>ND</v>
      </c>
      <c r="H2476" s="156" t="str">
        <f>'Reported burning'!H2482</f>
        <v>Presence</v>
      </c>
      <c r="I2476" s="5"/>
      <c r="J2476" s="4"/>
      <c r="K2476" s="4"/>
      <c r="L2476" s="4"/>
      <c r="M2476" s="4"/>
      <c r="N2476" s="4"/>
      <c r="O2476" s="4" t="s">
        <v>2375</v>
      </c>
      <c r="P2476" s="4"/>
      <c r="Q2476" s="4"/>
      <c r="R2476" s="4"/>
      <c r="S2476" s="4" t="s">
        <v>2527</v>
      </c>
      <c r="T2476" s="21" t="s">
        <v>2276</v>
      </c>
      <c r="U2476" s="21" t="s">
        <v>2276</v>
      </c>
      <c r="V2476" s="21" t="s">
        <v>2276</v>
      </c>
      <c r="W2476" s="4" t="s">
        <v>2375</v>
      </c>
      <c r="X2476" s="4" t="s">
        <v>405</v>
      </c>
      <c r="Y2476" s="4" t="s">
        <v>86</v>
      </c>
      <c r="Z2476" s="4" t="s">
        <v>64</v>
      </c>
      <c r="AA2476" s="4" t="s">
        <v>6466</v>
      </c>
      <c r="AB2476" s="4"/>
    </row>
    <row r="2477" spans="1:28" ht="29">
      <c r="A2477" s="156" t="str">
        <f>'Reported burning'!A2483</f>
        <v>279a</v>
      </c>
      <c r="B2477" s="156" t="str">
        <f>'Reported burning'!B2483</f>
        <v>279a.3</v>
      </c>
      <c r="C2477" s="156" t="str">
        <f>'Reported burning'!C2483</f>
        <v>Human, deliberate</v>
      </c>
      <c r="D2477" s="156" t="str">
        <f>'Reported burning'!D2483</f>
        <v>Crop residue burning</v>
      </c>
      <c r="E2477" s="156" t="str">
        <f>'Reported burning'!E2483</f>
        <v>Cropping, agroecology</v>
      </c>
      <c r="F2477" s="156" t="str">
        <f>'Reported burning'!F2483</f>
        <v>Cropland</v>
      </c>
      <c r="G2477" s="156" t="str">
        <f>'Reported burning'!G2483</f>
        <v>ND</v>
      </c>
      <c r="H2477" s="156" t="str">
        <f>'Reported burning'!H2483</f>
        <v>Presence</v>
      </c>
      <c r="I2477" s="5"/>
      <c r="J2477" s="4"/>
      <c r="K2477" s="4"/>
      <c r="L2477" s="4"/>
      <c r="M2477" s="4"/>
      <c r="N2477" s="4"/>
      <c r="O2477" s="4" t="s">
        <v>2375</v>
      </c>
      <c r="P2477" s="4"/>
      <c r="Q2477" s="4"/>
      <c r="R2477" s="4"/>
      <c r="S2477" s="4" t="s">
        <v>2374</v>
      </c>
      <c r="T2477" s="21" t="s">
        <v>2276</v>
      </c>
      <c r="U2477" s="21" t="s">
        <v>2276</v>
      </c>
      <c r="V2477" s="21" t="s">
        <v>2276</v>
      </c>
      <c r="W2477" s="4" t="s">
        <v>2375</v>
      </c>
      <c r="X2477" s="4" t="s">
        <v>405</v>
      </c>
      <c r="Y2477" s="4" t="s">
        <v>86</v>
      </c>
      <c r="Z2477" s="4" t="s">
        <v>64</v>
      </c>
      <c r="AA2477" s="4" t="s">
        <v>6465</v>
      </c>
      <c r="AB2477" s="4"/>
    </row>
    <row r="2478" spans="1:28" ht="29">
      <c r="A2478" s="156" t="str">
        <f>'Reported burning'!A2484</f>
        <v>279a</v>
      </c>
      <c r="B2478" s="156" t="str">
        <f>'Reported burning'!B2484</f>
        <v>279a.4</v>
      </c>
      <c r="C2478" s="156" t="str">
        <f>'Reported burning'!C2484</f>
        <v>Human, deliberate</v>
      </c>
      <c r="D2478" s="156" t="str">
        <f>'Reported burning'!D2484</f>
        <v>Crop residue burning</v>
      </c>
      <c r="E2478" s="156" t="str">
        <f>'Reported burning'!E2484</f>
        <v>Cropping, agroecology</v>
      </c>
      <c r="F2478" s="156" t="str">
        <f>'Reported burning'!F2484</f>
        <v>Cropland</v>
      </c>
      <c r="G2478" s="156" t="str">
        <f>'Reported burning'!G2484</f>
        <v>ND</v>
      </c>
      <c r="H2478" s="156" t="str">
        <f>'Reported burning'!H2484</f>
        <v>Presence</v>
      </c>
      <c r="I2478" s="5"/>
      <c r="J2478" s="4"/>
      <c r="K2478" s="4"/>
      <c r="L2478" s="4"/>
      <c r="M2478" s="4"/>
      <c r="N2478" s="4"/>
      <c r="O2478" s="4" t="s">
        <v>2375</v>
      </c>
      <c r="P2478" s="4"/>
      <c r="Q2478" s="4"/>
      <c r="R2478" s="4"/>
      <c r="S2478" s="4" t="s">
        <v>2527</v>
      </c>
      <c r="T2478" s="21" t="s">
        <v>2276</v>
      </c>
      <c r="U2478" s="21" t="s">
        <v>2276</v>
      </c>
      <c r="V2478" s="21" t="s">
        <v>2276</v>
      </c>
      <c r="W2478" s="4" t="s">
        <v>2375</v>
      </c>
      <c r="X2478" s="4" t="s">
        <v>405</v>
      </c>
      <c r="Y2478" s="4" t="s">
        <v>86</v>
      </c>
      <c r="Z2478" s="4" t="s">
        <v>64</v>
      </c>
      <c r="AA2478" s="4" t="s">
        <v>6466</v>
      </c>
      <c r="AB2478" s="4"/>
    </row>
    <row r="2479" spans="1:28" ht="29">
      <c r="A2479" s="156" t="str">
        <f>'Reported burning'!A2485</f>
        <v>279b</v>
      </c>
      <c r="B2479" s="156" t="str">
        <f>'Reported burning'!B2485</f>
        <v>279b.1</v>
      </c>
      <c r="C2479" s="156" t="str">
        <f>'Reported burning'!C2485</f>
        <v>Human, deliberate</v>
      </c>
      <c r="D2479" s="156" t="str">
        <f>'Reported burning'!D2485</f>
        <v>Crop residue burning</v>
      </c>
      <c r="E2479" s="156" t="str">
        <f>'Reported burning'!E2485</f>
        <v>Mixed cropping-livestock small holder, Subsistence-oriented</v>
      </c>
      <c r="F2479" s="156" t="str">
        <f>'Reported burning'!F2485</f>
        <v>Cropland</v>
      </c>
      <c r="G2479" s="156" t="str">
        <f>'Reported burning'!G2485</f>
        <v>ND</v>
      </c>
      <c r="H2479" s="156" t="str">
        <f>'Reported burning'!H2485</f>
        <v>Presence</v>
      </c>
      <c r="I2479" s="5"/>
      <c r="J2479" s="4"/>
      <c r="K2479" s="4"/>
      <c r="L2479" s="4"/>
      <c r="M2479" s="4"/>
      <c r="N2479" s="4"/>
      <c r="O2479" s="4" t="s">
        <v>2374</v>
      </c>
      <c r="P2479" s="4"/>
      <c r="Q2479" s="4"/>
      <c r="R2479" s="4"/>
      <c r="S2479" s="4" t="s">
        <v>2390</v>
      </c>
      <c r="T2479" s="21" t="s">
        <v>2276</v>
      </c>
      <c r="U2479" s="21" t="s">
        <v>2276</v>
      </c>
      <c r="V2479" s="21" t="s">
        <v>2276</v>
      </c>
      <c r="W2479" s="4" t="s">
        <v>2375</v>
      </c>
      <c r="X2479" s="4" t="s">
        <v>405</v>
      </c>
      <c r="Y2479" s="4" t="s">
        <v>86</v>
      </c>
      <c r="Z2479" s="4" t="s">
        <v>64</v>
      </c>
      <c r="AA2479" s="4" t="s">
        <v>6467</v>
      </c>
      <c r="AB2479" s="4"/>
    </row>
    <row r="2480" spans="1:28" ht="29">
      <c r="A2480" s="156" t="str">
        <f>'Reported burning'!A2486</f>
        <v>279b</v>
      </c>
      <c r="B2480" s="156" t="str">
        <f>'Reported burning'!B2486</f>
        <v>279b.2</v>
      </c>
      <c r="C2480" s="156" t="str">
        <f>'Reported burning'!C2486</f>
        <v>Human, deliberate</v>
      </c>
      <c r="D2480" s="156" t="str">
        <f>'Reported burning'!D2486</f>
        <v>Crop residue burning</v>
      </c>
      <c r="E2480" s="156" t="str">
        <f>'Reported burning'!E2486</f>
        <v>Cropping, Swidden</v>
      </c>
      <c r="F2480" s="156" t="str">
        <f>'Reported burning'!F2486</f>
        <v>Cropland</v>
      </c>
      <c r="G2480" s="156" t="str">
        <f>'Reported burning'!G2486</f>
        <v>ND</v>
      </c>
      <c r="H2480" s="156" t="str">
        <f>'Reported burning'!H2486</f>
        <v>Presence</v>
      </c>
      <c r="I2480" s="5"/>
      <c r="J2480" s="4"/>
      <c r="K2480" s="4"/>
      <c r="L2480" s="4"/>
      <c r="M2480" s="4"/>
      <c r="N2480" s="4"/>
      <c r="O2480" s="4" t="s">
        <v>2374</v>
      </c>
      <c r="P2480" s="4"/>
      <c r="Q2480" s="4"/>
      <c r="R2480" s="4"/>
      <c r="S2480" s="4" t="s">
        <v>2390</v>
      </c>
      <c r="T2480" s="21" t="s">
        <v>2276</v>
      </c>
      <c r="U2480" s="21" t="s">
        <v>2276</v>
      </c>
      <c r="V2480" s="21" t="s">
        <v>2276</v>
      </c>
      <c r="W2480" s="4" t="s">
        <v>2375</v>
      </c>
      <c r="X2480" s="4" t="s">
        <v>405</v>
      </c>
      <c r="Y2480" s="4" t="s">
        <v>86</v>
      </c>
      <c r="Z2480" s="4" t="s">
        <v>64</v>
      </c>
      <c r="AA2480" s="4" t="s">
        <v>6467</v>
      </c>
      <c r="AB2480" s="4"/>
    </row>
    <row r="2481" spans="1:28" ht="29">
      <c r="A2481" s="156" t="str">
        <f>'Reported burning'!A2487</f>
        <v>279c</v>
      </c>
      <c r="B2481" s="156" t="str">
        <f>'Reported burning'!B2487</f>
        <v>279c.1</v>
      </c>
      <c r="C2481" s="156" t="str">
        <f>'Reported burning'!C2487</f>
        <v>Human, deliberate</v>
      </c>
      <c r="D2481" s="156" t="str">
        <f>'Reported burning'!D2487</f>
        <v>Crop residue burning</v>
      </c>
      <c r="E2481" s="156" t="str">
        <f>'Reported burning'!E2487</f>
        <v>Cropping, Monoculture, Subsistence-oriented</v>
      </c>
      <c r="F2481" s="156" t="str">
        <f>'Reported burning'!F2487</f>
        <v>Cropland</v>
      </c>
      <c r="G2481" s="156" t="str">
        <f>'Reported burning'!G2487</f>
        <v>ND</v>
      </c>
      <c r="H2481" s="156" t="str">
        <f>'Reported burning'!H2487</f>
        <v>Presence</v>
      </c>
      <c r="I2481" s="5"/>
      <c r="J2481" s="4"/>
      <c r="K2481" s="4"/>
      <c r="L2481" s="4"/>
      <c r="M2481" s="4"/>
      <c r="N2481" s="4"/>
      <c r="O2481" s="4" t="s">
        <v>2373</v>
      </c>
      <c r="P2481" s="4"/>
      <c r="Q2481" s="4"/>
      <c r="R2481" s="4"/>
      <c r="S2481" s="4" t="s">
        <v>2391</v>
      </c>
      <c r="T2481" s="21" t="s">
        <v>2276</v>
      </c>
      <c r="U2481" s="21" t="s">
        <v>2276</v>
      </c>
      <c r="V2481" s="21" t="s">
        <v>2276</v>
      </c>
      <c r="W2481" s="4" t="s">
        <v>2375</v>
      </c>
      <c r="X2481" s="4" t="s">
        <v>405</v>
      </c>
      <c r="Y2481" s="4" t="s">
        <v>86</v>
      </c>
      <c r="Z2481" s="4" t="s">
        <v>64</v>
      </c>
      <c r="AA2481" s="4" t="s">
        <v>6468</v>
      </c>
      <c r="AB2481" s="4"/>
    </row>
    <row r="2482" spans="1:28" ht="29">
      <c r="A2482" s="156" t="str">
        <f>'Reported burning'!A2488</f>
        <v>279c</v>
      </c>
      <c r="B2482" s="156" t="str">
        <f>'Reported burning'!B2488</f>
        <v>279c.2</v>
      </c>
      <c r="C2482" s="156" t="str">
        <f>'Reported burning'!C2488</f>
        <v>Human, deliberate</v>
      </c>
      <c r="D2482" s="156" t="str">
        <f>'Reported burning'!D2488</f>
        <v>Crop residue burning</v>
      </c>
      <c r="E2482" s="156" t="str">
        <f>'Reported burning'!E2488</f>
        <v>Cropping, Swidden</v>
      </c>
      <c r="F2482" s="156" t="str">
        <f>'Reported burning'!F2488</f>
        <v>Cropland</v>
      </c>
      <c r="G2482" s="156" t="str">
        <f>'Reported burning'!G2488</f>
        <v>ND</v>
      </c>
      <c r="H2482" s="156" t="str">
        <f>'Reported burning'!H2488</f>
        <v>Presence</v>
      </c>
      <c r="I2482" s="5"/>
      <c r="J2482" s="4"/>
      <c r="K2482" s="4"/>
      <c r="L2482" s="4"/>
      <c r="M2482" s="4"/>
      <c r="N2482" s="4"/>
      <c r="O2482" s="4" t="s">
        <v>2373</v>
      </c>
      <c r="P2482" s="4"/>
      <c r="Q2482" s="4"/>
      <c r="R2482" s="4"/>
      <c r="S2482" s="4" t="s">
        <v>2391</v>
      </c>
      <c r="T2482" s="21" t="s">
        <v>2276</v>
      </c>
      <c r="U2482" s="21" t="s">
        <v>2276</v>
      </c>
      <c r="V2482" s="21" t="s">
        <v>2276</v>
      </c>
      <c r="W2482" s="4" t="s">
        <v>2375</v>
      </c>
      <c r="X2482" s="4" t="s">
        <v>405</v>
      </c>
      <c r="Y2482" s="4" t="s">
        <v>86</v>
      </c>
      <c r="Z2482" s="4" t="s">
        <v>64</v>
      </c>
      <c r="AA2482" s="4" t="s">
        <v>6468</v>
      </c>
      <c r="AB2482" s="4"/>
    </row>
    <row r="2483" spans="1:28" ht="29">
      <c r="A2483" s="156" t="str">
        <f>'Reported burning'!A2489</f>
        <v>280a</v>
      </c>
      <c r="B2483" s="156" t="str">
        <f>'Reported burning'!B2489</f>
        <v>280a.1</v>
      </c>
      <c r="C2483" s="156" t="str">
        <f>'Reported burning'!C2489</f>
        <v>Human, deliberate</v>
      </c>
      <c r="D2483" s="156" t="str">
        <f>'Reported burning'!D2489</f>
        <v>Crop residue burning</v>
      </c>
      <c r="E2483" s="156" t="str">
        <f>'Reported burning'!E2489</f>
        <v>Cropping, Monoculture, Market-oriented</v>
      </c>
      <c r="F2483" s="156" t="str">
        <f>'Reported burning'!F2489</f>
        <v>Cropland</v>
      </c>
      <c r="G2483" s="156" t="str">
        <f>'Reported burning'!G2489</f>
        <v>ND</v>
      </c>
      <c r="H2483" s="156" t="str">
        <f>'Reported burning'!H2489</f>
        <v>Presence</v>
      </c>
      <c r="I2483" s="5"/>
      <c r="J2483" s="4"/>
      <c r="K2483" s="4"/>
      <c r="L2483" s="4"/>
      <c r="M2483" s="4"/>
      <c r="N2483" s="4"/>
      <c r="O2483" s="4" t="s">
        <v>2362</v>
      </c>
      <c r="P2483" s="4"/>
      <c r="Q2483" s="4"/>
      <c r="R2483" s="4"/>
      <c r="S2483" s="4" t="s">
        <v>2376</v>
      </c>
      <c r="T2483" s="21" t="s">
        <v>2276</v>
      </c>
      <c r="U2483" s="21" t="s">
        <v>2276</v>
      </c>
      <c r="V2483" s="21" t="s">
        <v>2276</v>
      </c>
      <c r="W2483" s="4" t="s">
        <v>2375</v>
      </c>
      <c r="X2483" s="4"/>
      <c r="Y2483" s="4"/>
      <c r="Z2483" s="4" t="s">
        <v>64</v>
      </c>
      <c r="AA2483" s="4" t="s">
        <v>6469</v>
      </c>
      <c r="AB2483" s="4"/>
    </row>
    <row r="2484" spans="1:28" ht="29">
      <c r="A2484" s="156" t="str">
        <f>'Reported burning'!A2490</f>
        <v>280a</v>
      </c>
      <c r="B2484" s="156" t="str">
        <f>'Reported burning'!B2490</f>
        <v>280a.2</v>
      </c>
      <c r="C2484" s="156" t="str">
        <f>'Reported burning'!C2490</f>
        <v>Human, deliberate</v>
      </c>
      <c r="D2484" s="156" t="str">
        <f>'Reported burning'!D2490</f>
        <v>Crop residue burning</v>
      </c>
      <c r="E2484" s="156" t="str">
        <f>'Reported burning'!E2490</f>
        <v>Cropping, Monoculture, Market-oriented</v>
      </c>
      <c r="F2484" s="156" t="str">
        <f>'Reported burning'!F2490</f>
        <v>Cropland</v>
      </c>
      <c r="G2484" s="156" t="str">
        <f>'Reported burning'!G2490</f>
        <v>ND</v>
      </c>
      <c r="H2484" s="156" t="str">
        <f>'Reported burning'!H2490</f>
        <v>Presence</v>
      </c>
      <c r="I2484" s="5"/>
      <c r="J2484" s="4"/>
      <c r="K2484" s="4"/>
      <c r="L2484" s="4"/>
      <c r="M2484" s="4"/>
      <c r="N2484" s="4"/>
      <c r="O2484" s="4" t="s">
        <v>2362</v>
      </c>
      <c r="P2484" s="4"/>
      <c r="Q2484" s="4"/>
      <c r="R2484" s="4"/>
      <c r="S2484" s="4" t="s">
        <v>2376</v>
      </c>
      <c r="T2484" s="21" t="s">
        <v>2276</v>
      </c>
      <c r="U2484" s="21" t="s">
        <v>2276</v>
      </c>
      <c r="V2484" s="21" t="s">
        <v>2276</v>
      </c>
      <c r="W2484" s="4" t="s">
        <v>2375</v>
      </c>
      <c r="X2484" s="4"/>
      <c r="Y2484" s="4"/>
      <c r="Z2484" s="4" t="s">
        <v>64</v>
      </c>
      <c r="AA2484" s="4" t="s">
        <v>6470</v>
      </c>
      <c r="AB2484" s="4"/>
    </row>
    <row r="2485" spans="1:28" ht="29">
      <c r="A2485" s="156" t="str">
        <f>'Reported burning'!A2491</f>
        <v>280a</v>
      </c>
      <c r="B2485" s="156" t="str">
        <f>'Reported burning'!B2491</f>
        <v>280a.3</v>
      </c>
      <c r="C2485" s="156" t="str">
        <f>'Reported burning'!C2491</f>
        <v>Human, deliberate</v>
      </c>
      <c r="D2485" s="156" t="str">
        <f>'Reported burning'!D2491</f>
        <v>Crop residue burning</v>
      </c>
      <c r="E2485" s="156" t="str">
        <f>'Reported burning'!E2491</f>
        <v>Cropping, Monoculture, Subsistence-oriented</v>
      </c>
      <c r="F2485" s="156" t="str">
        <f>'Reported burning'!F2491</f>
        <v>Cropland</v>
      </c>
      <c r="G2485" s="156" t="str">
        <f>'Reported burning'!G2491</f>
        <v>ND</v>
      </c>
      <c r="H2485" s="156" t="str">
        <f>'Reported burning'!H2491</f>
        <v>Presence</v>
      </c>
      <c r="I2485" s="5"/>
      <c r="J2485" s="4"/>
      <c r="K2485" s="4"/>
      <c r="L2485" s="4"/>
      <c r="M2485" s="4"/>
      <c r="N2485" s="4"/>
      <c r="O2485" s="4" t="s">
        <v>2362</v>
      </c>
      <c r="P2485" s="4"/>
      <c r="Q2485" s="4"/>
      <c r="R2485" s="4"/>
      <c r="S2485" s="4" t="s">
        <v>2376</v>
      </c>
      <c r="T2485" s="21" t="s">
        <v>2276</v>
      </c>
      <c r="U2485" s="21" t="s">
        <v>2276</v>
      </c>
      <c r="V2485" s="21" t="s">
        <v>2276</v>
      </c>
      <c r="W2485" s="4" t="s">
        <v>2375</v>
      </c>
      <c r="X2485" s="4"/>
      <c r="Y2485" s="4"/>
      <c r="Z2485" s="4" t="s">
        <v>64</v>
      </c>
      <c r="AA2485" s="4" t="s">
        <v>6469</v>
      </c>
      <c r="AB2485" s="4"/>
    </row>
    <row r="2486" spans="1:28" ht="29">
      <c r="A2486" s="156" t="str">
        <f>'Reported burning'!A2492</f>
        <v>280a</v>
      </c>
      <c r="B2486" s="156" t="str">
        <f>'Reported burning'!B2492</f>
        <v>280a.4</v>
      </c>
      <c r="C2486" s="156" t="str">
        <f>'Reported burning'!C2492</f>
        <v>Human, deliberate</v>
      </c>
      <c r="D2486" s="156" t="str">
        <f>'Reported burning'!D2492</f>
        <v>Crop residue burning</v>
      </c>
      <c r="E2486" s="156" t="str">
        <f>'Reported burning'!E2492</f>
        <v>Cropping, Monoculture, Subsistence-oriented</v>
      </c>
      <c r="F2486" s="156" t="str">
        <f>'Reported burning'!F2492</f>
        <v>Cropland</v>
      </c>
      <c r="G2486" s="156" t="str">
        <f>'Reported burning'!G2492</f>
        <v>ND</v>
      </c>
      <c r="H2486" s="156" t="str">
        <f>'Reported burning'!H2492</f>
        <v>Presence</v>
      </c>
      <c r="I2486" s="5"/>
      <c r="J2486" s="4"/>
      <c r="K2486" s="4"/>
      <c r="L2486" s="4"/>
      <c r="M2486" s="4"/>
      <c r="N2486" s="4"/>
      <c r="O2486" s="4" t="s">
        <v>2362</v>
      </c>
      <c r="P2486" s="4"/>
      <c r="Q2486" s="4"/>
      <c r="R2486" s="4"/>
      <c r="S2486" s="4" t="s">
        <v>2376</v>
      </c>
      <c r="T2486" s="21" t="s">
        <v>2276</v>
      </c>
      <c r="U2486" s="21" t="s">
        <v>2276</v>
      </c>
      <c r="V2486" s="21" t="s">
        <v>2276</v>
      </c>
      <c r="W2486" s="4" t="s">
        <v>2375</v>
      </c>
      <c r="X2486" s="4"/>
      <c r="Y2486" s="4"/>
      <c r="Z2486" s="4" t="s">
        <v>64</v>
      </c>
      <c r="AA2486" s="4" t="s">
        <v>6470</v>
      </c>
      <c r="AB2486" s="4"/>
    </row>
    <row r="2487" spans="1:28" ht="29">
      <c r="A2487" s="156" t="str">
        <f>'Reported burning'!A2493</f>
        <v>280b</v>
      </c>
      <c r="B2487" s="156" t="str">
        <f>'Reported burning'!B2493</f>
        <v>280b.1</v>
      </c>
      <c r="C2487" s="156" t="str">
        <f>'Reported burning'!C2493</f>
        <v>Human, deliberate</v>
      </c>
      <c r="D2487" s="156" t="str">
        <f>'Reported burning'!D2493</f>
        <v>Crop residue burning</v>
      </c>
      <c r="E2487" s="156" t="str">
        <f>'Reported burning'!E2493</f>
        <v>Cropping, Monoculture, Subsistence-oriented</v>
      </c>
      <c r="F2487" s="156" t="str">
        <f>'Reported burning'!F2493</f>
        <v>Cropland</v>
      </c>
      <c r="G2487" s="156" t="str">
        <f>'Reported burning'!G2493</f>
        <v>ND</v>
      </c>
      <c r="H2487" s="156" t="str">
        <f>'Reported burning'!H2493</f>
        <v>Presence</v>
      </c>
      <c r="I2487" s="5"/>
      <c r="J2487" s="4"/>
      <c r="K2487" s="4"/>
      <c r="L2487" s="4"/>
      <c r="M2487" s="4"/>
      <c r="N2487" s="4"/>
      <c r="O2487" s="4" t="s">
        <v>2362</v>
      </c>
      <c r="P2487" s="4"/>
      <c r="Q2487" s="4"/>
      <c r="R2487" s="4"/>
      <c r="S2487" s="4" t="s">
        <v>2389</v>
      </c>
      <c r="T2487" s="21" t="s">
        <v>2276</v>
      </c>
      <c r="U2487" s="21" t="s">
        <v>2276</v>
      </c>
      <c r="V2487" s="21" t="s">
        <v>2276</v>
      </c>
      <c r="W2487" s="4" t="s">
        <v>2375</v>
      </c>
      <c r="X2487" s="4"/>
      <c r="Y2487" s="4"/>
      <c r="Z2487" s="4" t="s">
        <v>64</v>
      </c>
      <c r="AA2487" s="4" t="s">
        <v>6469</v>
      </c>
      <c r="AB2487" s="4"/>
    </row>
    <row r="2488" spans="1:28" ht="29">
      <c r="A2488" s="156" t="str">
        <f>'Reported burning'!A2494</f>
        <v>280b</v>
      </c>
      <c r="B2488" s="156" t="str">
        <f>'Reported burning'!B2494</f>
        <v>280b.2</v>
      </c>
      <c r="C2488" s="156" t="str">
        <f>'Reported burning'!C2494</f>
        <v>Human, deliberate</v>
      </c>
      <c r="D2488" s="156" t="str">
        <f>'Reported burning'!D2494</f>
        <v>Crop residue burning</v>
      </c>
      <c r="E2488" s="156" t="str">
        <f>'Reported burning'!E2494</f>
        <v>Cropping, Monoculture, Subsistence-oriented</v>
      </c>
      <c r="F2488" s="156" t="str">
        <f>'Reported burning'!F2494</f>
        <v>Cropland</v>
      </c>
      <c r="G2488" s="156" t="str">
        <f>'Reported burning'!G2494</f>
        <v>ND</v>
      </c>
      <c r="H2488" s="156" t="str">
        <f>'Reported burning'!H2494</f>
        <v>Presence</v>
      </c>
      <c r="I2488" s="5"/>
      <c r="J2488" s="4"/>
      <c r="K2488" s="4"/>
      <c r="L2488" s="4"/>
      <c r="M2488" s="4"/>
      <c r="N2488" s="4"/>
      <c r="O2488" s="4" t="s">
        <v>2362</v>
      </c>
      <c r="P2488" s="4"/>
      <c r="Q2488" s="4"/>
      <c r="R2488" s="4"/>
      <c r="S2488" s="4" t="s">
        <v>2389</v>
      </c>
      <c r="T2488" s="21" t="s">
        <v>2276</v>
      </c>
      <c r="U2488" s="21" t="s">
        <v>2276</v>
      </c>
      <c r="V2488" s="21" t="s">
        <v>2276</v>
      </c>
      <c r="W2488" s="4" t="s">
        <v>2375</v>
      </c>
      <c r="X2488" s="4"/>
      <c r="Y2488" s="4"/>
      <c r="Z2488" s="4" t="s">
        <v>64</v>
      </c>
      <c r="AA2488" s="4" t="s">
        <v>6470</v>
      </c>
      <c r="AB2488" s="4"/>
    </row>
    <row r="2489" spans="1:28" ht="29">
      <c r="A2489" s="156" t="str">
        <f>'Reported burning'!A2495</f>
        <v>280b</v>
      </c>
      <c r="B2489" s="156" t="str">
        <f>'Reported burning'!B2495</f>
        <v>280b.3</v>
      </c>
      <c r="C2489" s="156" t="str">
        <f>'Reported burning'!C2495</f>
        <v>Human, deliberate</v>
      </c>
      <c r="D2489" s="156" t="str">
        <f>'Reported burning'!D2495</f>
        <v>Crop residue burning</v>
      </c>
      <c r="E2489" s="156" t="str">
        <f>'Reported burning'!E2495</f>
        <v>Cropping, Monoculture, Market-oriented</v>
      </c>
      <c r="F2489" s="156" t="str">
        <f>'Reported burning'!F2495</f>
        <v>Cropland</v>
      </c>
      <c r="G2489" s="156" t="str">
        <f>'Reported burning'!G2495</f>
        <v>ND</v>
      </c>
      <c r="H2489" s="156" t="str">
        <f>'Reported burning'!H2495</f>
        <v>Presence</v>
      </c>
      <c r="I2489" s="5"/>
      <c r="J2489" s="4"/>
      <c r="K2489" s="4"/>
      <c r="L2489" s="4"/>
      <c r="M2489" s="4"/>
      <c r="N2489" s="4"/>
      <c r="O2489" s="4" t="s">
        <v>2362</v>
      </c>
      <c r="P2489" s="4"/>
      <c r="Q2489" s="4"/>
      <c r="R2489" s="4"/>
      <c r="S2489" s="4" t="s">
        <v>2389</v>
      </c>
      <c r="T2489" s="21" t="s">
        <v>2276</v>
      </c>
      <c r="U2489" s="21" t="s">
        <v>2276</v>
      </c>
      <c r="V2489" s="21" t="s">
        <v>2276</v>
      </c>
      <c r="W2489" s="4" t="s">
        <v>2375</v>
      </c>
      <c r="X2489" s="4"/>
      <c r="Y2489" s="4"/>
      <c r="Z2489" s="4" t="s">
        <v>64</v>
      </c>
      <c r="AA2489" s="4" t="s">
        <v>6469</v>
      </c>
      <c r="AB2489" s="4"/>
    </row>
    <row r="2490" spans="1:28" ht="29">
      <c r="A2490" s="156" t="str">
        <f>'Reported burning'!A2496</f>
        <v>280b</v>
      </c>
      <c r="B2490" s="156" t="str">
        <f>'Reported burning'!B2496</f>
        <v>280b.4</v>
      </c>
      <c r="C2490" s="156" t="str">
        <f>'Reported burning'!C2496</f>
        <v>Human, deliberate</v>
      </c>
      <c r="D2490" s="156" t="str">
        <f>'Reported burning'!D2496</f>
        <v>Crop residue burning</v>
      </c>
      <c r="E2490" s="156" t="str">
        <f>'Reported burning'!E2496</f>
        <v>Cropping, Monoculture, Market-oriented</v>
      </c>
      <c r="F2490" s="156" t="str">
        <f>'Reported burning'!F2496</f>
        <v>Cropland</v>
      </c>
      <c r="G2490" s="156" t="str">
        <f>'Reported burning'!G2496</f>
        <v>ND</v>
      </c>
      <c r="H2490" s="156" t="str">
        <f>'Reported burning'!H2496</f>
        <v>Presence</v>
      </c>
      <c r="I2490" s="5"/>
      <c r="J2490" s="4"/>
      <c r="K2490" s="4"/>
      <c r="L2490" s="4"/>
      <c r="M2490" s="4"/>
      <c r="N2490" s="4"/>
      <c r="O2490" s="4" t="s">
        <v>2362</v>
      </c>
      <c r="P2490" s="4"/>
      <c r="Q2490" s="4"/>
      <c r="R2490" s="4"/>
      <c r="S2490" s="4" t="s">
        <v>2389</v>
      </c>
      <c r="T2490" s="21" t="s">
        <v>2276</v>
      </c>
      <c r="U2490" s="21" t="s">
        <v>2276</v>
      </c>
      <c r="V2490" s="21" t="s">
        <v>2276</v>
      </c>
      <c r="W2490" s="4" t="s">
        <v>2375</v>
      </c>
      <c r="X2490" s="4"/>
      <c r="Y2490" s="4"/>
      <c r="Z2490" s="4" t="s">
        <v>64</v>
      </c>
      <c r="AA2490" s="4" t="s">
        <v>6470</v>
      </c>
      <c r="AB2490" s="4"/>
    </row>
    <row r="2491" spans="1:28" ht="72.5">
      <c r="A2491" s="156" t="str">
        <f>'Reported burning'!A2497</f>
        <v>281a</v>
      </c>
      <c r="B2491" s="156" t="str">
        <f>'Reported burning'!B2497</f>
        <v>281a.1</v>
      </c>
      <c r="C2491" s="156" t="str">
        <f>'Reported burning'!C2497</f>
        <v>Human, deliberate</v>
      </c>
      <c r="D2491" s="156" t="str">
        <f>'Reported burning'!D2497</f>
        <v>Crop residue burning</v>
      </c>
      <c r="E2491" s="156" t="str">
        <f>'Reported burning'!E2497</f>
        <v>Cropping, Monoculture, Market-oriented</v>
      </c>
      <c r="F2491" s="156" t="str">
        <f>'Reported burning'!F2497</f>
        <v>Cropland</v>
      </c>
      <c r="G2491" s="156" t="str">
        <f>'Reported burning'!G2497</f>
        <v>ND</v>
      </c>
      <c r="H2491" s="156" t="str">
        <f>'Reported burning'!H2497</f>
        <v>Presence</v>
      </c>
      <c r="I2491" s="5"/>
      <c r="J2491" s="4"/>
      <c r="K2491" s="4"/>
      <c r="L2491" s="4"/>
      <c r="M2491" s="4"/>
      <c r="N2491" s="4"/>
      <c r="O2491" s="4"/>
      <c r="P2491" s="4"/>
      <c r="Q2491" s="4"/>
      <c r="R2491" s="4"/>
      <c r="S2491" s="4" t="s">
        <v>2395</v>
      </c>
      <c r="T2491" s="21" t="s">
        <v>2276</v>
      </c>
      <c r="U2491" s="21" t="s">
        <v>2276</v>
      </c>
      <c r="V2491" s="21" t="s">
        <v>2276</v>
      </c>
      <c r="W2491" s="4" t="s">
        <v>2375</v>
      </c>
      <c r="X2491" s="4" t="s">
        <v>34</v>
      </c>
      <c r="Y2491" s="4" t="s">
        <v>34</v>
      </c>
      <c r="Z2491" s="4" t="s">
        <v>64</v>
      </c>
      <c r="AA2491" s="4" t="s">
        <v>6471</v>
      </c>
      <c r="AB2491" s="4"/>
    </row>
    <row r="2492" spans="1:28" ht="58">
      <c r="A2492" s="156" t="str">
        <f>'Reported burning'!A2498</f>
        <v>281a</v>
      </c>
      <c r="B2492" s="156" t="str">
        <f>'Reported burning'!B2498</f>
        <v>281a.2</v>
      </c>
      <c r="C2492" s="156" t="str">
        <f>'Reported burning'!C2498</f>
        <v>Human, deliberate</v>
      </c>
      <c r="D2492" s="156" t="str">
        <f>'Reported burning'!D2498</f>
        <v>Crop residue burning</v>
      </c>
      <c r="E2492" s="156" t="str">
        <f>'Reported burning'!E2498</f>
        <v>Cropping, Monoculture, Market-oriented</v>
      </c>
      <c r="F2492" s="156" t="str">
        <f>'Reported burning'!F2498</f>
        <v>Cropland</v>
      </c>
      <c r="G2492" s="156" t="str">
        <f>'Reported burning'!G2498</f>
        <v>ND</v>
      </c>
      <c r="H2492" s="156" t="str">
        <f>'Reported burning'!H2498</f>
        <v>Presence</v>
      </c>
      <c r="I2492" s="5"/>
      <c r="J2492" s="4"/>
      <c r="K2492" s="4"/>
      <c r="L2492" s="4"/>
      <c r="M2492" s="4"/>
      <c r="N2492" s="4"/>
      <c r="O2492" s="4"/>
      <c r="P2492" s="4"/>
      <c r="Q2492" s="4"/>
      <c r="R2492" s="4"/>
      <c r="S2492" s="4" t="s">
        <v>2393</v>
      </c>
      <c r="T2492" s="21" t="s">
        <v>2276</v>
      </c>
      <c r="U2492" s="21" t="s">
        <v>2276</v>
      </c>
      <c r="V2492" s="21" t="s">
        <v>2276</v>
      </c>
      <c r="W2492" s="4" t="s">
        <v>2375</v>
      </c>
      <c r="X2492" s="4"/>
      <c r="Y2492" s="4"/>
      <c r="Z2492" s="4" t="s">
        <v>64</v>
      </c>
      <c r="AA2492" s="4" t="s">
        <v>6472</v>
      </c>
      <c r="AB2492" s="4"/>
    </row>
    <row r="2493" spans="1:28" ht="72.5">
      <c r="A2493" s="156" t="str">
        <f>'Reported burning'!A2499</f>
        <v>281a</v>
      </c>
      <c r="B2493" s="156" t="str">
        <f>'Reported burning'!B2499</f>
        <v>281a.3</v>
      </c>
      <c r="C2493" s="156" t="str">
        <f>'Reported burning'!C2499</f>
        <v>Human, deliberate</v>
      </c>
      <c r="D2493" s="156" t="str">
        <f>'Reported burning'!D2499</f>
        <v>Crop residue burning</v>
      </c>
      <c r="E2493" s="156" t="str">
        <f>'Reported burning'!E2499</f>
        <v>Cropping, Monoculture, Subsistence-oriented</v>
      </c>
      <c r="F2493" s="156" t="str">
        <f>'Reported burning'!F2499</f>
        <v>Cropland</v>
      </c>
      <c r="G2493" s="156" t="str">
        <f>'Reported burning'!G2499</f>
        <v>ND</v>
      </c>
      <c r="H2493" s="156" t="str">
        <f>'Reported burning'!H2499</f>
        <v>Presence</v>
      </c>
      <c r="I2493" s="5"/>
      <c r="J2493" s="4"/>
      <c r="K2493" s="4"/>
      <c r="L2493" s="4"/>
      <c r="M2493" s="4"/>
      <c r="N2493" s="4"/>
      <c r="O2493" s="4"/>
      <c r="P2493" s="4"/>
      <c r="Q2493" s="4"/>
      <c r="R2493" s="4"/>
      <c r="S2493" s="4" t="s">
        <v>2395</v>
      </c>
      <c r="T2493" s="21" t="s">
        <v>2276</v>
      </c>
      <c r="U2493" s="21" t="s">
        <v>2276</v>
      </c>
      <c r="V2493" s="21" t="s">
        <v>2276</v>
      </c>
      <c r="W2493" s="4" t="s">
        <v>2375</v>
      </c>
      <c r="X2493" s="4" t="s">
        <v>34</v>
      </c>
      <c r="Y2493" s="4" t="s">
        <v>34</v>
      </c>
      <c r="Z2493" s="4" t="s">
        <v>64</v>
      </c>
      <c r="AA2493" s="4" t="s">
        <v>6471</v>
      </c>
      <c r="AB2493" s="4"/>
    </row>
    <row r="2494" spans="1:28" ht="58">
      <c r="A2494" s="156" t="str">
        <f>'Reported burning'!A2500</f>
        <v>281a</v>
      </c>
      <c r="B2494" s="156" t="str">
        <f>'Reported burning'!B2500</f>
        <v>281a.4</v>
      </c>
      <c r="C2494" s="156" t="str">
        <f>'Reported burning'!C2500</f>
        <v>Human, deliberate</v>
      </c>
      <c r="D2494" s="156" t="str">
        <f>'Reported burning'!D2500</f>
        <v>Crop residue burning</v>
      </c>
      <c r="E2494" s="156" t="str">
        <f>'Reported burning'!E2500</f>
        <v>Cropping, Monoculture, Subsistence-oriented</v>
      </c>
      <c r="F2494" s="156" t="str">
        <f>'Reported burning'!F2500</f>
        <v>Cropland</v>
      </c>
      <c r="G2494" s="156" t="str">
        <f>'Reported burning'!G2500</f>
        <v>ND</v>
      </c>
      <c r="H2494" s="156" t="str">
        <f>'Reported burning'!H2500</f>
        <v>Presence</v>
      </c>
      <c r="I2494" s="5"/>
      <c r="J2494" s="4"/>
      <c r="K2494" s="4"/>
      <c r="L2494" s="4"/>
      <c r="M2494" s="4"/>
      <c r="N2494" s="4"/>
      <c r="O2494" s="4"/>
      <c r="P2494" s="4"/>
      <c r="Q2494" s="4"/>
      <c r="R2494" s="4"/>
      <c r="S2494" s="4" t="s">
        <v>2393</v>
      </c>
      <c r="T2494" s="21" t="s">
        <v>2276</v>
      </c>
      <c r="U2494" s="21" t="s">
        <v>2276</v>
      </c>
      <c r="V2494" s="21" t="s">
        <v>2276</v>
      </c>
      <c r="W2494" s="4" t="s">
        <v>2375</v>
      </c>
      <c r="X2494" s="4"/>
      <c r="Y2494" s="4"/>
      <c r="Z2494" s="4" t="s">
        <v>64</v>
      </c>
      <c r="AA2494" s="4" t="s">
        <v>6472</v>
      </c>
      <c r="AB2494" s="4"/>
    </row>
    <row r="2495" spans="1:28" ht="43" customHeight="1">
      <c r="A2495" s="156" t="str">
        <f>'Reported burning'!A2501</f>
        <v>282a</v>
      </c>
      <c r="B2495" s="156" t="str">
        <f>'Reported burning'!B2501</f>
        <v>282a.1</v>
      </c>
      <c r="C2495" s="156" t="str">
        <f>'Reported burning'!C2501</f>
        <v>Human, deliberate</v>
      </c>
      <c r="D2495" s="156" t="str">
        <f>'Reported burning'!D2501</f>
        <v>Crop residue burning</v>
      </c>
      <c r="E2495" s="156" t="str">
        <f>'Reported burning'!E2501</f>
        <v>Cropping, Monoculture, Subsistence-oriented</v>
      </c>
      <c r="F2495" s="156" t="str">
        <f>'Reported burning'!F2501</f>
        <v>Cropland</v>
      </c>
      <c r="G2495" s="156" t="str">
        <f>'Reported burning'!G2501</f>
        <v>ND</v>
      </c>
      <c r="H2495" s="156" t="str">
        <f>'Reported burning'!H2501</f>
        <v>Presence</v>
      </c>
      <c r="I2495" s="5"/>
      <c r="J2495" s="4"/>
      <c r="K2495" s="4"/>
      <c r="L2495" s="4"/>
      <c r="M2495" s="4"/>
      <c r="N2495" s="4"/>
      <c r="O2495" s="4"/>
      <c r="P2495" s="4"/>
      <c r="Q2495" s="4"/>
      <c r="R2495" s="4"/>
      <c r="S2495" s="4" t="s">
        <v>2376</v>
      </c>
      <c r="T2495" s="21" t="s">
        <v>2276</v>
      </c>
      <c r="U2495" s="21" t="s">
        <v>2276</v>
      </c>
      <c r="V2495" s="21" t="s">
        <v>2276</v>
      </c>
      <c r="W2495" s="4" t="s">
        <v>2375</v>
      </c>
      <c r="X2495" s="4"/>
      <c r="Y2495" s="4"/>
      <c r="Z2495" s="205" t="s">
        <v>64</v>
      </c>
      <c r="AA2495" s="4" t="s">
        <v>6473</v>
      </c>
      <c r="AB2495" s="4"/>
    </row>
    <row r="2496" spans="1:28" ht="43.5">
      <c r="A2496" s="156" t="str">
        <f>'Reported burning'!A2502</f>
        <v>283a</v>
      </c>
      <c r="B2496" s="156" t="str">
        <f>'Reported burning'!B2502</f>
        <v>283a.1</v>
      </c>
      <c r="C2496" s="156" t="str">
        <f>'Reported burning'!C2502</f>
        <v>Unknown</v>
      </c>
      <c r="D2496" s="156" t="str">
        <f>'Reported burning'!D2502</f>
        <v>Crop residue burning</v>
      </c>
      <c r="E2496" s="156" t="str">
        <f>'Reported burning'!E2502</f>
        <v>Cropping, Monoculture, Market-oriented</v>
      </c>
      <c r="F2496" s="156" t="str">
        <f>'Reported burning'!F2502</f>
        <v>Cropland</v>
      </c>
      <c r="G2496" s="156" t="str">
        <f>'Reported burning'!G2502</f>
        <v>ND</v>
      </c>
      <c r="H2496" s="156" t="str">
        <f>'Reported burning'!H2502</f>
        <v>Presence</v>
      </c>
      <c r="I2496" s="5"/>
      <c r="J2496" s="4"/>
      <c r="K2496" s="4"/>
      <c r="L2496" s="4"/>
      <c r="M2496" s="4"/>
      <c r="N2496" s="4"/>
      <c r="O2496" s="4"/>
      <c r="P2496" s="4"/>
      <c r="Q2496" s="4"/>
      <c r="R2496" s="4"/>
      <c r="S2496" s="4" t="s">
        <v>2527</v>
      </c>
      <c r="T2496" s="21" t="s">
        <v>2276</v>
      </c>
      <c r="U2496" s="21" t="s">
        <v>2276</v>
      </c>
      <c r="V2496" s="21" t="s">
        <v>2276</v>
      </c>
      <c r="W2496" s="4" t="s">
        <v>2276</v>
      </c>
      <c r="X2496" s="4" t="s">
        <v>399</v>
      </c>
      <c r="Y2496" s="4" t="s">
        <v>34</v>
      </c>
      <c r="Z2496" s="4" t="s">
        <v>2276</v>
      </c>
      <c r="AA2496" s="4" t="s">
        <v>6474</v>
      </c>
      <c r="AB2496" s="4"/>
    </row>
    <row r="2497" spans="1:28" ht="43.5">
      <c r="A2497" s="156" t="str">
        <f>'Reported burning'!A2503</f>
        <v>283a</v>
      </c>
      <c r="B2497" s="156" t="str">
        <f>'Reported burning'!B2503</f>
        <v>283a.2</v>
      </c>
      <c r="C2497" s="156" t="str">
        <f>'Reported burning'!C2503</f>
        <v>Unknown</v>
      </c>
      <c r="D2497" s="156" t="str">
        <f>'Reported burning'!D2503</f>
        <v>Crop residue burning</v>
      </c>
      <c r="E2497" s="156" t="str">
        <f>'Reported burning'!E2503</f>
        <v>Cropping, Monoculture, Subsistence-oriented</v>
      </c>
      <c r="F2497" s="156" t="str">
        <f>'Reported burning'!F2503</f>
        <v>Cropland</v>
      </c>
      <c r="G2497" s="156" t="str">
        <f>'Reported burning'!G2503</f>
        <v>ND</v>
      </c>
      <c r="H2497" s="156" t="str">
        <f>'Reported burning'!H2503</f>
        <v>Presence</v>
      </c>
      <c r="I2497" s="5"/>
      <c r="J2497" s="4"/>
      <c r="K2497" s="4"/>
      <c r="L2497" s="4"/>
      <c r="M2497" s="4"/>
      <c r="N2497" s="4"/>
      <c r="O2497" s="4"/>
      <c r="P2497" s="4"/>
      <c r="Q2497" s="4"/>
      <c r="R2497" s="4"/>
      <c r="S2497" s="4" t="s">
        <v>2527</v>
      </c>
      <c r="T2497" s="21" t="s">
        <v>2276</v>
      </c>
      <c r="U2497" s="21" t="s">
        <v>2276</v>
      </c>
      <c r="V2497" s="21" t="s">
        <v>2276</v>
      </c>
      <c r="W2497" s="4" t="s">
        <v>2276</v>
      </c>
      <c r="X2497" s="4" t="s">
        <v>399</v>
      </c>
      <c r="Y2497" s="4" t="s">
        <v>34</v>
      </c>
      <c r="Z2497" s="4" t="s">
        <v>2276</v>
      </c>
      <c r="AA2497" s="4" t="s">
        <v>6474</v>
      </c>
      <c r="AB2497" s="4"/>
    </row>
    <row r="2498" spans="1:28" ht="47.5" customHeight="1">
      <c r="A2498" s="156" t="str">
        <f>'Reported burning'!A2504</f>
        <v>284a</v>
      </c>
      <c r="B2498" s="156" t="str">
        <f>'Reported burning'!B2504</f>
        <v>284a.1</v>
      </c>
      <c r="C2498" s="156" t="str">
        <f>'Reported burning'!C2504</f>
        <v>Human, deliberate</v>
      </c>
      <c r="D2498" s="156" t="str">
        <f>'Reported burning'!D2504</f>
        <v>Pyrome management</v>
      </c>
      <c r="E2498" s="156" t="str">
        <f>'Reported burning'!E2504</f>
        <v>Biodiversity conservation</v>
      </c>
      <c r="F2498" s="156" t="str">
        <f>'Reported burning'!F2504</f>
        <v>Forest</v>
      </c>
      <c r="G2498" s="156" t="str">
        <f>'Reported burning'!G2504</f>
        <v>Forest</v>
      </c>
      <c r="H2498" s="156" t="str">
        <f>'Reported burning'!H2504</f>
        <v>Presence</v>
      </c>
      <c r="I2498" s="5"/>
      <c r="J2498" s="21" t="s">
        <v>2276</v>
      </c>
      <c r="K2498" s="21" t="s">
        <v>2276</v>
      </c>
      <c r="L2498" s="21" t="s">
        <v>2276</v>
      </c>
      <c r="M2498" s="21" t="s">
        <v>2276</v>
      </c>
      <c r="N2498" s="21" t="s">
        <v>2276</v>
      </c>
      <c r="O2498" s="21" t="s">
        <v>2276</v>
      </c>
      <c r="P2498" s="21" t="s">
        <v>2276</v>
      </c>
      <c r="Q2498" s="21" t="s">
        <v>2276</v>
      </c>
      <c r="R2498" s="21" t="s">
        <v>2276</v>
      </c>
      <c r="S2498" s="21" t="s">
        <v>2276</v>
      </c>
      <c r="T2498" s="21" t="s">
        <v>2276</v>
      </c>
      <c r="U2498" s="21" t="s">
        <v>2276</v>
      </c>
      <c r="V2498" s="21" t="s">
        <v>2276</v>
      </c>
      <c r="W2498" s="4" t="s">
        <v>2276</v>
      </c>
      <c r="X2498" s="4" t="s">
        <v>2276</v>
      </c>
      <c r="Y2498" s="4" t="s">
        <v>2276</v>
      </c>
      <c r="Z2498" s="4" t="s">
        <v>2276</v>
      </c>
      <c r="AA2498" s="4"/>
      <c r="AB2498" s="4" t="s">
        <v>6604</v>
      </c>
    </row>
    <row r="2499" spans="1:28" ht="47.5" customHeight="1">
      <c r="A2499" s="156" t="str">
        <f>'Reported burning'!A2505</f>
        <v>284a</v>
      </c>
      <c r="B2499" s="156" t="str">
        <f>'Reported burning'!B2505</f>
        <v>284a.2</v>
      </c>
      <c r="C2499" s="156" t="str">
        <f>'Reported burning'!C2505</f>
        <v>Other Natural</v>
      </c>
      <c r="D2499" s="156" t="str">
        <f>'Reported burning'!D2505</f>
        <v>ND</v>
      </c>
      <c r="E2499" s="156" t="str">
        <f>'Reported burning'!E2505</f>
        <v>ND</v>
      </c>
      <c r="F2499" s="156" t="str">
        <f>'Reported burning'!F2505</f>
        <v>ND</v>
      </c>
      <c r="G2499" s="156" t="str">
        <f>'Reported burning'!G2505</f>
        <v>ND</v>
      </c>
      <c r="H2499" s="156" t="str">
        <f>'Reported burning'!H2505</f>
        <v>Presence</v>
      </c>
      <c r="I2499" s="5"/>
      <c r="J2499" s="21" t="s">
        <v>2276</v>
      </c>
      <c r="K2499" s="21" t="s">
        <v>2276</v>
      </c>
      <c r="L2499" s="21" t="s">
        <v>2276</v>
      </c>
      <c r="M2499" s="21" t="s">
        <v>2276</v>
      </c>
      <c r="N2499" s="21" t="s">
        <v>2276</v>
      </c>
      <c r="O2499" s="21" t="s">
        <v>2276</v>
      </c>
      <c r="P2499" s="21" t="s">
        <v>2276</v>
      </c>
      <c r="Q2499" s="21" t="s">
        <v>2276</v>
      </c>
      <c r="R2499" s="21" t="s">
        <v>2276</v>
      </c>
      <c r="S2499" s="21" t="s">
        <v>2276</v>
      </c>
      <c r="T2499" s="21" t="s">
        <v>2276</v>
      </c>
      <c r="U2499" s="21" t="s">
        <v>2276</v>
      </c>
      <c r="V2499" s="21" t="s">
        <v>2276</v>
      </c>
      <c r="W2499" s="4" t="s">
        <v>2276</v>
      </c>
      <c r="X2499" s="4" t="s">
        <v>2276</v>
      </c>
      <c r="Y2499" s="4" t="s">
        <v>2276</v>
      </c>
      <c r="Z2499" s="4" t="s">
        <v>2276</v>
      </c>
      <c r="AA2499" s="4"/>
      <c r="AB2499" s="4" t="s">
        <v>6605</v>
      </c>
    </row>
    <row r="2500" spans="1:28" ht="47.5" customHeight="1">
      <c r="A2500" s="156" t="str">
        <f>'Reported burning'!A2506</f>
        <v>284b</v>
      </c>
      <c r="B2500" s="156" t="str">
        <f>'Reported burning'!B2506</f>
        <v>284b.1</v>
      </c>
      <c r="C2500" s="156" t="str">
        <f>'Reported burning'!C2506</f>
        <v>Human, deliberate</v>
      </c>
      <c r="D2500" s="156" t="str">
        <f>'Reported burning'!D2506</f>
        <v>Pyrome management</v>
      </c>
      <c r="E2500" s="156" t="str">
        <f>'Reported burning'!E2506</f>
        <v>Biodiversity conservation</v>
      </c>
      <c r="F2500" s="156" t="str">
        <f>'Reported burning'!F2506</f>
        <v>Forest</v>
      </c>
      <c r="G2500" s="156" t="str">
        <f>'Reported burning'!G2506</f>
        <v>Forest</v>
      </c>
      <c r="H2500" s="156" t="str">
        <f>'Reported burning'!H2506</f>
        <v>Presence</v>
      </c>
      <c r="I2500" s="5"/>
      <c r="J2500" s="21" t="s">
        <v>2276</v>
      </c>
      <c r="K2500" s="21" t="s">
        <v>2276</v>
      </c>
      <c r="L2500" s="21" t="s">
        <v>2276</v>
      </c>
      <c r="M2500" s="21" t="s">
        <v>2276</v>
      </c>
      <c r="N2500" s="21" t="s">
        <v>2276</v>
      </c>
      <c r="O2500" s="21" t="s">
        <v>2276</v>
      </c>
      <c r="P2500" s="21" t="s">
        <v>2276</v>
      </c>
      <c r="Q2500" s="21" t="s">
        <v>2276</v>
      </c>
      <c r="R2500" s="21" t="s">
        <v>2276</v>
      </c>
      <c r="S2500" s="21" t="s">
        <v>2276</v>
      </c>
      <c r="T2500" s="21" t="s">
        <v>2276</v>
      </c>
      <c r="U2500" s="21" t="s">
        <v>2276</v>
      </c>
      <c r="V2500" s="21" t="s">
        <v>2276</v>
      </c>
      <c r="W2500" s="21" t="s">
        <v>2402</v>
      </c>
      <c r="X2500" s="205" t="str">
        <f>'Reported burning'!Z2506</f>
        <v>December</v>
      </c>
      <c r="Y2500" s="205" t="str">
        <f>'Reported burning'!AA2506</f>
        <v>April</v>
      </c>
      <c r="Z2500" s="205" t="str">
        <f>'Reported burning'!AB2506</f>
        <v>ND</v>
      </c>
      <c r="AA2500" s="4"/>
      <c r="AB2500" s="4" t="s">
        <v>7933</v>
      </c>
    </row>
    <row r="2501" spans="1:28" ht="47.5" customHeight="1">
      <c r="A2501" s="156" t="str">
        <f>'Reported burning'!A2507</f>
        <v>284b</v>
      </c>
      <c r="B2501" s="156" t="str">
        <f>'Reported burning'!B2507</f>
        <v>284b.2</v>
      </c>
      <c r="C2501" s="156" t="str">
        <f>'Reported burning'!C2507</f>
        <v>Other Natural</v>
      </c>
      <c r="D2501" s="156" t="str">
        <f>'Reported burning'!D2507</f>
        <v>ND</v>
      </c>
      <c r="E2501" s="156" t="str">
        <f>'Reported burning'!E2507</f>
        <v>ND</v>
      </c>
      <c r="F2501" s="156" t="str">
        <f>'Reported burning'!F2507</f>
        <v>ND</v>
      </c>
      <c r="G2501" s="156" t="str">
        <f>'Reported burning'!G2507</f>
        <v>ND</v>
      </c>
      <c r="H2501" s="156" t="str">
        <f>'Reported burning'!H2507</f>
        <v>Presence</v>
      </c>
      <c r="I2501" s="5"/>
      <c r="J2501" s="21" t="s">
        <v>2276</v>
      </c>
      <c r="K2501" s="21" t="s">
        <v>2276</v>
      </c>
      <c r="L2501" s="21" t="s">
        <v>2276</v>
      </c>
      <c r="M2501" s="21" t="s">
        <v>2276</v>
      </c>
      <c r="N2501" s="21" t="s">
        <v>2276</v>
      </c>
      <c r="O2501" s="21" t="s">
        <v>2276</v>
      </c>
      <c r="P2501" s="21" t="s">
        <v>2276</v>
      </c>
      <c r="Q2501" s="21" t="s">
        <v>2276</v>
      </c>
      <c r="R2501" s="21" t="s">
        <v>2276</v>
      </c>
      <c r="S2501" s="21" t="s">
        <v>2276</v>
      </c>
      <c r="T2501" s="21" t="s">
        <v>2276</v>
      </c>
      <c r="U2501" s="21" t="s">
        <v>2276</v>
      </c>
      <c r="V2501" s="21" t="s">
        <v>2276</v>
      </c>
      <c r="W2501" s="21" t="s">
        <v>2276</v>
      </c>
      <c r="X2501" s="205" t="str">
        <f>'Reported burning'!Z2507</f>
        <v>December</v>
      </c>
      <c r="Y2501" s="205" t="str">
        <f>'Reported burning'!AA2507</f>
        <v>April</v>
      </c>
      <c r="Z2501" s="205" t="str">
        <f>'Reported burning'!AB2507</f>
        <v>ND</v>
      </c>
      <c r="AA2501" s="4"/>
      <c r="AB2501" s="4" t="s">
        <v>6606</v>
      </c>
    </row>
    <row r="2502" spans="1:28" ht="47.5" customHeight="1">
      <c r="A2502" s="156" t="str">
        <f>'Reported burning'!A2508</f>
        <v>285a</v>
      </c>
      <c r="B2502" s="156" t="str">
        <f>'Reported burning'!B2508</f>
        <v>285a.1</v>
      </c>
      <c r="C2502" s="156" t="str">
        <f>'Reported burning'!C2508</f>
        <v>Human, deliberate</v>
      </c>
      <c r="D2502" s="156" t="str">
        <f>'Reported burning'!D2508</f>
        <v>ND</v>
      </c>
      <c r="E2502" s="156" t="str">
        <f>'Reported burning'!E2508</f>
        <v>Urban planner</v>
      </c>
      <c r="F2502" s="156" t="str">
        <f>'Reported burning'!F2508</f>
        <v>ND</v>
      </c>
      <c r="G2502" s="156" t="str">
        <f>'Reported burning'!G2508</f>
        <v>ND</v>
      </c>
      <c r="H2502" s="156" t="str">
        <f>'Reported burning'!H2508</f>
        <v>Presence</v>
      </c>
      <c r="I2502" s="5"/>
      <c r="J2502" s="21" t="s">
        <v>2276</v>
      </c>
      <c r="K2502" s="21" t="s">
        <v>2276</v>
      </c>
      <c r="L2502" s="21" t="s">
        <v>2276</v>
      </c>
      <c r="M2502" s="21" t="s">
        <v>2276</v>
      </c>
      <c r="N2502" s="21" t="s">
        <v>2276</v>
      </c>
      <c r="O2502" s="21" t="s">
        <v>2276</v>
      </c>
      <c r="P2502" s="21" t="s">
        <v>2276</v>
      </c>
      <c r="Q2502" s="21" t="s">
        <v>2276</v>
      </c>
      <c r="R2502" s="21" t="s">
        <v>2276</v>
      </c>
      <c r="S2502" s="21" t="s">
        <v>2276</v>
      </c>
      <c r="T2502" s="21" t="s">
        <v>2276</v>
      </c>
      <c r="U2502" s="21" t="s">
        <v>2276</v>
      </c>
      <c r="V2502" s="21" t="s">
        <v>2276</v>
      </c>
      <c r="W2502" s="21" t="s">
        <v>2276</v>
      </c>
      <c r="X2502" s="205" t="str">
        <f>'Reported burning'!Z2508</f>
        <v>ND</v>
      </c>
      <c r="Y2502" s="205" t="str">
        <f>'Reported burning'!AA2508</f>
        <v>ND</v>
      </c>
      <c r="Z2502" s="205" t="str">
        <f>'Reported burning'!AB2508</f>
        <v>ND</v>
      </c>
      <c r="AA2502" s="205"/>
      <c r="AB2502" s="205"/>
    </row>
    <row r="2503" spans="1:28" ht="47.5" customHeight="1">
      <c r="A2503" s="156" t="str">
        <f>'Reported burning'!A2509</f>
        <v>285a</v>
      </c>
      <c r="B2503" s="156" t="str">
        <f>'Reported burning'!B2509</f>
        <v>285a.2</v>
      </c>
      <c r="C2503" s="156" t="str">
        <f>'Reported burning'!C2509</f>
        <v>Lightning</v>
      </c>
      <c r="D2503" s="156" t="str">
        <f>'Reported burning'!D2509</f>
        <v>ND</v>
      </c>
      <c r="E2503" s="156" t="str">
        <f>'Reported burning'!E2509</f>
        <v>ND</v>
      </c>
      <c r="F2503" s="156" t="str">
        <f>'Reported burning'!F2509</f>
        <v>ND</v>
      </c>
      <c r="G2503" s="156" t="str">
        <f>'Reported burning'!G2509</f>
        <v>ND</v>
      </c>
      <c r="H2503" s="156" t="str">
        <f>'Reported burning'!H2509</f>
        <v>Presence</v>
      </c>
      <c r="I2503" s="5"/>
      <c r="J2503" s="21" t="s">
        <v>2276</v>
      </c>
      <c r="K2503" s="21" t="s">
        <v>2276</v>
      </c>
      <c r="L2503" s="21" t="s">
        <v>2276</v>
      </c>
      <c r="M2503" s="21" t="s">
        <v>2276</v>
      </c>
      <c r="N2503" s="21" t="s">
        <v>2276</v>
      </c>
      <c r="O2503" s="21" t="s">
        <v>2276</v>
      </c>
      <c r="P2503" s="21" t="s">
        <v>2276</v>
      </c>
      <c r="Q2503" s="21" t="s">
        <v>2276</v>
      </c>
      <c r="R2503" s="21" t="s">
        <v>2276</v>
      </c>
      <c r="S2503" s="21" t="s">
        <v>2276</v>
      </c>
      <c r="T2503" s="21" t="s">
        <v>2276</v>
      </c>
      <c r="U2503" s="21" t="s">
        <v>2276</v>
      </c>
      <c r="V2503" s="21" t="s">
        <v>2276</v>
      </c>
      <c r="W2503" s="21" t="s">
        <v>2276</v>
      </c>
      <c r="X2503" s="205" t="str">
        <f>'Reported burning'!Z2509</f>
        <v>ND</v>
      </c>
      <c r="Y2503" s="205" t="str">
        <f>'Reported burning'!AA2509</f>
        <v>ND</v>
      </c>
      <c r="Z2503" s="205" t="str">
        <f>'Reported burning'!AB2509</f>
        <v>ND</v>
      </c>
      <c r="AA2503" s="205"/>
      <c r="AB2503" s="205"/>
    </row>
    <row r="2504" spans="1:28" ht="47.5" customHeight="1">
      <c r="A2504" s="156" t="str">
        <f>'Reported burning'!A2510</f>
        <v>285b</v>
      </c>
      <c r="B2504" s="156" t="str">
        <f>'Reported burning'!B2510</f>
        <v>285b.1</v>
      </c>
      <c r="C2504" s="156" t="str">
        <f>'Reported burning'!C2510</f>
        <v>Human, deliberate</v>
      </c>
      <c r="D2504" s="156" t="str">
        <f>'Reported burning'!D2510</f>
        <v>ND</v>
      </c>
      <c r="E2504" s="156" t="str">
        <f>'Reported burning'!E2510</f>
        <v>Urban planner</v>
      </c>
      <c r="F2504" s="156" t="str">
        <f>'Reported burning'!F2510</f>
        <v>ND</v>
      </c>
      <c r="G2504" s="156" t="str">
        <f>'Reported burning'!G2510</f>
        <v>ND</v>
      </c>
      <c r="H2504" s="156" t="str">
        <f>'Reported burning'!H2510</f>
        <v>Presence</v>
      </c>
      <c r="I2504" s="5"/>
      <c r="J2504" s="21" t="s">
        <v>2276</v>
      </c>
      <c r="K2504" s="21" t="s">
        <v>2276</v>
      </c>
      <c r="L2504" s="21" t="s">
        <v>2276</v>
      </c>
      <c r="M2504" s="21" t="s">
        <v>2276</v>
      </c>
      <c r="N2504" s="21" t="s">
        <v>2276</v>
      </c>
      <c r="O2504" s="21" t="s">
        <v>2276</v>
      </c>
      <c r="P2504" s="21" t="s">
        <v>2276</v>
      </c>
      <c r="Q2504" s="21" t="s">
        <v>2276</v>
      </c>
      <c r="R2504" s="21" t="s">
        <v>2276</v>
      </c>
      <c r="S2504" s="21" t="s">
        <v>2276</v>
      </c>
      <c r="T2504" s="21" t="s">
        <v>2276</v>
      </c>
      <c r="U2504" s="21" t="s">
        <v>2276</v>
      </c>
      <c r="V2504" s="21" t="s">
        <v>2276</v>
      </c>
      <c r="W2504" s="21" t="s">
        <v>2276</v>
      </c>
      <c r="X2504" s="205" t="str">
        <f>'Reported burning'!Z2510</f>
        <v>ND</v>
      </c>
      <c r="Y2504" s="205" t="str">
        <f>'Reported burning'!AA2510</f>
        <v>ND</v>
      </c>
      <c r="Z2504" s="205" t="str">
        <f>'Reported burning'!AB2510</f>
        <v>ND</v>
      </c>
      <c r="AA2504" s="205"/>
      <c r="AB2504" s="205"/>
    </row>
    <row r="2505" spans="1:28" ht="47.5" customHeight="1">
      <c r="A2505" s="156" t="str">
        <f>'Reported burning'!A2511</f>
        <v>285b</v>
      </c>
      <c r="B2505" s="156" t="str">
        <f>'Reported burning'!B2511</f>
        <v>285b.2</v>
      </c>
      <c r="C2505" s="156" t="str">
        <f>'Reported burning'!C2511</f>
        <v>Lightning</v>
      </c>
      <c r="D2505" s="156" t="str">
        <f>'Reported burning'!D2511</f>
        <v>ND</v>
      </c>
      <c r="E2505" s="156" t="str">
        <f>'Reported burning'!E2511</f>
        <v>ND</v>
      </c>
      <c r="F2505" s="156" t="str">
        <f>'Reported burning'!F2511</f>
        <v>ND</v>
      </c>
      <c r="G2505" s="156" t="str">
        <f>'Reported burning'!G2511</f>
        <v>ND</v>
      </c>
      <c r="H2505" s="156" t="str">
        <f>'Reported burning'!H2511</f>
        <v>Presence</v>
      </c>
      <c r="I2505" s="5"/>
      <c r="J2505" s="21" t="s">
        <v>2276</v>
      </c>
      <c r="K2505" s="21" t="s">
        <v>2276</v>
      </c>
      <c r="L2505" s="21" t="s">
        <v>2276</v>
      </c>
      <c r="M2505" s="21" t="s">
        <v>2276</v>
      </c>
      <c r="N2505" s="21" t="s">
        <v>2276</v>
      </c>
      <c r="O2505" s="21" t="s">
        <v>2276</v>
      </c>
      <c r="P2505" s="21" t="s">
        <v>2276</v>
      </c>
      <c r="Q2505" s="21" t="s">
        <v>2276</v>
      </c>
      <c r="R2505" s="21" t="s">
        <v>2276</v>
      </c>
      <c r="S2505" s="21" t="s">
        <v>2276</v>
      </c>
      <c r="T2505" s="21" t="s">
        <v>2276</v>
      </c>
      <c r="U2505" s="21" t="s">
        <v>2276</v>
      </c>
      <c r="V2505" s="21" t="s">
        <v>2374</v>
      </c>
      <c r="W2505" s="21" t="s">
        <v>2276</v>
      </c>
      <c r="X2505" s="205" t="str">
        <f>'Reported burning'!Z2511</f>
        <v>ND</v>
      </c>
      <c r="Y2505" s="205" t="str">
        <f>'Reported burning'!AA2511</f>
        <v>ND</v>
      </c>
      <c r="Z2505" s="205" t="str">
        <f>'Reported burning'!AB2511</f>
        <v>ND</v>
      </c>
      <c r="AA2505" s="205"/>
      <c r="AB2505" s="205"/>
    </row>
    <row r="2506" spans="1:28" ht="47.5" customHeight="1">
      <c r="A2506" s="156" t="str">
        <f>'Reported burning'!A2512</f>
        <v>287a</v>
      </c>
      <c r="B2506" s="156" t="str">
        <f>'Reported burning'!B2512</f>
        <v>287a.1</v>
      </c>
      <c r="C2506" s="156" t="str">
        <f>'Reported burning'!C2512</f>
        <v>Unknown</v>
      </c>
      <c r="D2506" s="156" t="str">
        <f>'Reported burning'!D2512</f>
        <v>ND</v>
      </c>
      <c r="E2506" s="156" t="str">
        <f>'Reported burning'!E2512</f>
        <v>Forestry, Industrial</v>
      </c>
      <c r="F2506" s="156" t="str">
        <f>'Reported burning'!F2512</f>
        <v>Forest</v>
      </c>
      <c r="G2506" s="156" t="str">
        <f>'Reported burning'!G2512</f>
        <v>Forest</v>
      </c>
      <c r="H2506" s="156" t="str">
        <f>'Reported burning'!H2512</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2276</v>
      </c>
      <c r="U2506" s="21" t="s">
        <v>2276</v>
      </c>
      <c r="V2506" s="21" t="s">
        <v>2276</v>
      </c>
      <c r="W2506" s="21" t="s">
        <v>2276</v>
      </c>
      <c r="X2506" s="205" t="str">
        <f>'Reported burning'!Z2512</f>
        <v>ND</v>
      </c>
      <c r="Y2506" s="205" t="str">
        <f>'Reported burning'!AA2512</f>
        <v>ND</v>
      </c>
      <c r="Z2506" s="205" t="str">
        <f>'Reported burning'!AB2512</f>
        <v>ND</v>
      </c>
      <c r="AA2506" s="205"/>
      <c r="AB2506" s="205"/>
    </row>
    <row r="2507" spans="1:28" ht="47.5" customHeight="1">
      <c r="A2507" s="156" t="str">
        <f>'Reported burning'!A2513</f>
        <v>287a</v>
      </c>
      <c r="B2507" s="156" t="str">
        <f>'Reported burning'!B2513</f>
        <v>287a.2</v>
      </c>
      <c r="C2507" s="156" t="str">
        <f>'Reported burning'!C2513</f>
        <v>Human, deliberate</v>
      </c>
      <c r="D2507" s="156" t="str">
        <f>'Reported burning'!D2513</f>
        <v>Pyrome management</v>
      </c>
      <c r="E2507" s="156" t="str">
        <f>'Reported burning'!E2513</f>
        <v>Forestry, Industrial</v>
      </c>
      <c r="F2507" s="156" t="str">
        <f>'Reported burning'!F2513</f>
        <v>Forest</v>
      </c>
      <c r="G2507" s="156" t="str">
        <f>'Reported burning'!G2513</f>
        <v>Forest</v>
      </c>
      <c r="H2507" s="156" t="str">
        <f>'Reported burning'!H2513</f>
        <v>Presence</v>
      </c>
      <c r="I2507" s="5"/>
      <c r="J2507" s="21" t="s">
        <v>2276</v>
      </c>
      <c r="K2507" s="21" t="s">
        <v>2276</v>
      </c>
      <c r="L2507" s="21"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05" t="str">
        <f>'Reported burning'!Z2513</f>
        <v>ND</v>
      </c>
      <c r="Y2507" s="205" t="str">
        <f>'Reported burning'!AA2513</f>
        <v>ND</v>
      </c>
      <c r="Z2507" s="205" t="str">
        <f>'Reported burning'!AB2513</f>
        <v>ND</v>
      </c>
      <c r="AA2507" s="205"/>
      <c r="AB2507" s="205"/>
    </row>
    <row r="2508" spans="1:28" ht="47.5" customHeight="1">
      <c r="A2508" s="156" t="str">
        <f>'Reported burning'!A2514</f>
        <v>287b</v>
      </c>
      <c r="B2508" s="156" t="str">
        <f>'Reported burning'!B2514</f>
        <v>287b.1</v>
      </c>
      <c r="C2508" s="156" t="str">
        <f>'Reported burning'!C2514</f>
        <v>Unknown</v>
      </c>
      <c r="D2508" s="156" t="str">
        <f>'Reported burning'!D2514</f>
        <v>ND</v>
      </c>
      <c r="E2508" s="156" t="str">
        <f>'Reported burning'!E2514</f>
        <v>Forestry, Industrial</v>
      </c>
      <c r="F2508" s="156" t="str">
        <f>'Reported burning'!F2514</f>
        <v>Forest</v>
      </c>
      <c r="G2508" s="156" t="str">
        <f>'Reported burning'!G2514</f>
        <v>Forest</v>
      </c>
      <c r="H2508" s="156" t="str">
        <f>'Reported burning'!H2514</f>
        <v>Presence</v>
      </c>
      <c r="I2508" s="5"/>
      <c r="J2508" s="21" t="s">
        <v>2276</v>
      </c>
      <c r="K2508" s="21" t="s">
        <v>2276</v>
      </c>
      <c r="L2508" s="21" t="s">
        <v>2276</v>
      </c>
      <c r="M2508" s="21" t="s">
        <v>2276</v>
      </c>
      <c r="N2508" s="21" t="s">
        <v>2276</v>
      </c>
      <c r="O2508" s="21" t="s">
        <v>2276</v>
      </c>
      <c r="P2508" s="21" t="s">
        <v>2276</v>
      </c>
      <c r="Q2508" s="21" t="s">
        <v>2276</v>
      </c>
      <c r="R2508" s="21" t="s">
        <v>2276</v>
      </c>
      <c r="S2508" s="21" t="s">
        <v>2276</v>
      </c>
      <c r="T2508" s="21" t="s">
        <v>2276</v>
      </c>
      <c r="U2508" s="21" t="s">
        <v>2276</v>
      </c>
      <c r="V2508" s="21" t="s">
        <v>2276</v>
      </c>
      <c r="W2508" s="21" t="s">
        <v>2276</v>
      </c>
      <c r="X2508" s="205" t="str">
        <f>'Reported burning'!Z2514</f>
        <v>ND</v>
      </c>
      <c r="Y2508" s="205" t="str">
        <f>'Reported burning'!AA2514</f>
        <v>ND</v>
      </c>
      <c r="Z2508" s="205" t="str">
        <f>'Reported burning'!AB2514</f>
        <v>ND</v>
      </c>
      <c r="AA2508" s="205"/>
      <c r="AB2508" s="205"/>
    </row>
    <row r="2509" spans="1:28" ht="47.5" customHeight="1">
      <c r="A2509" s="156" t="str">
        <f>'Reported burning'!A2515</f>
        <v>287b</v>
      </c>
      <c r="B2509" s="156" t="str">
        <f>'Reported burning'!B2515</f>
        <v>287b.2</v>
      </c>
      <c r="C2509" s="156" t="str">
        <f>'Reported burning'!C2515</f>
        <v>Human, deliberate</v>
      </c>
      <c r="D2509" s="156" t="str">
        <f>'Reported burning'!D2515</f>
        <v>Pyrome management</v>
      </c>
      <c r="E2509" s="156" t="str">
        <f>'Reported burning'!E2515</f>
        <v>Forestry, Industrial</v>
      </c>
      <c r="F2509" s="156" t="str">
        <f>'Reported burning'!F2515</f>
        <v>Forest</v>
      </c>
      <c r="G2509" s="156" t="str">
        <f>'Reported burning'!G2515</f>
        <v>Forest</v>
      </c>
      <c r="H2509" s="156" t="str">
        <f>'Reported burning'!H2515</f>
        <v>Presence</v>
      </c>
      <c r="I2509" s="5"/>
      <c r="J2509" s="21" t="s">
        <v>2276</v>
      </c>
      <c r="K2509" s="21" t="s">
        <v>2276</v>
      </c>
      <c r="L2509" s="21"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05" t="str">
        <f>'Reported burning'!Z2515</f>
        <v>ND</v>
      </c>
      <c r="Y2509" s="205" t="str">
        <f>'Reported burning'!AA2515</f>
        <v>ND</v>
      </c>
      <c r="Z2509" s="205" t="str">
        <f>'Reported burning'!AB2515</f>
        <v>ND</v>
      </c>
      <c r="AA2509" s="205"/>
      <c r="AB2509" s="205"/>
    </row>
    <row r="2510" spans="1:28" ht="47.5" customHeight="1">
      <c r="A2510" s="156" t="str">
        <f>'Reported burning'!A2516</f>
        <v>287c</v>
      </c>
      <c r="B2510" s="156" t="str">
        <f>'Reported burning'!B2516</f>
        <v>287c.1</v>
      </c>
      <c r="C2510" s="156" t="str">
        <f>'Reported burning'!C2516</f>
        <v>Unknown</v>
      </c>
      <c r="D2510" s="156" t="str">
        <f>'Reported burning'!D2516</f>
        <v>ND</v>
      </c>
      <c r="E2510" s="156" t="str">
        <f>'Reported burning'!E2516</f>
        <v>Forestry, Industrial</v>
      </c>
      <c r="F2510" s="156" t="str">
        <f>'Reported burning'!F2516</f>
        <v>Forest</v>
      </c>
      <c r="G2510" s="156" t="str">
        <f>'Reported burning'!G2516</f>
        <v>Forest</v>
      </c>
      <c r="H2510" s="156" t="str">
        <f>'Reported burning'!H2516</f>
        <v>Presence</v>
      </c>
      <c r="I2510" s="5"/>
      <c r="J2510" s="21" t="s">
        <v>2276</v>
      </c>
      <c r="K2510" s="21" t="s">
        <v>2276</v>
      </c>
      <c r="L2510" s="21" t="s">
        <v>2276</v>
      </c>
      <c r="M2510" s="21" t="s">
        <v>2276</v>
      </c>
      <c r="N2510" s="21" t="s">
        <v>2276</v>
      </c>
      <c r="O2510" s="21" t="s">
        <v>2276</v>
      </c>
      <c r="P2510" s="21" t="s">
        <v>2276</v>
      </c>
      <c r="Q2510" s="21" t="s">
        <v>2276</v>
      </c>
      <c r="R2510" s="21" t="s">
        <v>2276</v>
      </c>
      <c r="S2510" s="21" t="s">
        <v>2276</v>
      </c>
      <c r="T2510" s="21" t="s">
        <v>2276</v>
      </c>
      <c r="U2510" s="21" t="s">
        <v>2276</v>
      </c>
      <c r="V2510" s="21" t="s">
        <v>2276</v>
      </c>
      <c r="W2510" s="21" t="s">
        <v>2276</v>
      </c>
      <c r="X2510" s="205" t="str">
        <f>'Reported burning'!Z2516</f>
        <v>ND</v>
      </c>
      <c r="Y2510" s="205" t="str">
        <f>'Reported burning'!AA2516</f>
        <v>ND</v>
      </c>
      <c r="Z2510" s="205" t="str">
        <f>'Reported burning'!AB2516</f>
        <v>ND</v>
      </c>
      <c r="AA2510" s="205"/>
      <c r="AB2510" s="205"/>
    </row>
    <row r="2511" spans="1:28" ht="47.5" customHeight="1">
      <c r="A2511" s="156" t="str">
        <f>'Reported burning'!A2517</f>
        <v>287c</v>
      </c>
      <c r="B2511" s="156" t="str">
        <f>'Reported burning'!B2517</f>
        <v>287c.2</v>
      </c>
      <c r="C2511" s="156" t="str">
        <f>'Reported burning'!C2517</f>
        <v>Human, deliberate</v>
      </c>
      <c r="D2511" s="156" t="str">
        <f>'Reported burning'!D2517</f>
        <v>Pyrome management</v>
      </c>
      <c r="E2511" s="156" t="str">
        <f>'Reported burning'!E2517</f>
        <v>Forestry, Industrial</v>
      </c>
      <c r="F2511" s="156" t="str">
        <f>'Reported burning'!F2517</f>
        <v>Forest</v>
      </c>
      <c r="G2511" s="156" t="str">
        <f>'Reported burning'!G2517</f>
        <v>Forest</v>
      </c>
      <c r="H2511" s="156" t="str">
        <f>'Reported burning'!H2517</f>
        <v>Presence</v>
      </c>
      <c r="I2511" s="5"/>
      <c r="J2511" s="21" t="s">
        <v>2276</v>
      </c>
      <c r="K2511" s="21" t="s">
        <v>2276</v>
      </c>
      <c r="L2511" s="21" t="s">
        <v>2276</v>
      </c>
      <c r="M2511" s="21" t="s">
        <v>2276</v>
      </c>
      <c r="N2511" s="21" t="s">
        <v>2276</v>
      </c>
      <c r="O2511" s="21" t="s">
        <v>2276</v>
      </c>
      <c r="P2511" s="21" t="s">
        <v>2276</v>
      </c>
      <c r="Q2511" s="21" t="s">
        <v>2276</v>
      </c>
      <c r="R2511" s="21" t="s">
        <v>2276</v>
      </c>
      <c r="S2511" s="21" t="s">
        <v>2276</v>
      </c>
      <c r="T2511" s="21" t="s">
        <v>2276</v>
      </c>
      <c r="U2511" s="21" t="s">
        <v>2276</v>
      </c>
      <c r="V2511" s="21" t="s">
        <v>2276</v>
      </c>
      <c r="W2511" s="21" t="s">
        <v>2276</v>
      </c>
      <c r="X2511" s="205" t="str">
        <f>'Reported burning'!Z2517</f>
        <v>ND</v>
      </c>
      <c r="Y2511" s="205" t="str">
        <f>'Reported burning'!AA2517</f>
        <v>ND</v>
      </c>
      <c r="Z2511" s="205" t="str">
        <f>'Reported burning'!AB2517</f>
        <v>ND</v>
      </c>
      <c r="AA2511" s="205"/>
      <c r="AB2511" s="205"/>
    </row>
    <row r="2512" spans="1:28" ht="47.5" customHeight="1">
      <c r="A2512" s="156" t="str">
        <f>'Reported burning'!A2518</f>
        <v>287d</v>
      </c>
      <c r="B2512" s="156" t="str">
        <f>'Reported burning'!B2518</f>
        <v>287d.1</v>
      </c>
      <c r="C2512" s="156" t="str">
        <f>'Reported burning'!C2518</f>
        <v>Unknown</v>
      </c>
      <c r="D2512" s="156" t="str">
        <f>'Reported burning'!D2518</f>
        <v>ND</v>
      </c>
      <c r="E2512" s="156" t="str">
        <f>'Reported burning'!E2518</f>
        <v>Forestry, Industrial</v>
      </c>
      <c r="F2512" s="156" t="str">
        <f>'Reported burning'!F2518</f>
        <v>Forest</v>
      </c>
      <c r="G2512" s="156" t="str">
        <f>'Reported burning'!G2518</f>
        <v>Forest</v>
      </c>
      <c r="H2512" s="156" t="str">
        <f>'Reported burning'!H2518</f>
        <v>Presence</v>
      </c>
      <c r="I2512" s="5"/>
      <c r="J2512" s="21" t="s">
        <v>2276</v>
      </c>
      <c r="K2512" s="21" t="s">
        <v>2276</v>
      </c>
      <c r="L2512" s="21" t="s">
        <v>2276</v>
      </c>
      <c r="M2512" s="21" t="s">
        <v>2276</v>
      </c>
      <c r="N2512" s="21" t="s">
        <v>2276</v>
      </c>
      <c r="O2512" s="21" t="s">
        <v>2276</v>
      </c>
      <c r="P2512" s="21" t="s">
        <v>2276</v>
      </c>
      <c r="Q2512" s="21" t="s">
        <v>2276</v>
      </c>
      <c r="R2512" s="21" t="s">
        <v>2276</v>
      </c>
      <c r="S2512" s="21" t="s">
        <v>2276</v>
      </c>
      <c r="T2512" s="21" t="s">
        <v>2276</v>
      </c>
      <c r="U2512" s="21" t="s">
        <v>2276</v>
      </c>
      <c r="V2512" s="21" t="s">
        <v>2276</v>
      </c>
      <c r="W2512" s="21" t="s">
        <v>2276</v>
      </c>
      <c r="X2512" s="205" t="str">
        <f>'Reported burning'!Z2518</f>
        <v>ND</v>
      </c>
      <c r="Y2512" s="205" t="str">
        <f>'Reported burning'!AA2518</f>
        <v>ND</v>
      </c>
      <c r="Z2512" s="205" t="str">
        <f>'Reported burning'!AB2518</f>
        <v>ND</v>
      </c>
      <c r="AA2512" s="205"/>
      <c r="AB2512" s="205"/>
    </row>
    <row r="2513" spans="1:28" ht="47.5" customHeight="1">
      <c r="A2513" s="156" t="str">
        <f>'Reported burning'!A2519</f>
        <v>287d</v>
      </c>
      <c r="B2513" s="156" t="str">
        <f>'Reported burning'!B2519</f>
        <v>287d.2</v>
      </c>
      <c r="C2513" s="156" t="str">
        <f>'Reported burning'!C2519</f>
        <v>Human, deliberate</v>
      </c>
      <c r="D2513" s="156" t="str">
        <f>'Reported burning'!D2519</f>
        <v>Pyrome management</v>
      </c>
      <c r="E2513" s="156" t="str">
        <f>'Reported burning'!E2519</f>
        <v>Forestry, Industrial</v>
      </c>
      <c r="F2513" s="156" t="str">
        <f>'Reported burning'!F2519</f>
        <v>Forest</v>
      </c>
      <c r="G2513" s="156" t="str">
        <f>'Reported burning'!G2519</f>
        <v>Forest</v>
      </c>
      <c r="H2513" s="156" t="str">
        <f>'Reported burning'!H2519</f>
        <v>Presence</v>
      </c>
      <c r="I2513" s="5"/>
      <c r="J2513" s="21" t="s">
        <v>2276</v>
      </c>
      <c r="K2513" s="21" t="s">
        <v>2276</v>
      </c>
      <c r="L2513" s="21" t="s">
        <v>2276</v>
      </c>
      <c r="M2513" s="21" t="s">
        <v>2276</v>
      </c>
      <c r="N2513" s="21" t="s">
        <v>2276</v>
      </c>
      <c r="O2513" s="21" t="s">
        <v>2276</v>
      </c>
      <c r="P2513" s="21" t="s">
        <v>2276</v>
      </c>
      <c r="Q2513" s="21" t="s">
        <v>2276</v>
      </c>
      <c r="R2513" s="21" t="s">
        <v>2276</v>
      </c>
      <c r="S2513" s="21" t="s">
        <v>2276</v>
      </c>
      <c r="T2513" s="21" t="s">
        <v>2276</v>
      </c>
      <c r="U2513" s="21" t="s">
        <v>2276</v>
      </c>
      <c r="V2513" s="21" t="s">
        <v>2276</v>
      </c>
      <c r="W2513" s="21" t="s">
        <v>2276</v>
      </c>
      <c r="X2513" s="205" t="str">
        <f>'Reported burning'!Z2519</f>
        <v>ND</v>
      </c>
      <c r="Y2513" s="205" t="str">
        <f>'Reported burning'!AA2519</f>
        <v>ND</v>
      </c>
      <c r="Z2513" s="205" t="str">
        <f>'Reported burning'!AB2519</f>
        <v>ND</v>
      </c>
      <c r="AA2513" s="205"/>
      <c r="AB2513" s="205"/>
    </row>
    <row r="2514" spans="1:28" ht="47.5" customHeight="1">
      <c r="A2514" s="156" t="str">
        <f>'Reported burning'!A2520</f>
        <v>288a</v>
      </c>
      <c r="B2514" s="156" t="str">
        <f>'Reported burning'!B2520</f>
        <v>288a.1</v>
      </c>
      <c r="C2514" s="156" t="str">
        <f>'Reported burning'!C2520</f>
        <v>Human, deliberate</v>
      </c>
      <c r="D2514" s="156" t="str">
        <f>'Reported burning'!D2520</f>
        <v>Crop residue burning</v>
      </c>
      <c r="E2514" s="156" t="str">
        <f>'Reported burning'!E2520</f>
        <v>Forestry, Industrial</v>
      </c>
      <c r="F2514" s="156" t="str">
        <f>'Reported burning'!F2520</f>
        <v>Forest</v>
      </c>
      <c r="G2514" s="156" t="str">
        <f>'Reported burning'!G2520</f>
        <v>Forest</v>
      </c>
      <c r="H2514" s="156" t="str">
        <f>'Reported burning'!H2520</f>
        <v>Presence</v>
      </c>
      <c r="I2514" s="5"/>
      <c r="J2514" s="21" t="s">
        <v>2276</v>
      </c>
      <c r="K2514" s="21" t="s">
        <v>2276</v>
      </c>
      <c r="L2514" s="21" t="s">
        <v>2276</v>
      </c>
      <c r="M2514" s="21" t="s">
        <v>2276</v>
      </c>
      <c r="N2514" s="21" t="s">
        <v>2276</v>
      </c>
      <c r="O2514" s="21" t="s">
        <v>2276</v>
      </c>
      <c r="P2514" s="21" t="s">
        <v>2276</v>
      </c>
      <c r="Q2514" s="21" t="s">
        <v>2276</v>
      </c>
      <c r="R2514" s="21" t="s">
        <v>2276</v>
      </c>
      <c r="S2514" s="21" t="s">
        <v>2276</v>
      </c>
      <c r="T2514" s="21" t="s">
        <v>2276</v>
      </c>
      <c r="U2514" s="21" t="s">
        <v>2276</v>
      </c>
      <c r="V2514" s="21" t="s">
        <v>2276</v>
      </c>
      <c r="W2514" s="21" t="s">
        <v>2276</v>
      </c>
      <c r="X2514" s="205" t="str">
        <f>'Reported burning'!Z2520</f>
        <v>ND</v>
      </c>
      <c r="Y2514" s="205" t="str">
        <f>'Reported burning'!AA2520</f>
        <v>ND</v>
      </c>
      <c r="Z2514" s="205" t="str">
        <f>'Reported burning'!AB2520</f>
        <v>ND</v>
      </c>
      <c r="AA2514" s="205"/>
      <c r="AB2514" s="205"/>
    </row>
    <row r="2515" spans="1:28" ht="47.5" customHeight="1">
      <c r="A2515" s="156" t="str">
        <f>'Reported burning'!A2521</f>
        <v>288b</v>
      </c>
      <c r="B2515" s="156" t="str">
        <f>'Reported burning'!B2521</f>
        <v>288b.1</v>
      </c>
      <c r="C2515" s="156" t="str">
        <f>'Reported burning'!C2521</f>
        <v>Human, deliberate</v>
      </c>
      <c r="D2515" s="156" t="str">
        <f>'Reported burning'!D2521</f>
        <v>Crop residue burning</v>
      </c>
      <c r="E2515" s="156" t="str">
        <f>'Reported burning'!E2521</f>
        <v>Forestry, Industrial</v>
      </c>
      <c r="F2515" s="156" t="str">
        <f>'Reported burning'!F2521</f>
        <v>Forest</v>
      </c>
      <c r="G2515" s="156" t="str">
        <f>'Reported burning'!G2521</f>
        <v>Forest</v>
      </c>
      <c r="H2515" s="156" t="str">
        <f>'Reported burning'!H2521</f>
        <v>Presence</v>
      </c>
      <c r="I2515" s="5"/>
      <c r="J2515" s="21" t="s">
        <v>2276</v>
      </c>
      <c r="K2515" s="21" t="s">
        <v>2276</v>
      </c>
      <c r="L2515" s="21" t="s">
        <v>2276</v>
      </c>
      <c r="M2515" s="21" t="s">
        <v>2276</v>
      </c>
      <c r="N2515" s="21" t="s">
        <v>2276</v>
      </c>
      <c r="O2515" s="21" t="s">
        <v>2276</v>
      </c>
      <c r="P2515" s="21" t="s">
        <v>2276</v>
      </c>
      <c r="Q2515" s="21" t="s">
        <v>2276</v>
      </c>
      <c r="R2515" s="21" t="s">
        <v>2276</v>
      </c>
      <c r="S2515" s="21" t="s">
        <v>2276</v>
      </c>
      <c r="T2515" s="21" t="s">
        <v>2276</v>
      </c>
      <c r="U2515" s="21" t="s">
        <v>2276</v>
      </c>
      <c r="V2515" s="21" t="s">
        <v>2276</v>
      </c>
      <c r="W2515" s="21" t="s">
        <v>2276</v>
      </c>
      <c r="X2515" s="205" t="str">
        <f>'Reported burning'!Z2521</f>
        <v>ND</v>
      </c>
      <c r="Y2515" s="205" t="str">
        <f>'Reported burning'!AA2521</f>
        <v>ND</v>
      </c>
      <c r="Z2515" s="205" t="str">
        <f>'Reported burning'!AB2521</f>
        <v>ND</v>
      </c>
      <c r="AA2515" s="205"/>
      <c r="AB2515" s="205"/>
    </row>
    <row r="2516" spans="1:28" ht="47.5" customHeight="1">
      <c r="A2516" s="156" t="str">
        <f>'Reported burning'!A2522</f>
        <v>288c</v>
      </c>
      <c r="B2516" s="156" t="str">
        <f>'Reported burning'!B2522</f>
        <v>288c.1</v>
      </c>
      <c r="C2516" s="156" t="str">
        <f>'Reported burning'!C2522</f>
        <v>Human, deliberate</v>
      </c>
      <c r="D2516" s="156" t="str">
        <f>'Reported burning'!D2522</f>
        <v>Crop residue burning</v>
      </c>
      <c r="E2516" s="156" t="str">
        <f>'Reported burning'!E2522</f>
        <v>Forestry, Industrial</v>
      </c>
      <c r="F2516" s="156" t="str">
        <f>'Reported burning'!F2522</f>
        <v>Forest</v>
      </c>
      <c r="G2516" s="156" t="str">
        <f>'Reported burning'!G2522</f>
        <v>Forest</v>
      </c>
      <c r="H2516" s="156" t="str">
        <f>'Reported burning'!H2522</f>
        <v>Presence</v>
      </c>
      <c r="I2516" s="5"/>
      <c r="J2516" s="21" t="s">
        <v>2276</v>
      </c>
      <c r="K2516" s="21" t="s">
        <v>2276</v>
      </c>
      <c r="L2516" s="21" t="s">
        <v>2276</v>
      </c>
      <c r="M2516" s="21" t="s">
        <v>2276</v>
      </c>
      <c r="N2516" s="21" t="s">
        <v>2276</v>
      </c>
      <c r="O2516" s="21" t="s">
        <v>2276</v>
      </c>
      <c r="P2516" s="21" t="s">
        <v>2276</v>
      </c>
      <c r="Q2516" s="21" t="s">
        <v>2276</v>
      </c>
      <c r="R2516" s="21" t="s">
        <v>2276</v>
      </c>
      <c r="S2516" s="21" t="s">
        <v>2276</v>
      </c>
      <c r="T2516" s="21" t="s">
        <v>2276</v>
      </c>
      <c r="U2516" s="21" t="s">
        <v>2276</v>
      </c>
      <c r="V2516" s="21" t="s">
        <v>2276</v>
      </c>
      <c r="W2516" s="21" t="s">
        <v>2276</v>
      </c>
      <c r="X2516" s="21" t="s">
        <v>2276</v>
      </c>
      <c r="Y2516" s="21" t="s">
        <v>2276</v>
      </c>
      <c r="Z2516" s="21" t="s">
        <v>2276</v>
      </c>
      <c r="AA2516" s="205"/>
      <c r="AB2516" s="205"/>
    </row>
    <row r="2517" spans="1:28" s="204" customFormat="1" ht="47.5" customHeight="1">
      <c r="A2517" s="156" t="str">
        <f>'Reported burning'!A2523</f>
        <v>288c</v>
      </c>
      <c r="B2517" s="156" t="str">
        <f>'Reported burning'!B2523</f>
        <v>288c.2</v>
      </c>
      <c r="C2517" s="156" t="str">
        <f>'Reported burning'!C2523</f>
        <v>Human, deliberate</v>
      </c>
      <c r="D2517" s="156" t="str">
        <f>'Reported burning'!D2523</f>
        <v>Pyrome management</v>
      </c>
      <c r="E2517" s="156" t="str">
        <f>'Reported burning'!E2523</f>
        <v>Forestry, Industrial</v>
      </c>
      <c r="F2517" s="156" t="str">
        <f>'Reported burning'!F2523</f>
        <v>Forest</v>
      </c>
      <c r="G2517" s="156" t="str">
        <f>'Reported burning'!G2523</f>
        <v>Forest</v>
      </c>
      <c r="H2517" s="156" t="str">
        <f>'Reported burning'!H2523</f>
        <v>Presence</v>
      </c>
      <c r="I2517" s="5"/>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2276</v>
      </c>
      <c r="W2517" s="21" t="s">
        <v>2276</v>
      </c>
      <c r="X2517" s="21" t="s">
        <v>2276</v>
      </c>
      <c r="Y2517" s="21" t="s">
        <v>2276</v>
      </c>
      <c r="Z2517" s="21" t="s">
        <v>2276</v>
      </c>
      <c r="AA2517" s="205"/>
      <c r="AB2517" s="205"/>
    </row>
    <row r="2518" spans="1:28" ht="47.5" customHeight="1">
      <c r="A2518" s="156" t="str">
        <f>'Reported burning'!A2524</f>
        <v>288d</v>
      </c>
      <c r="B2518" s="156" t="str">
        <f>'Reported burning'!B2524</f>
        <v>288d.1</v>
      </c>
      <c r="C2518" s="156" t="str">
        <f>'Reported burning'!C2524</f>
        <v>Human, deliberate</v>
      </c>
      <c r="D2518" s="156" t="str">
        <f>'Reported burning'!D2524</f>
        <v>Crop residue burning</v>
      </c>
      <c r="E2518" s="156" t="str">
        <f>'Reported burning'!E2524</f>
        <v>Forestry, Industrial</v>
      </c>
      <c r="F2518" s="156" t="str">
        <f>'Reported burning'!F2524</f>
        <v>Forest</v>
      </c>
      <c r="G2518" s="156" t="str">
        <f>'Reported burning'!G2524</f>
        <v>Forest</v>
      </c>
      <c r="H2518" s="156" t="str">
        <f>'Reported burning'!H2524</f>
        <v>Presence</v>
      </c>
      <c r="I2518" s="5"/>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2276</v>
      </c>
      <c r="X2518" s="21" t="s">
        <v>2276</v>
      </c>
      <c r="Y2518" s="21" t="s">
        <v>2276</v>
      </c>
      <c r="Z2518" s="21" t="s">
        <v>2276</v>
      </c>
      <c r="AA2518" s="205"/>
      <c r="AB2518" s="205"/>
    </row>
    <row r="2519" spans="1:28" s="204" customFormat="1" ht="47.5" customHeight="1">
      <c r="A2519" s="156" t="str">
        <f>'Reported burning'!A2525</f>
        <v>288d</v>
      </c>
      <c r="B2519" s="156" t="str">
        <f>'Reported burning'!B2525</f>
        <v>288d.2</v>
      </c>
      <c r="C2519" s="156" t="str">
        <f>'Reported burning'!C2525</f>
        <v>Human, deliberate</v>
      </c>
      <c r="D2519" s="156" t="str">
        <f>'Reported burning'!D2525</f>
        <v>Pyrome management</v>
      </c>
      <c r="E2519" s="156" t="str">
        <f>'Reported burning'!E2525</f>
        <v>Forestry, Industrial</v>
      </c>
      <c r="F2519" s="156" t="str">
        <f>'Reported burning'!F2525</f>
        <v>Forest</v>
      </c>
      <c r="G2519" s="156" t="str">
        <f>'Reported burning'!G2525</f>
        <v>Forest</v>
      </c>
      <c r="H2519" s="156" t="str">
        <f>'Reported burning'!H2525</f>
        <v>Presence</v>
      </c>
      <c r="I2519" s="5"/>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1" t="s">
        <v>2276</v>
      </c>
      <c r="Y2519" s="21" t="s">
        <v>2276</v>
      </c>
      <c r="Z2519" s="21" t="s">
        <v>2276</v>
      </c>
      <c r="AA2519" s="205"/>
      <c r="AB2519" s="205"/>
    </row>
    <row r="2520" spans="1:28" ht="47.5" customHeight="1">
      <c r="A2520" s="156" t="str">
        <f>'Reported burning'!A2526</f>
        <v>288e</v>
      </c>
      <c r="B2520" s="156" t="str">
        <f>'Reported burning'!B2526</f>
        <v>288e.1</v>
      </c>
      <c r="C2520" s="156" t="str">
        <f>'Reported burning'!C2526</f>
        <v>Human, deliberate</v>
      </c>
      <c r="D2520" s="156" t="str">
        <f>'Reported burning'!D2526</f>
        <v>Crop residue burning</v>
      </c>
      <c r="E2520" s="156" t="str">
        <f>'Reported burning'!E2526</f>
        <v>Forestry, Industrial</v>
      </c>
      <c r="F2520" s="156" t="str">
        <f>'Reported burning'!F2526</f>
        <v>Forest</v>
      </c>
      <c r="G2520" s="156" t="str">
        <f>'Reported burning'!G2526</f>
        <v>Forest</v>
      </c>
      <c r="H2520" s="156" t="str">
        <f>'Reported burning'!H2526</f>
        <v>Presence</v>
      </c>
      <c r="I2520" s="5"/>
      <c r="J2520" s="21" t="s">
        <v>2276</v>
      </c>
      <c r="K2520" s="21" t="s">
        <v>2276</v>
      </c>
      <c r="L2520" s="21" t="s">
        <v>2276</v>
      </c>
      <c r="M2520" s="21" t="s">
        <v>2276</v>
      </c>
      <c r="N2520" s="21" t="s">
        <v>2276</v>
      </c>
      <c r="O2520" s="21" t="s">
        <v>2276</v>
      </c>
      <c r="P2520" s="21" t="s">
        <v>2276</v>
      </c>
      <c r="Q2520" s="21" t="s">
        <v>2276</v>
      </c>
      <c r="R2520" s="21" t="s">
        <v>2276</v>
      </c>
      <c r="S2520" s="21" t="s">
        <v>2276</v>
      </c>
      <c r="T2520" s="21" t="s">
        <v>2276</v>
      </c>
      <c r="U2520" s="21" t="s">
        <v>2276</v>
      </c>
      <c r="V2520" s="21" t="s">
        <v>2276</v>
      </c>
      <c r="W2520" s="21" t="s">
        <v>2276</v>
      </c>
      <c r="X2520" s="21" t="s">
        <v>2276</v>
      </c>
      <c r="Y2520" s="21" t="s">
        <v>2276</v>
      </c>
      <c r="Z2520" s="21" t="s">
        <v>2276</v>
      </c>
      <c r="AA2520" s="205"/>
      <c r="AB2520" s="205"/>
    </row>
    <row r="2521" spans="1:28" ht="47.5" customHeight="1">
      <c r="A2521" s="156" t="str">
        <f>'Reported burning'!A2527</f>
        <v>288f</v>
      </c>
      <c r="B2521" s="156" t="str">
        <f>'Reported burning'!B2527</f>
        <v>288f.1</v>
      </c>
      <c r="C2521" s="156" t="str">
        <f>'Reported burning'!C2527</f>
        <v>Human, deliberate</v>
      </c>
      <c r="D2521" s="156" t="str">
        <f>'Reported burning'!D2527</f>
        <v>Crop residue burning</v>
      </c>
      <c r="E2521" s="156" t="str">
        <f>'Reported burning'!E2527</f>
        <v>Forestry, Industrial</v>
      </c>
      <c r="F2521" s="156" t="str">
        <f>'Reported burning'!F2527</f>
        <v>Forest</v>
      </c>
      <c r="G2521" s="156" t="str">
        <f>'Reported burning'!G2527</f>
        <v>Forest</v>
      </c>
      <c r="H2521" s="156" t="str">
        <f>'Reported burning'!H2527</f>
        <v>Presence</v>
      </c>
      <c r="I2521" s="5"/>
      <c r="J2521" s="21" t="s">
        <v>2276</v>
      </c>
      <c r="K2521" s="21" t="s">
        <v>2276</v>
      </c>
      <c r="L2521" s="21" t="s">
        <v>2276</v>
      </c>
      <c r="M2521" s="21" t="s">
        <v>2276</v>
      </c>
      <c r="N2521" s="21" t="s">
        <v>2276</v>
      </c>
      <c r="O2521" s="21" t="s">
        <v>2276</v>
      </c>
      <c r="P2521" s="21" t="s">
        <v>2276</v>
      </c>
      <c r="Q2521" s="21" t="s">
        <v>2276</v>
      </c>
      <c r="R2521" s="21" t="s">
        <v>2276</v>
      </c>
      <c r="S2521" s="21" t="s">
        <v>2276</v>
      </c>
      <c r="T2521" s="21" t="s">
        <v>2276</v>
      </c>
      <c r="U2521" s="21" t="s">
        <v>2276</v>
      </c>
      <c r="V2521" s="21" t="s">
        <v>2276</v>
      </c>
      <c r="W2521" s="21" t="s">
        <v>2276</v>
      </c>
      <c r="X2521" s="21" t="s">
        <v>2276</v>
      </c>
      <c r="Y2521" s="21" t="s">
        <v>2276</v>
      </c>
      <c r="Z2521" s="21" t="s">
        <v>2276</v>
      </c>
      <c r="AA2521" s="205"/>
      <c r="AB2521" s="205"/>
    </row>
    <row r="2522" spans="1:28" ht="47.5" customHeight="1">
      <c r="A2522" s="156" t="str">
        <f>'Reported burning'!A2528</f>
        <v>288g</v>
      </c>
      <c r="B2522" s="156" t="str">
        <f>'Reported burning'!B2528</f>
        <v>288g.1</v>
      </c>
      <c r="C2522" s="156" t="str">
        <f>'Reported burning'!C2528</f>
        <v>Human, deliberate</v>
      </c>
      <c r="D2522" s="156" t="str">
        <f>'Reported burning'!D2528</f>
        <v>Crop residue burning</v>
      </c>
      <c r="E2522" s="156" t="str">
        <f>'Reported burning'!E2528</f>
        <v>Forestry, Industrial</v>
      </c>
      <c r="F2522" s="156" t="str">
        <f>'Reported burning'!F2528</f>
        <v>Forest</v>
      </c>
      <c r="G2522" s="156" t="str">
        <f>'Reported burning'!G2528</f>
        <v>Forest</v>
      </c>
      <c r="H2522" s="156" t="str">
        <f>'Reported burning'!H2528</f>
        <v>Presence</v>
      </c>
      <c r="I2522" s="5"/>
      <c r="J2522" s="21" t="s">
        <v>2276</v>
      </c>
      <c r="K2522" s="21" t="s">
        <v>2276</v>
      </c>
      <c r="L2522" s="21" t="s">
        <v>2276</v>
      </c>
      <c r="M2522" s="21" t="s">
        <v>2276</v>
      </c>
      <c r="N2522" s="21" t="s">
        <v>2276</v>
      </c>
      <c r="O2522" s="21" t="s">
        <v>2276</v>
      </c>
      <c r="P2522" s="21" t="s">
        <v>2276</v>
      </c>
      <c r="Q2522" s="21" t="s">
        <v>2276</v>
      </c>
      <c r="R2522" s="21" t="s">
        <v>2276</v>
      </c>
      <c r="S2522" s="21" t="s">
        <v>2276</v>
      </c>
      <c r="T2522" s="21" t="s">
        <v>2276</v>
      </c>
      <c r="U2522" s="21" t="s">
        <v>2276</v>
      </c>
      <c r="V2522" s="21" t="s">
        <v>2276</v>
      </c>
      <c r="W2522" s="21" t="s">
        <v>2276</v>
      </c>
      <c r="X2522" s="21" t="s">
        <v>2276</v>
      </c>
      <c r="Y2522" s="21" t="s">
        <v>2276</v>
      </c>
      <c r="Z2522" s="21" t="s">
        <v>2276</v>
      </c>
      <c r="AA2522" s="205"/>
      <c r="AB2522" s="205"/>
    </row>
    <row r="2523" spans="1:28" s="204" customFormat="1" ht="47.5" customHeight="1">
      <c r="A2523" s="156" t="str">
        <f>'Reported burning'!A2529</f>
        <v>288g</v>
      </c>
      <c r="B2523" s="156" t="str">
        <f>'Reported burning'!B2529</f>
        <v>288g.2</v>
      </c>
      <c r="C2523" s="156" t="str">
        <f>'Reported burning'!C2529</f>
        <v>Human, deliberate</v>
      </c>
      <c r="D2523" s="156" t="str">
        <f>'Reported burning'!D2529</f>
        <v>Pyrome management</v>
      </c>
      <c r="E2523" s="156" t="str">
        <f>'Reported burning'!E2529</f>
        <v>Forestry, Industrial</v>
      </c>
      <c r="F2523" s="156" t="str">
        <f>'Reported burning'!F2529</f>
        <v>Forest</v>
      </c>
      <c r="G2523" s="156" t="str">
        <f>'Reported burning'!G2529</f>
        <v>Forest</v>
      </c>
      <c r="H2523" s="156" t="str">
        <f>'Reported burning'!H2529</f>
        <v>Presence</v>
      </c>
      <c r="I2523" s="5"/>
      <c r="J2523" s="21" t="s">
        <v>2276</v>
      </c>
      <c r="K2523" s="21" t="s">
        <v>2276</v>
      </c>
      <c r="L2523" s="21" t="s">
        <v>2276</v>
      </c>
      <c r="M2523" s="21" t="s">
        <v>2276</v>
      </c>
      <c r="N2523" s="21" t="s">
        <v>2276</v>
      </c>
      <c r="O2523" s="21" t="s">
        <v>2276</v>
      </c>
      <c r="P2523" s="21" t="s">
        <v>2276</v>
      </c>
      <c r="Q2523" s="21" t="s">
        <v>2276</v>
      </c>
      <c r="R2523" s="21" t="s">
        <v>2276</v>
      </c>
      <c r="S2523" s="21" t="s">
        <v>2276</v>
      </c>
      <c r="T2523" s="21" t="s">
        <v>2276</v>
      </c>
      <c r="U2523" s="21" t="s">
        <v>2276</v>
      </c>
      <c r="V2523" s="21" t="s">
        <v>2276</v>
      </c>
      <c r="W2523" s="21" t="s">
        <v>2276</v>
      </c>
      <c r="X2523" s="21" t="s">
        <v>2276</v>
      </c>
      <c r="Y2523" s="21" t="s">
        <v>2276</v>
      </c>
      <c r="Z2523" s="21" t="s">
        <v>2276</v>
      </c>
      <c r="AA2523" s="205"/>
      <c r="AB2523" s="205"/>
    </row>
    <row r="2524" spans="1:28" ht="47.5" customHeight="1">
      <c r="A2524" s="156" t="str">
        <f>'Reported burning'!A2530</f>
        <v>288h</v>
      </c>
      <c r="B2524" s="156" t="str">
        <f>'Reported burning'!B2530</f>
        <v>288h.1</v>
      </c>
      <c r="C2524" s="156" t="str">
        <f>'Reported burning'!C2530</f>
        <v>Human, deliberate</v>
      </c>
      <c r="D2524" s="156" t="str">
        <f>'Reported burning'!D2530</f>
        <v>Crop residue burning</v>
      </c>
      <c r="E2524" s="156" t="str">
        <f>'Reported burning'!E2530</f>
        <v>Forestry, Industrial</v>
      </c>
      <c r="F2524" s="156" t="str">
        <f>'Reported burning'!F2530</f>
        <v>Forest</v>
      </c>
      <c r="G2524" s="156" t="str">
        <f>'Reported burning'!G2530</f>
        <v>Forest</v>
      </c>
      <c r="H2524" s="156" t="str">
        <f>'Reported burning'!H2530</f>
        <v>Presence</v>
      </c>
      <c r="I2524" s="5"/>
      <c r="J2524" s="21" t="s">
        <v>2276</v>
      </c>
      <c r="K2524" s="21" t="s">
        <v>2276</v>
      </c>
      <c r="L2524" s="21" t="s">
        <v>2276</v>
      </c>
      <c r="M2524" s="21" t="s">
        <v>2276</v>
      </c>
      <c r="N2524" s="21" t="s">
        <v>2276</v>
      </c>
      <c r="O2524" s="21" t="s">
        <v>2276</v>
      </c>
      <c r="P2524" s="21" t="s">
        <v>2276</v>
      </c>
      <c r="Q2524" s="21" t="s">
        <v>2276</v>
      </c>
      <c r="R2524" s="21" t="s">
        <v>2276</v>
      </c>
      <c r="S2524" s="21" t="s">
        <v>2276</v>
      </c>
      <c r="T2524" s="21" t="s">
        <v>2276</v>
      </c>
      <c r="U2524" s="21" t="s">
        <v>2276</v>
      </c>
      <c r="V2524" s="21" t="s">
        <v>2276</v>
      </c>
      <c r="W2524" s="21" t="s">
        <v>2276</v>
      </c>
      <c r="X2524" s="21" t="s">
        <v>2276</v>
      </c>
      <c r="Y2524" s="21" t="s">
        <v>2276</v>
      </c>
      <c r="Z2524" s="21" t="s">
        <v>2276</v>
      </c>
      <c r="AA2524" s="205"/>
      <c r="AB2524" s="205"/>
    </row>
    <row r="2525" spans="1:28" ht="47.5" customHeight="1">
      <c r="A2525" s="156" t="str">
        <f>'Reported burning'!A2531</f>
        <v>288i</v>
      </c>
      <c r="B2525" s="156" t="str">
        <f>'Reported burning'!B2531</f>
        <v>288i.1</v>
      </c>
      <c r="C2525" s="156" t="str">
        <f>'Reported burning'!C2531</f>
        <v>Human, deliberate</v>
      </c>
      <c r="D2525" s="156" t="str">
        <f>'Reported burning'!D2531</f>
        <v>Crop residue burning</v>
      </c>
      <c r="E2525" s="156" t="str">
        <f>'Reported burning'!E2531</f>
        <v>Forestry, Industrial</v>
      </c>
      <c r="F2525" s="156" t="str">
        <f>'Reported burning'!F2531</f>
        <v>Forest</v>
      </c>
      <c r="G2525" s="156" t="str">
        <f>'Reported burning'!G2531</f>
        <v>Forest</v>
      </c>
      <c r="H2525" s="156" t="str">
        <f>'Reported burning'!H2531</f>
        <v>Presence</v>
      </c>
      <c r="I2525" s="5"/>
      <c r="J2525" s="21" t="s">
        <v>2276</v>
      </c>
      <c r="K2525" s="21" t="s">
        <v>2276</v>
      </c>
      <c r="L2525" s="21" t="s">
        <v>2276</v>
      </c>
      <c r="M2525" s="21" t="s">
        <v>2276</v>
      </c>
      <c r="N2525" s="21" t="s">
        <v>2276</v>
      </c>
      <c r="O2525" s="21" t="s">
        <v>2276</v>
      </c>
      <c r="P2525" s="21" t="s">
        <v>2276</v>
      </c>
      <c r="Q2525" s="21" t="s">
        <v>2276</v>
      </c>
      <c r="R2525" s="21" t="s">
        <v>2276</v>
      </c>
      <c r="S2525" s="21" t="s">
        <v>2276</v>
      </c>
      <c r="T2525" s="21" t="s">
        <v>2276</v>
      </c>
      <c r="U2525" s="21" t="s">
        <v>2276</v>
      </c>
      <c r="V2525" s="21" t="s">
        <v>2276</v>
      </c>
      <c r="W2525" s="21" t="s">
        <v>2276</v>
      </c>
      <c r="X2525" s="21" t="s">
        <v>2276</v>
      </c>
      <c r="Y2525" s="21" t="s">
        <v>2276</v>
      </c>
      <c r="Z2525" s="21" t="s">
        <v>2276</v>
      </c>
      <c r="AA2525" s="205"/>
      <c r="AB2525" s="205"/>
    </row>
    <row r="2526" spans="1:28" ht="47.5" customHeight="1">
      <c r="A2526" s="156" t="str">
        <f>'Reported burning'!A2532</f>
        <v>288j</v>
      </c>
      <c r="B2526" s="156" t="str">
        <f>'Reported burning'!B2532</f>
        <v>288j.1</v>
      </c>
      <c r="C2526" s="156" t="str">
        <f>'Reported burning'!C2532</f>
        <v>Human, deliberate</v>
      </c>
      <c r="D2526" s="156" t="str">
        <f>'Reported burning'!D2532</f>
        <v>Crop residue burning</v>
      </c>
      <c r="E2526" s="156" t="str">
        <f>'Reported burning'!E2532</f>
        <v>Forestry, Industrial</v>
      </c>
      <c r="F2526" s="156" t="str">
        <f>'Reported burning'!F2532</f>
        <v>Forest</v>
      </c>
      <c r="G2526" s="156" t="str">
        <f>'Reported burning'!G2532</f>
        <v>Forest</v>
      </c>
      <c r="H2526" s="156" t="str">
        <f>'Reported burning'!H2532</f>
        <v>Presence</v>
      </c>
      <c r="I2526" s="5"/>
      <c r="J2526" s="21" t="s">
        <v>2276</v>
      </c>
      <c r="K2526" s="21" t="s">
        <v>2276</v>
      </c>
      <c r="L2526" s="21" t="s">
        <v>2276</v>
      </c>
      <c r="M2526" s="21" t="s">
        <v>2276</v>
      </c>
      <c r="N2526" s="21" t="s">
        <v>2276</v>
      </c>
      <c r="O2526" s="21" t="s">
        <v>2276</v>
      </c>
      <c r="P2526" s="21" t="s">
        <v>2276</v>
      </c>
      <c r="Q2526" s="21" t="s">
        <v>2276</v>
      </c>
      <c r="R2526" s="21" t="s">
        <v>2276</v>
      </c>
      <c r="S2526" s="21" t="s">
        <v>2276</v>
      </c>
      <c r="T2526" s="21" t="s">
        <v>2276</v>
      </c>
      <c r="U2526" s="21" t="s">
        <v>2276</v>
      </c>
      <c r="V2526" s="21" t="s">
        <v>2276</v>
      </c>
      <c r="W2526" s="21" t="s">
        <v>2276</v>
      </c>
      <c r="X2526" s="21" t="s">
        <v>2276</v>
      </c>
      <c r="Y2526" s="21" t="s">
        <v>2276</v>
      </c>
      <c r="Z2526" s="21" t="s">
        <v>2276</v>
      </c>
      <c r="AA2526" s="205"/>
      <c r="AB2526" s="205"/>
    </row>
    <row r="2527" spans="1:28" s="204" customFormat="1" ht="47.5" customHeight="1">
      <c r="A2527" s="156" t="str">
        <f>'Reported burning'!A2533</f>
        <v>288j</v>
      </c>
      <c r="B2527" s="156" t="str">
        <f>'Reported burning'!B2533</f>
        <v>288j.2</v>
      </c>
      <c r="C2527" s="156" t="str">
        <f>'Reported burning'!C2533</f>
        <v>Human, deliberate</v>
      </c>
      <c r="D2527" s="156" t="str">
        <f>'Reported burning'!D2533</f>
        <v>Pyrome management</v>
      </c>
      <c r="E2527" s="156" t="str">
        <f>'Reported burning'!E2533</f>
        <v>Forestry, Industrial</v>
      </c>
      <c r="F2527" s="156" t="str">
        <f>'Reported burning'!F2533</f>
        <v>Forest</v>
      </c>
      <c r="G2527" s="156" t="str">
        <f>'Reported burning'!G2533</f>
        <v>Forest</v>
      </c>
      <c r="H2527" s="156" t="str">
        <f>'Reported burning'!H2533</f>
        <v>Presence</v>
      </c>
      <c r="I2527" s="5"/>
      <c r="J2527" s="21" t="s">
        <v>2276</v>
      </c>
      <c r="K2527" s="21" t="s">
        <v>2276</v>
      </c>
      <c r="L2527" s="21" t="s">
        <v>2276</v>
      </c>
      <c r="M2527" s="21" t="s">
        <v>2276</v>
      </c>
      <c r="N2527" s="21" t="s">
        <v>2276</v>
      </c>
      <c r="O2527" s="21" t="s">
        <v>2276</v>
      </c>
      <c r="P2527" s="21" t="s">
        <v>2276</v>
      </c>
      <c r="Q2527" s="21" t="s">
        <v>2276</v>
      </c>
      <c r="R2527" s="21" t="s">
        <v>2276</v>
      </c>
      <c r="S2527" s="21" t="s">
        <v>2276</v>
      </c>
      <c r="T2527" s="21" t="s">
        <v>2276</v>
      </c>
      <c r="U2527" s="21" t="s">
        <v>2276</v>
      </c>
      <c r="V2527" s="21" t="s">
        <v>2276</v>
      </c>
      <c r="W2527" s="21" t="s">
        <v>2276</v>
      </c>
      <c r="X2527" s="21" t="s">
        <v>2276</v>
      </c>
      <c r="Y2527" s="21" t="s">
        <v>2276</v>
      </c>
      <c r="Z2527" s="21" t="s">
        <v>2276</v>
      </c>
      <c r="AA2527" s="205"/>
      <c r="AB2527" s="205"/>
    </row>
    <row r="2528" spans="1:28" ht="47.5" customHeight="1">
      <c r="A2528" s="156" t="str">
        <f>'Reported burning'!A2534</f>
        <v>288k</v>
      </c>
      <c r="B2528" s="156" t="str">
        <f>'Reported burning'!B2534</f>
        <v>288k.1</v>
      </c>
      <c r="C2528" s="156" t="str">
        <f>'Reported burning'!C2534</f>
        <v>Human, deliberate</v>
      </c>
      <c r="D2528" s="156" t="str">
        <f>'Reported burning'!D2534</f>
        <v>Crop residue burning</v>
      </c>
      <c r="E2528" s="156" t="str">
        <f>'Reported burning'!E2534</f>
        <v>Forestry, Industrial</v>
      </c>
      <c r="F2528" s="156" t="str">
        <f>'Reported burning'!F2534</f>
        <v>Forest</v>
      </c>
      <c r="G2528" s="156" t="str">
        <f>'Reported burning'!G2534</f>
        <v>Forest</v>
      </c>
      <c r="H2528" s="156" t="str">
        <f>'Reported burning'!H2534</f>
        <v>Presence</v>
      </c>
      <c r="I2528" s="5"/>
      <c r="J2528" s="21" t="s">
        <v>2276</v>
      </c>
      <c r="K2528" s="21" t="s">
        <v>2276</v>
      </c>
      <c r="L2528" s="21" t="s">
        <v>2276</v>
      </c>
      <c r="M2528" s="21" t="s">
        <v>2276</v>
      </c>
      <c r="N2528" s="21" t="s">
        <v>2276</v>
      </c>
      <c r="O2528" s="21" t="s">
        <v>2276</v>
      </c>
      <c r="P2528" s="21" t="s">
        <v>2276</v>
      </c>
      <c r="Q2528" s="21" t="s">
        <v>2276</v>
      </c>
      <c r="R2528" s="21" t="s">
        <v>2276</v>
      </c>
      <c r="S2528" s="21" t="s">
        <v>2276</v>
      </c>
      <c r="T2528" s="21" t="s">
        <v>2276</v>
      </c>
      <c r="U2528" s="21" t="s">
        <v>2276</v>
      </c>
      <c r="V2528" s="21" t="s">
        <v>2276</v>
      </c>
      <c r="W2528" s="21" t="s">
        <v>2276</v>
      </c>
      <c r="X2528" s="21" t="s">
        <v>2276</v>
      </c>
      <c r="Y2528" s="21" t="s">
        <v>2276</v>
      </c>
      <c r="Z2528" s="21" t="s">
        <v>2276</v>
      </c>
      <c r="AA2528" s="205"/>
      <c r="AB2528" s="205"/>
    </row>
    <row r="2529" spans="1:28" s="204" customFormat="1" ht="47.5" customHeight="1">
      <c r="A2529" s="156" t="str">
        <f>'Reported burning'!A2535</f>
        <v>288k</v>
      </c>
      <c r="B2529" s="156" t="str">
        <f>'Reported burning'!B2535</f>
        <v>288k.2</v>
      </c>
      <c r="C2529" s="156" t="str">
        <f>'Reported burning'!C2535</f>
        <v>Human, deliberate</v>
      </c>
      <c r="D2529" s="156" t="str">
        <f>'Reported burning'!D2535</f>
        <v>Pyrome management</v>
      </c>
      <c r="E2529" s="156" t="str">
        <f>'Reported burning'!E2535</f>
        <v>Forestry, Industrial</v>
      </c>
      <c r="F2529" s="156" t="str">
        <f>'Reported burning'!F2535</f>
        <v>Forest</v>
      </c>
      <c r="G2529" s="156" t="str">
        <f>'Reported burning'!G2535</f>
        <v>Forest</v>
      </c>
      <c r="H2529" s="156" t="str">
        <f>'Reported burning'!H2535</f>
        <v>Presence</v>
      </c>
      <c r="I2529" s="5"/>
      <c r="J2529" s="21" t="s">
        <v>2276</v>
      </c>
      <c r="K2529" s="21" t="s">
        <v>2276</v>
      </c>
      <c r="L2529" s="21" t="s">
        <v>2276</v>
      </c>
      <c r="M2529" s="21" t="s">
        <v>2276</v>
      </c>
      <c r="N2529" s="21" t="s">
        <v>2276</v>
      </c>
      <c r="O2529" s="21" t="s">
        <v>2276</v>
      </c>
      <c r="P2529" s="21" t="s">
        <v>2276</v>
      </c>
      <c r="Q2529" s="21" t="s">
        <v>2276</v>
      </c>
      <c r="R2529" s="21" t="s">
        <v>2276</v>
      </c>
      <c r="S2529" s="21" t="s">
        <v>2276</v>
      </c>
      <c r="T2529" s="21" t="s">
        <v>2276</v>
      </c>
      <c r="U2529" s="21" t="s">
        <v>2276</v>
      </c>
      <c r="V2529" s="21" t="s">
        <v>2276</v>
      </c>
      <c r="W2529" s="21" t="s">
        <v>2276</v>
      </c>
      <c r="X2529" s="21" t="s">
        <v>2276</v>
      </c>
      <c r="Y2529" s="21" t="s">
        <v>2276</v>
      </c>
      <c r="Z2529" s="21" t="s">
        <v>2276</v>
      </c>
      <c r="AA2529" s="205"/>
      <c r="AB2529" s="205"/>
    </row>
    <row r="2530" spans="1:28" ht="47.5" customHeight="1">
      <c r="A2530" s="156" t="str">
        <f>'Reported burning'!A2536</f>
        <v>289a</v>
      </c>
      <c r="B2530" s="156" t="str">
        <f>'Reported burning'!B2536</f>
        <v>289a.1</v>
      </c>
      <c r="C2530" s="156" t="str">
        <f>'Reported burning'!C2536</f>
        <v>Human, escaped</v>
      </c>
      <c r="D2530" s="156" t="str">
        <f>'Reported burning'!D2536</f>
        <v>ND</v>
      </c>
      <c r="E2530" s="156" t="str">
        <f>'Reported burning'!E2536</f>
        <v>Tourism manager</v>
      </c>
      <c r="F2530" s="156" t="str">
        <f>'Reported burning'!F2536</f>
        <v>Forest</v>
      </c>
      <c r="G2530" s="156" t="str">
        <f>'Reported burning'!G2536</f>
        <v>Forest</v>
      </c>
      <c r="H2530" s="156" t="str">
        <f>'Reported burning'!H2536</f>
        <v>Presence</v>
      </c>
      <c r="I2530" s="5"/>
      <c r="J2530" s="21" t="s">
        <v>2276</v>
      </c>
      <c r="K2530" s="21" t="s">
        <v>2276</v>
      </c>
      <c r="L2530" s="21" t="s">
        <v>2276</v>
      </c>
      <c r="M2530" s="21" t="s">
        <v>2276</v>
      </c>
      <c r="N2530" s="21" t="s">
        <v>2276</v>
      </c>
      <c r="O2530" s="21" t="s">
        <v>2276</v>
      </c>
      <c r="P2530" s="21" t="s">
        <v>2276</v>
      </c>
      <c r="Q2530" s="21" t="s">
        <v>2276</v>
      </c>
      <c r="R2530" s="21" t="s">
        <v>2276</v>
      </c>
      <c r="S2530" s="21" t="s">
        <v>2276</v>
      </c>
      <c r="T2530" s="21" t="s">
        <v>2276</v>
      </c>
      <c r="U2530" s="21" t="s">
        <v>2276</v>
      </c>
      <c r="V2530" s="21" t="s">
        <v>2276</v>
      </c>
      <c r="W2530" s="21" t="s">
        <v>2276</v>
      </c>
      <c r="X2530" s="205" t="str">
        <f>'Reported burning'!Z2536</f>
        <v>March</v>
      </c>
      <c r="Y2530" s="205" t="str">
        <f>'Reported burning'!AA2536</f>
        <v>October</v>
      </c>
      <c r="Z2530" s="205" t="str">
        <f>'Reported burning'!AB2536</f>
        <v>ND</v>
      </c>
      <c r="AA2530" s="205"/>
      <c r="AB2530" s="205"/>
    </row>
    <row r="2531" spans="1:28" ht="47.5" customHeight="1">
      <c r="A2531" s="156" t="str">
        <f>'Reported burning'!A2537</f>
        <v>289a</v>
      </c>
      <c r="B2531" s="156" t="str">
        <f>'Reported burning'!B2537</f>
        <v>289a.2</v>
      </c>
      <c r="C2531" s="156" t="str">
        <f>'Reported burning'!C2537</f>
        <v>Lightning</v>
      </c>
      <c r="D2531" s="156" t="str">
        <f>'Reported burning'!D2537</f>
        <v>ND</v>
      </c>
      <c r="E2531" s="156" t="str">
        <f>'Reported burning'!E2537</f>
        <v>Biodiversity conservation</v>
      </c>
      <c r="F2531" s="156" t="str">
        <f>'Reported burning'!F2537</f>
        <v>Forest</v>
      </c>
      <c r="G2531" s="156" t="str">
        <f>'Reported burning'!G2537</f>
        <v>Forest</v>
      </c>
      <c r="H2531" s="156" t="str">
        <f>'Reported burning'!H2537</f>
        <v>Presence</v>
      </c>
      <c r="I2531" s="5"/>
      <c r="J2531" s="21" t="s">
        <v>2276</v>
      </c>
      <c r="K2531" s="21" t="s">
        <v>2276</v>
      </c>
      <c r="L2531" s="21" t="s">
        <v>2276</v>
      </c>
      <c r="M2531" s="21" t="s">
        <v>2276</v>
      </c>
      <c r="N2531" s="21" t="s">
        <v>2276</v>
      </c>
      <c r="O2531" s="21" t="s">
        <v>2276</v>
      </c>
      <c r="P2531" s="21" t="s">
        <v>2276</v>
      </c>
      <c r="Q2531" s="21" t="s">
        <v>2276</v>
      </c>
      <c r="R2531" s="21" t="s">
        <v>2276</v>
      </c>
      <c r="S2531" s="21" t="s">
        <v>2276</v>
      </c>
      <c r="T2531" s="21" t="s">
        <v>2276</v>
      </c>
      <c r="U2531" s="21" t="s">
        <v>2276</v>
      </c>
      <c r="V2531" s="21" t="s">
        <v>2276</v>
      </c>
      <c r="W2531" s="21" t="s">
        <v>2276</v>
      </c>
      <c r="X2531" s="205" t="str">
        <f>'Reported burning'!Z2537</f>
        <v>March</v>
      </c>
      <c r="Y2531" s="205" t="str">
        <f>'Reported burning'!AA2537</f>
        <v>October</v>
      </c>
      <c r="Z2531" s="205" t="str">
        <f>'Reported burning'!AB2537</f>
        <v>ND</v>
      </c>
      <c r="AA2531" s="205"/>
      <c r="AB2531" s="205"/>
    </row>
    <row r="2532" spans="1:28" s="204" customFormat="1" ht="47.5" customHeight="1">
      <c r="A2532" s="156" t="str">
        <f>'Reported burning'!A2538</f>
        <v>289a</v>
      </c>
      <c r="B2532" s="156" t="str">
        <f>'Reported burning'!B2538</f>
        <v>289a.3</v>
      </c>
      <c r="C2532" s="156" t="str">
        <f>'Reported burning'!C2538</f>
        <v>All</v>
      </c>
      <c r="D2532" s="156" t="str">
        <f>'Reported burning'!D2538</f>
        <v>ND</v>
      </c>
      <c r="E2532" s="156" t="str">
        <f>'Reported burning'!E2538</f>
        <v>All</v>
      </c>
      <c r="F2532" s="156" t="str">
        <f>'Reported burning'!F2538</f>
        <v>Forest</v>
      </c>
      <c r="G2532" s="156" t="str">
        <f>'Reported burning'!G2538</f>
        <v>Forest</v>
      </c>
      <c r="H2532" s="156" t="str">
        <f>'Reported burning'!H2538</f>
        <v>Presence</v>
      </c>
      <c r="I2532" s="5"/>
      <c r="J2532" s="21" t="s">
        <v>2368</v>
      </c>
      <c r="K2532" s="21" t="s">
        <v>2276</v>
      </c>
      <c r="L2532" s="21" t="s">
        <v>2362</v>
      </c>
      <c r="M2532" s="21" t="s">
        <v>2276</v>
      </c>
      <c r="N2532" s="21" t="s">
        <v>2276</v>
      </c>
      <c r="O2532" s="21" t="s">
        <v>2276</v>
      </c>
      <c r="P2532" s="21" t="s">
        <v>2276</v>
      </c>
      <c r="Q2532" s="21" t="s">
        <v>2276</v>
      </c>
      <c r="R2532" s="21" t="s">
        <v>2375</v>
      </c>
      <c r="S2532" s="21" t="s">
        <v>2276</v>
      </c>
      <c r="T2532" s="21" t="s">
        <v>2276</v>
      </c>
      <c r="U2532" s="21" t="s">
        <v>2276</v>
      </c>
      <c r="V2532" s="21" t="s">
        <v>2276</v>
      </c>
      <c r="W2532" s="21" t="s">
        <v>2276</v>
      </c>
      <c r="X2532" s="205" t="str">
        <f>'Reported burning'!Z2538</f>
        <v>March</v>
      </c>
      <c r="Y2532" s="205" t="str">
        <f>'Reported burning'!AA2538</f>
        <v>October</v>
      </c>
      <c r="Z2532" s="205" t="str">
        <f>'Reported burning'!AB2538</f>
        <v>ND</v>
      </c>
      <c r="AA2532" s="205"/>
      <c r="AB2532" s="4" t="s">
        <v>7930</v>
      </c>
    </row>
    <row r="2533" spans="1:28" ht="47.5" customHeight="1">
      <c r="A2533" s="156" t="str">
        <f>'Reported burning'!A2539</f>
        <v>289b</v>
      </c>
      <c r="B2533" s="156" t="str">
        <f>'Reported burning'!B2539</f>
        <v>289b.1</v>
      </c>
      <c r="C2533" s="156" t="str">
        <f>'Reported burning'!C2539</f>
        <v>Human, escaped</v>
      </c>
      <c r="D2533" s="156" t="str">
        <f>'Reported burning'!D2539</f>
        <v>ND</v>
      </c>
      <c r="E2533" s="156" t="str">
        <f>'Reported burning'!E2539</f>
        <v>Forestry, Industrial</v>
      </c>
      <c r="F2533" s="156" t="str">
        <f>'Reported burning'!F2539</f>
        <v>Forest</v>
      </c>
      <c r="G2533" s="156" t="str">
        <f>'Reported burning'!G2539</f>
        <v>Forest</v>
      </c>
      <c r="H2533" s="156" t="str">
        <f>'Reported burning'!H2539</f>
        <v>Presence</v>
      </c>
      <c r="I2533" s="5"/>
      <c r="J2533" s="21" t="s">
        <v>2276</v>
      </c>
      <c r="K2533" s="21" t="s">
        <v>2276</v>
      </c>
      <c r="L2533" s="21" t="s">
        <v>2276</v>
      </c>
      <c r="M2533" s="21" t="s">
        <v>2276</v>
      </c>
      <c r="N2533" s="21" t="s">
        <v>2276</v>
      </c>
      <c r="O2533" s="21" t="s">
        <v>2276</v>
      </c>
      <c r="P2533" s="21" t="s">
        <v>2276</v>
      </c>
      <c r="Q2533" s="21" t="s">
        <v>2276</v>
      </c>
      <c r="R2533" s="21" t="s">
        <v>2276</v>
      </c>
      <c r="S2533" s="21" t="s">
        <v>2276</v>
      </c>
      <c r="T2533" s="21" t="s">
        <v>2276</v>
      </c>
      <c r="U2533" s="21" t="s">
        <v>2276</v>
      </c>
      <c r="V2533" s="21" t="s">
        <v>2276</v>
      </c>
      <c r="W2533" s="21" t="s">
        <v>2276</v>
      </c>
      <c r="X2533" s="205" t="str">
        <f>'Reported burning'!Z2539</f>
        <v>March</v>
      </c>
      <c r="Y2533" s="205" t="str">
        <f>'Reported burning'!AA2539</f>
        <v>October</v>
      </c>
      <c r="Z2533" s="205" t="str">
        <f>'Reported burning'!AB2539</f>
        <v>ND</v>
      </c>
      <c r="AA2533" s="205"/>
      <c r="AB2533" s="4"/>
    </row>
    <row r="2534" spans="1:28" ht="47.5" customHeight="1">
      <c r="A2534" s="156" t="str">
        <f>'Reported burning'!A2540</f>
        <v>289b</v>
      </c>
      <c r="B2534" s="156" t="str">
        <f>'Reported burning'!B2540</f>
        <v>289b.2</v>
      </c>
      <c r="C2534" s="156" t="str">
        <f>'Reported burning'!C2540</f>
        <v>Lightning</v>
      </c>
      <c r="D2534" s="156" t="str">
        <f>'Reported burning'!D2540</f>
        <v>ND</v>
      </c>
      <c r="E2534" s="156" t="str">
        <f>'Reported burning'!E2540</f>
        <v>Forestry, Industrial</v>
      </c>
      <c r="F2534" s="156" t="str">
        <f>'Reported burning'!F2540</f>
        <v>Forest</v>
      </c>
      <c r="G2534" s="156" t="str">
        <f>'Reported burning'!G2540</f>
        <v>Forest</v>
      </c>
      <c r="H2534" s="156" t="str">
        <f>'Reported burning'!H2540</f>
        <v>Presence</v>
      </c>
      <c r="I2534" s="5"/>
      <c r="J2534" s="21" t="s">
        <v>2276</v>
      </c>
      <c r="K2534" s="21" t="s">
        <v>2276</v>
      </c>
      <c r="L2534" s="21" t="s">
        <v>2276</v>
      </c>
      <c r="M2534" s="21" t="s">
        <v>2276</v>
      </c>
      <c r="N2534" s="21" t="s">
        <v>2276</v>
      </c>
      <c r="O2534" s="21" t="s">
        <v>2276</v>
      </c>
      <c r="P2534" s="21" t="s">
        <v>2276</v>
      </c>
      <c r="Q2534" s="21" t="s">
        <v>2276</v>
      </c>
      <c r="R2534" s="21" t="s">
        <v>2276</v>
      </c>
      <c r="S2534" s="21" t="s">
        <v>2276</v>
      </c>
      <c r="T2534" s="21" t="s">
        <v>2276</v>
      </c>
      <c r="U2534" s="21" t="s">
        <v>2276</v>
      </c>
      <c r="V2534" s="21" t="s">
        <v>2276</v>
      </c>
      <c r="W2534" s="21" t="s">
        <v>2276</v>
      </c>
      <c r="X2534" s="205" t="str">
        <f>'Reported burning'!Z2540</f>
        <v>March</v>
      </c>
      <c r="Y2534" s="205" t="str">
        <f>'Reported burning'!AA2540</f>
        <v>October</v>
      </c>
      <c r="Z2534" s="205" t="str">
        <f>'Reported burning'!AB2540</f>
        <v>ND</v>
      </c>
      <c r="AA2534" s="205"/>
      <c r="AB2534" s="4"/>
    </row>
    <row r="2535" spans="1:28" s="204" customFormat="1" ht="47.5" customHeight="1">
      <c r="A2535" s="156" t="str">
        <f>'Reported burning'!A2541</f>
        <v>289b</v>
      </c>
      <c r="B2535" s="156" t="str">
        <f>'Reported burning'!B2541</f>
        <v>289b.3</v>
      </c>
      <c r="C2535" s="156" t="str">
        <f>'Reported burning'!C2541</f>
        <v>All</v>
      </c>
      <c r="D2535" s="156" t="str">
        <f>'Reported burning'!D2541</f>
        <v>ND</v>
      </c>
      <c r="E2535" s="156" t="str">
        <f>'Reported burning'!E2541</f>
        <v>All</v>
      </c>
      <c r="F2535" s="156" t="str">
        <f>'Reported burning'!F2541</f>
        <v>Forest</v>
      </c>
      <c r="G2535" s="156" t="str">
        <f>'Reported burning'!G2541</f>
        <v>Forest</v>
      </c>
      <c r="H2535" s="156" t="str">
        <f>'Reported burning'!H2541</f>
        <v>Presence</v>
      </c>
      <c r="I2535" s="5"/>
      <c r="J2535" s="21" t="s">
        <v>2369</v>
      </c>
      <c r="K2535" s="21" t="s">
        <v>2276</v>
      </c>
      <c r="L2535" s="21" t="s">
        <v>2362</v>
      </c>
      <c r="M2535" s="21" t="s">
        <v>2276</v>
      </c>
      <c r="N2535" s="21" t="s">
        <v>2276</v>
      </c>
      <c r="O2535" s="21" t="s">
        <v>2276</v>
      </c>
      <c r="P2535" s="21" t="s">
        <v>2276</v>
      </c>
      <c r="Q2535" s="21" t="s">
        <v>2276</v>
      </c>
      <c r="R2535" s="21" t="s">
        <v>2375</v>
      </c>
      <c r="S2535" s="21" t="s">
        <v>2276</v>
      </c>
      <c r="T2535" s="21" t="s">
        <v>2276</v>
      </c>
      <c r="U2535" s="21" t="s">
        <v>2276</v>
      </c>
      <c r="V2535" s="21" t="s">
        <v>2276</v>
      </c>
      <c r="W2535" s="21" t="s">
        <v>2276</v>
      </c>
      <c r="X2535" s="205" t="str">
        <f>'Reported burning'!Z2541</f>
        <v>March</v>
      </c>
      <c r="Y2535" s="205" t="str">
        <f>'Reported burning'!AA2541</f>
        <v>October</v>
      </c>
      <c r="Z2535" s="205" t="str">
        <f>'Reported burning'!AB2541</f>
        <v>ND</v>
      </c>
      <c r="AA2535" s="205"/>
      <c r="AB2535" s="4" t="s">
        <v>7930</v>
      </c>
    </row>
    <row r="2536" spans="1:28" ht="47.5" customHeight="1">
      <c r="A2536" s="156" t="str">
        <f>'Reported burning'!A2542</f>
        <v>290a</v>
      </c>
      <c r="B2536" s="156" t="str">
        <f>'Reported burning'!B2542</f>
        <v>290a.1</v>
      </c>
      <c r="C2536" s="156" t="str">
        <f>'Reported burning'!C2542</f>
        <v>All</v>
      </c>
      <c r="D2536" s="156" t="str">
        <f>'Reported burning'!D2542</f>
        <v>ND</v>
      </c>
      <c r="E2536" s="156" t="str">
        <f>'Reported burning'!E2542</f>
        <v>Forestry, Industrial</v>
      </c>
      <c r="F2536" s="156" t="str">
        <f>'Reported burning'!F2542</f>
        <v>Forest</v>
      </c>
      <c r="G2536" s="156" t="str">
        <f>'Reported burning'!G2542</f>
        <v>Forest</v>
      </c>
      <c r="H2536" s="156" t="str">
        <f>'Reported burning'!H2542</f>
        <v>Presence</v>
      </c>
      <c r="I2536" s="5"/>
      <c r="J2536" s="21" t="s">
        <v>2276</v>
      </c>
      <c r="K2536" s="21" t="s">
        <v>2276</v>
      </c>
      <c r="L2536" s="21" t="s">
        <v>2276</v>
      </c>
      <c r="M2536" s="21" t="s">
        <v>2276</v>
      </c>
      <c r="N2536" s="21" t="s">
        <v>2276</v>
      </c>
      <c r="O2536" s="21" t="s">
        <v>2276</v>
      </c>
      <c r="P2536" s="21" t="s">
        <v>2276</v>
      </c>
      <c r="Q2536" s="21" t="s">
        <v>2276</v>
      </c>
      <c r="R2536" s="21" t="s">
        <v>2276</v>
      </c>
      <c r="S2536" s="21" t="s">
        <v>2276</v>
      </c>
      <c r="T2536" s="21" t="s">
        <v>2276</v>
      </c>
      <c r="U2536" s="21" t="s">
        <v>2276</v>
      </c>
      <c r="V2536" s="21" t="s">
        <v>2276</v>
      </c>
      <c r="W2536" s="21" t="s">
        <v>2276</v>
      </c>
      <c r="X2536" s="205" t="str">
        <f>'Reported burning'!Z2542</f>
        <v>ND</v>
      </c>
      <c r="Y2536" s="205" t="str">
        <f>'Reported burning'!AA2542</f>
        <v>ND</v>
      </c>
      <c r="Z2536" s="205" t="str">
        <f>'Reported burning'!AB2542</f>
        <v>ND</v>
      </c>
      <c r="AA2536" s="205"/>
      <c r="AB2536" s="205"/>
    </row>
    <row r="2537" spans="1:28" ht="47.5" customHeight="1">
      <c r="A2537" s="156" t="str">
        <f>'Reported burning'!A2543</f>
        <v>290a</v>
      </c>
      <c r="B2537" s="156" t="str">
        <f>'Reported burning'!B2543</f>
        <v>290a.2</v>
      </c>
      <c r="C2537" s="156" t="str">
        <f>'Reported burning'!C2543</f>
        <v>All</v>
      </c>
      <c r="D2537" s="156" t="str">
        <f>'Reported burning'!D2543</f>
        <v>ND</v>
      </c>
      <c r="E2537" s="156" t="str">
        <f>'Reported burning'!E2543</f>
        <v>Forestry, Industrial</v>
      </c>
      <c r="F2537" s="156" t="str">
        <f>'Reported burning'!F2543</f>
        <v>Forest</v>
      </c>
      <c r="G2537" s="156" t="str">
        <f>'Reported burning'!G2543</f>
        <v>Forest</v>
      </c>
      <c r="H2537" s="156" t="str">
        <f>'Reported burning'!H2543</f>
        <v>Presence</v>
      </c>
      <c r="I2537" s="5"/>
      <c r="J2537" s="21" t="s">
        <v>2276</v>
      </c>
      <c r="K2537" s="21" t="s">
        <v>2276</v>
      </c>
      <c r="L2537" s="21" t="s">
        <v>2276</v>
      </c>
      <c r="M2537" s="21" t="s">
        <v>2276</v>
      </c>
      <c r="N2537" s="21" t="s">
        <v>2276</v>
      </c>
      <c r="O2537" s="21" t="s">
        <v>2276</v>
      </c>
      <c r="P2537" s="21" t="s">
        <v>2276</v>
      </c>
      <c r="Q2537" s="21" t="s">
        <v>2276</v>
      </c>
      <c r="R2537" s="21" t="s">
        <v>2276</v>
      </c>
      <c r="S2537" s="21" t="s">
        <v>2276</v>
      </c>
      <c r="T2537" s="21" t="s">
        <v>2276</v>
      </c>
      <c r="U2537" s="21" t="s">
        <v>2276</v>
      </c>
      <c r="V2537" s="21" t="s">
        <v>2276</v>
      </c>
      <c r="W2537" s="21" t="s">
        <v>2276</v>
      </c>
      <c r="X2537" s="205" t="str">
        <f>'Reported burning'!Z2543</f>
        <v>ND</v>
      </c>
      <c r="Y2537" s="205" t="str">
        <f>'Reported burning'!AA2543</f>
        <v>ND</v>
      </c>
      <c r="Z2537" s="205" t="str">
        <f>'Reported burning'!AB2543</f>
        <v>ND</v>
      </c>
      <c r="AA2537" s="205"/>
      <c r="AB2537" s="205"/>
    </row>
    <row r="2538" spans="1:28" ht="47.5" customHeight="1">
      <c r="A2538" s="156" t="str">
        <f>'Reported burning'!A2544</f>
        <v>290a</v>
      </c>
      <c r="B2538" s="156" t="str">
        <f>'Reported burning'!B2544</f>
        <v>290a.3</v>
      </c>
      <c r="C2538" s="156" t="str">
        <f>'Reported burning'!C2544</f>
        <v>All</v>
      </c>
      <c r="D2538" s="156" t="str">
        <f>'Reported burning'!D2544</f>
        <v>ND</v>
      </c>
      <c r="E2538" s="156" t="str">
        <f>'Reported burning'!E2544</f>
        <v>Forestry, Industrial</v>
      </c>
      <c r="F2538" s="156" t="str">
        <f>'Reported burning'!F2544</f>
        <v>Forest</v>
      </c>
      <c r="G2538" s="156" t="str">
        <f>'Reported burning'!G2544</f>
        <v>Forest</v>
      </c>
      <c r="H2538" s="156" t="str">
        <f>'Reported burning'!H2544</f>
        <v>Presence</v>
      </c>
      <c r="I2538" s="5"/>
      <c r="J2538" s="21" t="s">
        <v>2276</v>
      </c>
      <c r="K2538" s="21" t="s">
        <v>2276</v>
      </c>
      <c r="L2538" s="21" t="s">
        <v>2276</v>
      </c>
      <c r="M2538" s="21" t="s">
        <v>2276</v>
      </c>
      <c r="N2538" s="21" t="s">
        <v>2276</v>
      </c>
      <c r="O2538" s="21" t="s">
        <v>2276</v>
      </c>
      <c r="P2538" s="21" t="s">
        <v>2276</v>
      </c>
      <c r="Q2538" s="21" t="s">
        <v>2276</v>
      </c>
      <c r="R2538" s="21" t="s">
        <v>2276</v>
      </c>
      <c r="S2538" s="21" t="s">
        <v>2276</v>
      </c>
      <c r="T2538" s="21" t="s">
        <v>2276</v>
      </c>
      <c r="U2538" s="21" t="s">
        <v>2276</v>
      </c>
      <c r="V2538" s="21" t="s">
        <v>2276</v>
      </c>
      <c r="W2538" s="21" t="s">
        <v>2276</v>
      </c>
      <c r="X2538" s="205" t="str">
        <f>'Reported burning'!Z2544</f>
        <v>ND</v>
      </c>
      <c r="Y2538" s="205" t="str">
        <f>'Reported burning'!AA2544</f>
        <v>ND</v>
      </c>
      <c r="Z2538" s="205" t="str">
        <f>'Reported burning'!AB2544</f>
        <v>ND</v>
      </c>
      <c r="AA2538" s="205"/>
      <c r="AB2538" s="205"/>
    </row>
    <row r="2539" spans="1:28" ht="47.5" customHeight="1">
      <c r="A2539" s="156" t="str">
        <f>'Reported burning'!A2545</f>
        <v>291a</v>
      </c>
      <c r="B2539" s="156" t="str">
        <f>'Reported burning'!B2545</f>
        <v>291a.1</v>
      </c>
      <c r="C2539" s="156" t="str">
        <f>'Reported burning'!C2545</f>
        <v>Human, deliberate</v>
      </c>
      <c r="D2539" s="156" t="str">
        <f>'Reported burning'!D2545</f>
        <v>Pyrome management</v>
      </c>
      <c r="E2539" s="156" t="str">
        <f>'Reported burning'!E2545</f>
        <v>Forestry, Industrial</v>
      </c>
      <c r="F2539" s="156" t="str">
        <f>'Reported burning'!F2545</f>
        <v>Forest</v>
      </c>
      <c r="G2539" s="156" t="str">
        <f>'Reported burning'!G2545</f>
        <v>Forest</v>
      </c>
      <c r="H2539" s="156" t="str">
        <f>'Reported burning'!H2545</f>
        <v>Presence</v>
      </c>
      <c r="I2539" s="5"/>
      <c r="J2539" s="21" t="s">
        <v>2276</v>
      </c>
      <c r="K2539" s="21" t="s">
        <v>2276</v>
      </c>
      <c r="L2539" s="21" t="s">
        <v>2276</v>
      </c>
      <c r="M2539" s="21" t="s">
        <v>2276</v>
      </c>
      <c r="N2539" s="21" t="s">
        <v>2276</v>
      </c>
      <c r="O2539" s="21" t="s">
        <v>2276</v>
      </c>
      <c r="P2539" s="21" t="s">
        <v>2276</v>
      </c>
      <c r="Q2539" s="21" t="s">
        <v>2276</v>
      </c>
      <c r="R2539" s="21" t="s">
        <v>2276</v>
      </c>
      <c r="S2539" s="21" t="s">
        <v>2276</v>
      </c>
      <c r="T2539" s="21" t="s">
        <v>2276</v>
      </c>
      <c r="U2539" s="21" t="s">
        <v>2276</v>
      </c>
      <c r="V2539" s="21" t="s">
        <v>2276</v>
      </c>
      <c r="W2539" s="21" t="s">
        <v>2276</v>
      </c>
      <c r="X2539" s="205" t="str">
        <f>'Reported burning'!Z2545</f>
        <v>June</v>
      </c>
      <c r="Y2539" s="205" t="str">
        <f>'Reported burning'!AA2545</f>
        <v>August</v>
      </c>
      <c r="Z2539" s="205" t="str">
        <f>'Reported burning'!AB2545</f>
        <v>Seasonal, Consistent</v>
      </c>
      <c r="AA2539" s="205"/>
      <c r="AB2539" s="205"/>
    </row>
    <row r="2540" spans="1:28" ht="47.5" customHeight="1">
      <c r="A2540" s="156" t="str">
        <f>'Reported burning'!A2546</f>
        <v>292a</v>
      </c>
      <c r="B2540" s="156" t="str">
        <f>'Reported burning'!B2546</f>
        <v>292a.1</v>
      </c>
      <c r="C2540" s="156" t="str">
        <f>'Reported burning'!C2546</f>
        <v>Human, deliberate</v>
      </c>
      <c r="D2540" s="156" t="str">
        <f>'Reported burning'!D2546</f>
        <v>Pyrome management</v>
      </c>
      <c r="E2540" s="156" t="str">
        <f>'Reported burning'!E2546</f>
        <v>Forestry, Industrial</v>
      </c>
      <c r="F2540" s="156" t="str">
        <f>'Reported burning'!F2546</f>
        <v>Forest</v>
      </c>
      <c r="G2540" s="156" t="str">
        <f>'Reported burning'!G2546</f>
        <v>Forest</v>
      </c>
      <c r="H2540" s="156" t="str">
        <f>'Reported burning'!H2546</f>
        <v>Presence</v>
      </c>
      <c r="I2540" s="5"/>
      <c r="J2540" s="21" t="s">
        <v>2276</v>
      </c>
      <c r="K2540" s="21" t="s">
        <v>2276</v>
      </c>
      <c r="L2540" s="21" t="s">
        <v>2276</v>
      </c>
      <c r="M2540" s="21" t="s">
        <v>2276</v>
      </c>
      <c r="N2540" s="21" t="s">
        <v>2276</v>
      </c>
      <c r="O2540" s="21" t="s">
        <v>2276</v>
      </c>
      <c r="P2540" s="21" t="s">
        <v>2276</v>
      </c>
      <c r="Q2540" s="21" t="s">
        <v>2276</v>
      </c>
      <c r="R2540" s="21" t="s">
        <v>2276</v>
      </c>
      <c r="S2540" s="21" t="s">
        <v>2276</v>
      </c>
      <c r="T2540" s="21" t="s">
        <v>2276</v>
      </c>
      <c r="U2540" s="21" t="s">
        <v>2276</v>
      </c>
      <c r="V2540" s="21" t="s">
        <v>2276</v>
      </c>
      <c r="W2540" s="21" t="s">
        <v>2276</v>
      </c>
      <c r="X2540" s="205" t="str">
        <f>'Reported burning'!Z2546</f>
        <v>ND</v>
      </c>
      <c r="Y2540" s="205" t="str">
        <f>'Reported burning'!AA2546</f>
        <v>ND</v>
      </c>
      <c r="Z2540" s="205" t="str">
        <f>'Reported burning'!AB2546</f>
        <v>ND</v>
      </c>
      <c r="AA2540" s="205"/>
      <c r="AB2540" s="205"/>
    </row>
    <row r="2541" spans="1:28" ht="47.5" customHeight="1">
      <c r="A2541" s="156" t="str">
        <f>'Reported burning'!A2547</f>
        <v>292a</v>
      </c>
      <c r="B2541" s="156" t="str">
        <f>'Reported burning'!B2547</f>
        <v>292a.2</v>
      </c>
      <c r="C2541" s="156" t="str">
        <f>'Reported burning'!C2547</f>
        <v>Lightning</v>
      </c>
      <c r="D2541" s="156" t="str">
        <f>'Reported burning'!D2547</f>
        <v>ND</v>
      </c>
      <c r="E2541" s="156" t="str">
        <f>'Reported burning'!E2547</f>
        <v>Forestry, Industrial</v>
      </c>
      <c r="F2541" s="156" t="str">
        <f>'Reported burning'!F2547</f>
        <v>Forest</v>
      </c>
      <c r="G2541" s="156" t="str">
        <f>'Reported burning'!G2547</f>
        <v>Forest</v>
      </c>
      <c r="H2541" s="156" t="str">
        <f>'Reported burning'!H2547</f>
        <v>Presence</v>
      </c>
      <c r="I2541" s="5"/>
      <c r="J2541" s="21" t="s">
        <v>2276</v>
      </c>
      <c r="K2541" s="21" t="s">
        <v>2276</v>
      </c>
      <c r="L2541" s="21" t="s">
        <v>2276</v>
      </c>
      <c r="M2541" s="21" t="s">
        <v>2276</v>
      </c>
      <c r="N2541" s="21" t="s">
        <v>2276</v>
      </c>
      <c r="O2541" s="21" t="s">
        <v>2276</v>
      </c>
      <c r="P2541" s="21" t="s">
        <v>2276</v>
      </c>
      <c r="Q2541" s="21" t="s">
        <v>2276</v>
      </c>
      <c r="R2541" s="21" t="s">
        <v>2276</v>
      </c>
      <c r="S2541" s="21" t="s">
        <v>2276</v>
      </c>
      <c r="T2541" s="21" t="s">
        <v>2276</v>
      </c>
      <c r="U2541" s="21" t="s">
        <v>2276</v>
      </c>
      <c r="V2541" s="21" t="s">
        <v>2276</v>
      </c>
      <c r="W2541" s="21" t="s">
        <v>2276</v>
      </c>
      <c r="X2541" s="205" t="str">
        <f>'Reported burning'!Z2547</f>
        <v>ND</v>
      </c>
      <c r="Y2541" s="205" t="str">
        <f>'Reported burning'!AA2547</f>
        <v>ND</v>
      </c>
      <c r="Z2541" s="205" t="str">
        <f>'Reported burning'!AB2547</f>
        <v>ND</v>
      </c>
      <c r="AA2541" s="205"/>
      <c r="AB2541" s="205"/>
    </row>
    <row r="2542" spans="1:28" ht="123.5" customHeight="1">
      <c r="A2542" s="156" t="str">
        <f>'Reported burning'!A2548</f>
        <v>294a</v>
      </c>
      <c r="B2542" s="156" t="str">
        <f>'Reported burning'!B2548</f>
        <v>294a.1</v>
      </c>
      <c r="C2542" s="156" t="str">
        <f>'Reported burning'!C2548</f>
        <v>Human, deliberate</v>
      </c>
      <c r="D2542" s="156" t="str">
        <f>'Reported burning'!D2548</f>
        <v>Pasture renewal</v>
      </c>
      <c r="E2542" s="156" t="str">
        <f>'Reported burning'!E2548</f>
        <v>Cattle, Extensive</v>
      </c>
      <c r="F2542" s="156" t="str">
        <f>'Reported burning'!F2548</f>
        <v>Pasture</v>
      </c>
      <c r="G2542" s="156" t="str">
        <f>'Reported burning'!G2548</f>
        <v>Pasture</v>
      </c>
      <c r="H2542" s="156" t="str">
        <f>'Reported burning'!H2548</f>
        <v>Presence</v>
      </c>
      <c r="I2542" s="5"/>
      <c r="J2542" s="21" t="s">
        <v>2276</v>
      </c>
      <c r="K2542" s="21" t="s">
        <v>2276</v>
      </c>
      <c r="L2542" s="21" t="s">
        <v>2276</v>
      </c>
      <c r="M2542" s="21" t="s">
        <v>2276</v>
      </c>
      <c r="N2542" s="21" t="s">
        <v>2276</v>
      </c>
      <c r="O2542" s="21" t="s">
        <v>2276</v>
      </c>
      <c r="P2542" s="21" t="s">
        <v>2276</v>
      </c>
      <c r="Q2542" s="21" t="s">
        <v>2276</v>
      </c>
      <c r="R2542" s="21" t="s">
        <v>2276</v>
      </c>
      <c r="S2542" s="21" t="s">
        <v>2276</v>
      </c>
      <c r="T2542" s="21" t="s">
        <v>2389</v>
      </c>
      <c r="U2542" s="21" t="s">
        <v>2276</v>
      </c>
      <c r="V2542" s="21" t="s">
        <v>2276</v>
      </c>
      <c r="W2542" s="21" t="s">
        <v>2402</v>
      </c>
      <c r="X2542" s="205" t="s">
        <v>405</v>
      </c>
      <c r="Y2542" s="205" t="s">
        <v>425</v>
      </c>
      <c r="Z2542" s="4" t="s">
        <v>64</v>
      </c>
      <c r="AA2542" s="205"/>
      <c r="AB2542" s="4" t="s">
        <v>7076</v>
      </c>
    </row>
    <row r="2543" spans="1:28" ht="33" customHeight="1">
      <c r="A2543" s="156" t="str">
        <f>'Reported burning'!A2549</f>
        <v>294a</v>
      </c>
      <c r="B2543" s="156" t="str">
        <f>'Reported burning'!B2549</f>
        <v>294a.2</v>
      </c>
      <c r="C2543" s="156" t="str">
        <f>'Reported burning'!C2549</f>
        <v>Human, deliberate</v>
      </c>
      <c r="D2543" s="156" t="str">
        <f>'Reported burning'!D2549</f>
        <v>Pasture renewal</v>
      </c>
      <c r="E2543" s="156" t="str">
        <f>'Reported burning'!E2549</f>
        <v>Cattle, Intensive</v>
      </c>
      <c r="F2543" s="156" t="str">
        <f>'Reported burning'!F2549</f>
        <v>Pasture</v>
      </c>
      <c r="G2543" s="156" t="str">
        <f>'Reported burning'!G2549</f>
        <v>Pasture</v>
      </c>
      <c r="H2543" s="156" t="str">
        <f>'Reported burning'!H2549</f>
        <v>Presence</v>
      </c>
      <c r="I2543" s="5"/>
      <c r="J2543" s="21" t="s">
        <v>2276</v>
      </c>
      <c r="K2543" s="21" t="s">
        <v>2276</v>
      </c>
      <c r="L2543" s="21" t="s">
        <v>2276</v>
      </c>
      <c r="M2543" s="21" t="s">
        <v>2276</v>
      </c>
      <c r="N2543" s="21" t="s">
        <v>2276</v>
      </c>
      <c r="O2543" s="21" t="s">
        <v>2276</v>
      </c>
      <c r="P2543" s="21" t="s">
        <v>2276</v>
      </c>
      <c r="Q2543" s="21" t="s">
        <v>2276</v>
      </c>
      <c r="R2543" s="21" t="s">
        <v>2276</v>
      </c>
      <c r="S2543" s="21" t="s">
        <v>2276</v>
      </c>
      <c r="T2543" s="21" t="s">
        <v>2527</v>
      </c>
      <c r="U2543" s="21" t="s">
        <v>2276</v>
      </c>
      <c r="V2543" s="21" t="s">
        <v>2276</v>
      </c>
      <c r="W2543" s="21" t="s">
        <v>2276</v>
      </c>
      <c r="X2543" s="205" t="s">
        <v>405</v>
      </c>
      <c r="Y2543" s="205" t="s">
        <v>425</v>
      </c>
      <c r="Z2543" s="4" t="s">
        <v>64</v>
      </c>
      <c r="AA2543" s="205"/>
      <c r="AB2543" s="4"/>
    </row>
    <row r="2544" spans="1:28" ht="78.5" customHeight="1">
      <c r="A2544" s="156" t="str">
        <f>'Reported burning'!A2550</f>
        <v>294a</v>
      </c>
      <c r="B2544" s="156" t="str">
        <f>'Reported burning'!B2550</f>
        <v>294a.3</v>
      </c>
      <c r="C2544" s="156" t="str">
        <f>'Reported burning'!C2550</f>
        <v>Human, escaped</v>
      </c>
      <c r="D2544" s="156" t="str">
        <f>'Reported burning'!D2550</f>
        <v>Pasture renewal</v>
      </c>
      <c r="E2544" s="156" t="str">
        <f>'Reported burning'!E2550</f>
        <v>Cattle, Extensive</v>
      </c>
      <c r="F2544" s="156" t="str">
        <f>'Reported burning'!F2550</f>
        <v>Pasture</v>
      </c>
      <c r="G2544" s="156" t="str">
        <f>'Reported burning'!G2550</f>
        <v>Secondary vegetation</v>
      </c>
      <c r="H2544" s="156" t="str">
        <f>'Reported burning'!H2550</f>
        <v>Presence</v>
      </c>
      <c r="I2544" s="5"/>
      <c r="J2544" s="21" t="s">
        <v>2276</v>
      </c>
      <c r="K2544" s="21" t="s">
        <v>2276</v>
      </c>
      <c r="L2544" s="21" t="s">
        <v>2276</v>
      </c>
      <c r="M2544" s="21" t="s">
        <v>2276</v>
      </c>
      <c r="N2544" s="21" t="s">
        <v>2276</v>
      </c>
      <c r="O2544" s="21" t="s">
        <v>2276</v>
      </c>
      <c r="P2544" s="21" t="s">
        <v>2276</v>
      </c>
      <c r="Q2544" s="21" t="s">
        <v>2276</v>
      </c>
      <c r="R2544" s="21" t="s">
        <v>2276</v>
      </c>
      <c r="S2544" s="21" t="s">
        <v>2276</v>
      </c>
      <c r="T2544" s="21" t="s">
        <v>2527</v>
      </c>
      <c r="U2544" s="21" t="s">
        <v>2276</v>
      </c>
      <c r="V2544" s="21" t="s">
        <v>2276</v>
      </c>
      <c r="W2544" s="21" t="s">
        <v>2403</v>
      </c>
      <c r="X2544" s="205" t="s">
        <v>405</v>
      </c>
      <c r="Y2544" s="205" t="s">
        <v>425</v>
      </c>
      <c r="Z2544" s="4" t="s">
        <v>64</v>
      </c>
      <c r="AA2544" s="4" t="s">
        <v>7078</v>
      </c>
      <c r="AB2544" s="4" t="s">
        <v>7077</v>
      </c>
    </row>
    <row r="2545" spans="1:28" ht="46.5" customHeight="1">
      <c r="A2545" s="156" t="str">
        <f>'Reported burning'!A2551</f>
        <v>294a</v>
      </c>
      <c r="B2545" s="156" t="str">
        <f>'Reported burning'!B2551</f>
        <v>294a.4</v>
      </c>
      <c r="C2545" s="156" t="str">
        <f>'Reported burning'!C2551</f>
        <v>Human, escaped</v>
      </c>
      <c r="D2545" s="156" t="str">
        <f>'Reported burning'!D2551</f>
        <v>Pasture renewal</v>
      </c>
      <c r="E2545" s="156" t="str">
        <f>'Reported burning'!E2551</f>
        <v>Cattle, Intensive</v>
      </c>
      <c r="F2545" s="156" t="str">
        <f>'Reported burning'!F2551</f>
        <v>Pasture</v>
      </c>
      <c r="G2545" s="156" t="str">
        <f>'Reported burning'!G2551</f>
        <v>Secondary vegetation</v>
      </c>
      <c r="H2545" s="156" t="str">
        <f>'Reported burning'!H2551</f>
        <v>Presence</v>
      </c>
      <c r="I2545" s="5"/>
      <c r="J2545" s="21" t="s">
        <v>2276</v>
      </c>
      <c r="K2545" s="21" t="s">
        <v>2276</v>
      </c>
      <c r="L2545" s="21" t="s">
        <v>2276</v>
      </c>
      <c r="M2545" s="21" t="s">
        <v>2276</v>
      </c>
      <c r="N2545" s="21" t="s">
        <v>2276</v>
      </c>
      <c r="O2545" s="21" t="s">
        <v>2276</v>
      </c>
      <c r="P2545" s="21" t="s">
        <v>2276</v>
      </c>
      <c r="Q2545" s="21" t="s">
        <v>2276</v>
      </c>
      <c r="R2545" s="21" t="s">
        <v>2276</v>
      </c>
      <c r="S2545" s="21" t="s">
        <v>2276</v>
      </c>
      <c r="T2545" s="21" t="s">
        <v>2527</v>
      </c>
      <c r="U2545" s="21" t="s">
        <v>2276</v>
      </c>
      <c r="V2545" s="21" t="s">
        <v>2276</v>
      </c>
      <c r="W2545" s="21" t="s">
        <v>2276</v>
      </c>
      <c r="X2545" s="205" t="s">
        <v>405</v>
      </c>
      <c r="Y2545" s="205" t="s">
        <v>425</v>
      </c>
      <c r="Z2545" s="4" t="s">
        <v>64</v>
      </c>
      <c r="AA2545" s="205"/>
      <c r="AB2545" s="205"/>
    </row>
    <row r="2546" spans="1:28" ht="40" customHeight="1">
      <c r="A2546" s="156" t="str">
        <f>'Reported burning'!A2552</f>
        <v>295a</v>
      </c>
      <c r="B2546" s="156" t="str">
        <f>'Reported burning'!B2552</f>
        <v>295a.1</v>
      </c>
      <c r="C2546" s="156" t="str">
        <f>'Reported burning'!C2552</f>
        <v>Human, deliberate</v>
      </c>
      <c r="D2546" s="156" t="str">
        <f>'Reported burning'!D2552</f>
        <v>Land clearance</v>
      </c>
      <c r="E2546" s="156" t="str">
        <f>'Reported burning'!E2552</f>
        <v>Cropping, Intensive</v>
      </c>
      <c r="F2546" s="156" t="str">
        <f>'Reported burning'!F2552</f>
        <v>Shrubland (Mixed forest &amp; grassland)</v>
      </c>
      <c r="G2546" s="156" t="str">
        <f>'Reported burning'!G2552</f>
        <v>Shrubland (Mixed forest &amp; grassland)</v>
      </c>
      <c r="H2546" s="156" t="str">
        <f>'Reported burning'!H2552</f>
        <v>Presence</v>
      </c>
      <c r="I2546" s="5"/>
      <c r="J2546" s="21"/>
      <c r="K2546" s="103"/>
      <c r="L2546" s="177" t="s">
        <v>2276</v>
      </c>
      <c r="M2546" s="21" t="s">
        <v>2276</v>
      </c>
      <c r="N2546" s="21" t="s">
        <v>2276</v>
      </c>
      <c r="O2546" s="21" t="s">
        <v>2276</v>
      </c>
      <c r="P2546" s="21" t="s">
        <v>2276</v>
      </c>
      <c r="Q2546" s="21" t="s">
        <v>2276</v>
      </c>
      <c r="R2546" s="21" t="s">
        <v>2276</v>
      </c>
      <c r="S2546" s="21" t="s">
        <v>2276</v>
      </c>
      <c r="T2546" s="21" t="s">
        <v>2276</v>
      </c>
      <c r="U2546" s="21" t="s">
        <v>2276</v>
      </c>
      <c r="V2546" s="21" t="s">
        <v>2276</v>
      </c>
      <c r="W2546" s="21" t="s">
        <v>2276</v>
      </c>
      <c r="X2546" s="21" t="s">
        <v>2276</v>
      </c>
      <c r="Y2546" s="21" t="s">
        <v>2276</v>
      </c>
      <c r="Z2546" s="21" t="s">
        <v>2276</v>
      </c>
      <c r="AA2546" s="205"/>
      <c r="AB2546" s="205"/>
    </row>
    <row r="2547" spans="1:28" ht="40" customHeight="1">
      <c r="A2547" s="156" t="str">
        <f>'Reported burning'!A2553</f>
        <v>295a</v>
      </c>
      <c r="B2547" s="156" t="str">
        <f>'Reported burning'!B2553</f>
        <v>295a.2</v>
      </c>
      <c r="C2547" s="156" t="str">
        <f>'Reported burning'!C2553</f>
        <v>Human, deliberate</v>
      </c>
      <c r="D2547" s="156" t="str">
        <f>'Reported burning'!D2553</f>
        <v>Pasture renewal</v>
      </c>
      <c r="E2547" s="156" t="str">
        <f>'Reported burning'!E2553</f>
        <v>Cattle, Extensive</v>
      </c>
      <c r="F2547" s="156" t="str">
        <f>'Reported burning'!F2553</f>
        <v>Pasture</v>
      </c>
      <c r="G2547" s="156" t="str">
        <f>'Reported burning'!G2553</f>
        <v>Pasture</v>
      </c>
      <c r="H2547" s="156" t="str">
        <f>'Reported burning'!H2553</f>
        <v>Presence</v>
      </c>
      <c r="I2547" s="5"/>
      <c r="J2547" s="21"/>
      <c r="K2547" s="103"/>
      <c r="L2547" s="177" t="s">
        <v>2276</v>
      </c>
      <c r="M2547" s="21" t="s">
        <v>2276</v>
      </c>
      <c r="N2547" s="21" t="s">
        <v>2276</v>
      </c>
      <c r="O2547" s="21" t="s">
        <v>2276</v>
      </c>
      <c r="P2547" s="21" t="s">
        <v>2276</v>
      </c>
      <c r="Q2547" s="21" t="s">
        <v>2276</v>
      </c>
      <c r="R2547" s="21" t="s">
        <v>2276</v>
      </c>
      <c r="S2547" s="21" t="s">
        <v>2276</v>
      </c>
      <c r="T2547" s="14" t="s">
        <v>2376</v>
      </c>
      <c r="U2547" s="21" t="s">
        <v>2276</v>
      </c>
      <c r="V2547" s="21" t="s">
        <v>2276</v>
      </c>
      <c r="W2547" s="21" t="s">
        <v>2276</v>
      </c>
      <c r="X2547" s="21" t="s">
        <v>2276</v>
      </c>
      <c r="Y2547" s="21" t="s">
        <v>2276</v>
      </c>
      <c r="Z2547" s="21" t="s">
        <v>2276</v>
      </c>
      <c r="AA2547" s="205"/>
      <c r="AB2547" s="205"/>
    </row>
    <row r="2548" spans="1:28" ht="40" customHeight="1">
      <c r="A2548" s="156" t="str">
        <f>'Reported burning'!A2554</f>
        <v>295a</v>
      </c>
      <c r="B2548" s="156" t="str">
        <f>'Reported burning'!B2554</f>
        <v>295a.2</v>
      </c>
      <c r="C2548" s="156" t="str">
        <f>'Reported burning'!C2554</f>
        <v>Human, escaped</v>
      </c>
      <c r="D2548" s="156" t="str">
        <f>'Reported burning'!D2554</f>
        <v>Pasture renewal</v>
      </c>
      <c r="E2548" s="156" t="str">
        <f>'Reported burning'!E2554</f>
        <v>Cattle, Intensive</v>
      </c>
      <c r="F2548" s="156" t="str">
        <f>'Reported burning'!F2554</f>
        <v>Pasture</v>
      </c>
      <c r="G2548" s="156" t="str">
        <f>'Reported burning'!G2554</f>
        <v>Forest</v>
      </c>
      <c r="H2548" s="156" t="str">
        <f>'Reported burning'!H2554</f>
        <v>Presence</v>
      </c>
      <c r="I2548" s="5"/>
      <c r="J2548" s="21"/>
      <c r="K2548" s="103"/>
      <c r="L2548" s="177" t="s">
        <v>2276</v>
      </c>
      <c r="M2548" s="21" t="s">
        <v>2276</v>
      </c>
      <c r="N2548" s="21" t="s">
        <v>2276</v>
      </c>
      <c r="O2548" s="21" t="s">
        <v>2276</v>
      </c>
      <c r="P2548" s="21" t="s">
        <v>2276</v>
      </c>
      <c r="Q2548" s="21" t="s">
        <v>2276</v>
      </c>
      <c r="R2548" s="21" t="s">
        <v>2276</v>
      </c>
      <c r="S2548" s="21" t="s">
        <v>2276</v>
      </c>
      <c r="T2548" s="21" t="s">
        <v>2276</v>
      </c>
      <c r="U2548" s="21" t="s">
        <v>2276</v>
      </c>
      <c r="V2548" s="21" t="s">
        <v>2276</v>
      </c>
      <c r="W2548" s="21" t="s">
        <v>2276</v>
      </c>
      <c r="X2548" s="21" t="s">
        <v>2276</v>
      </c>
      <c r="Y2548" s="21" t="s">
        <v>2276</v>
      </c>
      <c r="Z2548" s="21" t="s">
        <v>2276</v>
      </c>
      <c r="AA2548" s="205"/>
      <c r="AB2548" s="205"/>
    </row>
    <row r="2549" spans="1:28" ht="61" customHeight="1">
      <c r="A2549" s="156" t="str">
        <f>'Reported burning'!A2555</f>
        <v>296a</v>
      </c>
      <c r="B2549" s="156" t="str">
        <f>'Reported burning'!B2555</f>
        <v>296a.1</v>
      </c>
      <c r="C2549" s="156" t="str">
        <f>'Reported burning'!C2555</f>
        <v>Human, deliberate</v>
      </c>
      <c r="D2549" s="156" t="str">
        <f>'Reported burning'!D2555</f>
        <v>Forest clearance</v>
      </c>
      <c r="E2549" s="156" t="str">
        <f>'Reported burning'!E2555</f>
        <v>Cattle, Extensive</v>
      </c>
      <c r="F2549" s="156" t="str">
        <f>'Reported burning'!F2555</f>
        <v>Forest</v>
      </c>
      <c r="G2549" s="156" t="str">
        <f>'Reported burning'!G2555</f>
        <v>Forest</v>
      </c>
      <c r="H2549" s="156" t="str">
        <f>'Reported burning'!H2555</f>
        <v>Presence</v>
      </c>
      <c r="I2549" s="5"/>
      <c r="J2549" s="21"/>
      <c r="K2549" s="103"/>
      <c r="L2549" s="177" t="s">
        <v>2276</v>
      </c>
      <c r="M2549" s="21" t="s">
        <v>2381</v>
      </c>
      <c r="N2549" s="21" t="s">
        <v>2276</v>
      </c>
      <c r="O2549" s="21" t="s">
        <v>2276</v>
      </c>
      <c r="P2549" s="21" t="s">
        <v>2276</v>
      </c>
      <c r="Q2549" s="21" t="s">
        <v>2276</v>
      </c>
      <c r="R2549" s="21" t="s">
        <v>2276</v>
      </c>
      <c r="S2549" s="21" t="s">
        <v>2276</v>
      </c>
      <c r="T2549" s="21" t="s">
        <v>2276</v>
      </c>
      <c r="U2549" s="21" t="s">
        <v>2276</v>
      </c>
      <c r="V2549" s="21" t="s">
        <v>2276</v>
      </c>
      <c r="W2549" s="21" t="s">
        <v>2276</v>
      </c>
      <c r="X2549" s="21" t="s">
        <v>2276</v>
      </c>
      <c r="Y2549" s="21" t="s">
        <v>2276</v>
      </c>
      <c r="Z2549" s="21" t="s">
        <v>2276</v>
      </c>
      <c r="AA2549" s="4" t="s">
        <v>7094</v>
      </c>
      <c r="AB2549" s="4" t="s">
        <v>7099</v>
      </c>
    </row>
    <row r="2550" spans="1:28" ht="61" customHeight="1">
      <c r="A2550" s="156" t="str">
        <f>'Reported burning'!A2556</f>
        <v>296a</v>
      </c>
      <c r="B2550" s="156" t="str">
        <f>'Reported burning'!B2556</f>
        <v>296a.2</v>
      </c>
      <c r="C2550" s="156" t="str">
        <f>'Reported burning'!C2556</f>
        <v>Human, deliberate</v>
      </c>
      <c r="D2550" s="156" t="str">
        <f>'Reported burning'!D2556</f>
        <v>Forest clearance</v>
      </c>
      <c r="E2550" s="156" t="str">
        <f>'Reported burning'!E2556</f>
        <v>Cropping, Intensive</v>
      </c>
      <c r="F2550" s="156" t="str">
        <f>'Reported burning'!F2556</f>
        <v>Forest</v>
      </c>
      <c r="G2550" s="156" t="str">
        <f>'Reported burning'!G2556</f>
        <v>Forest</v>
      </c>
      <c r="H2550" s="156" t="str">
        <f>'Reported burning'!H2556</f>
        <v>Presence</v>
      </c>
      <c r="I2550" s="5"/>
      <c r="J2550" s="21"/>
      <c r="K2550" s="103"/>
      <c r="L2550" s="177" t="s">
        <v>2276</v>
      </c>
      <c r="M2550" s="177" t="s">
        <v>2276</v>
      </c>
      <c r="N2550" s="21" t="s">
        <v>2276</v>
      </c>
      <c r="O2550" s="21" t="s">
        <v>2276</v>
      </c>
      <c r="P2550" s="21" t="s">
        <v>2377</v>
      </c>
      <c r="Q2550" s="21" t="s">
        <v>2276</v>
      </c>
      <c r="R2550" s="21" t="s">
        <v>2376</v>
      </c>
      <c r="S2550" s="21" t="s">
        <v>2276</v>
      </c>
      <c r="T2550" s="21" t="s">
        <v>2276</v>
      </c>
      <c r="U2550" s="21" t="s">
        <v>2276</v>
      </c>
      <c r="V2550" s="21" t="s">
        <v>2276</v>
      </c>
      <c r="W2550" s="21" t="s">
        <v>2276</v>
      </c>
      <c r="X2550" s="21" t="s">
        <v>2276</v>
      </c>
      <c r="Y2550" s="21" t="s">
        <v>2276</v>
      </c>
      <c r="Z2550" s="21" t="s">
        <v>2276</v>
      </c>
      <c r="AA2550" s="4" t="s">
        <v>7094</v>
      </c>
      <c r="AB2550" s="4" t="s">
        <v>7093</v>
      </c>
    </row>
    <row r="2551" spans="1:28" ht="30.5" customHeight="1">
      <c r="A2551" s="156" t="str">
        <f>'Reported burning'!A2557</f>
        <v>297a</v>
      </c>
      <c r="B2551" s="156" t="str">
        <f>'Reported burning'!B2557</f>
        <v>297a.1</v>
      </c>
      <c r="C2551" s="156" t="str">
        <f>'Reported burning'!C2557</f>
        <v>Human, deliberate</v>
      </c>
      <c r="D2551" s="156" t="str">
        <f>'Reported burning'!D2557</f>
        <v>Conservation</v>
      </c>
      <c r="E2551" s="156" t="str">
        <f>'Reported burning'!E2557</f>
        <v>Biodiversity conservation</v>
      </c>
      <c r="F2551" s="156" t="str">
        <f>'Reported burning'!F2557</f>
        <v>Grassland</v>
      </c>
      <c r="G2551" s="156" t="str">
        <f>'Reported burning'!G2557</f>
        <v>Grassland</v>
      </c>
      <c r="H2551" s="156" t="str">
        <f>'Reported burning'!H2557</f>
        <v>Presence</v>
      </c>
      <c r="I2551" s="5"/>
      <c r="J2551" s="205" t="s">
        <v>2276</v>
      </c>
      <c r="K2551" s="205" t="s">
        <v>2276</v>
      </c>
      <c r="L2551" s="205" t="s">
        <v>2276</v>
      </c>
      <c r="M2551" s="205" t="s">
        <v>2276</v>
      </c>
      <c r="N2551" s="205" t="s">
        <v>2276</v>
      </c>
      <c r="O2551" s="205" t="s">
        <v>2276</v>
      </c>
      <c r="P2551" s="205" t="s">
        <v>2276</v>
      </c>
      <c r="Q2551" s="205" t="s">
        <v>2276</v>
      </c>
      <c r="R2551" s="205" t="s">
        <v>2276</v>
      </c>
      <c r="S2551" s="205" t="s">
        <v>2276</v>
      </c>
      <c r="T2551" s="205" t="s">
        <v>2276</v>
      </c>
      <c r="U2551" s="205" t="s">
        <v>2276</v>
      </c>
      <c r="V2551" s="205" t="s">
        <v>2276</v>
      </c>
      <c r="W2551" s="205" t="s">
        <v>2276</v>
      </c>
      <c r="X2551" s="205" t="s">
        <v>2276</v>
      </c>
      <c r="Y2551" s="205" t="s">
        <v>2276</v>
      </c>
      <c r="Z2551" s="205" t="s">
        <v>2276</v>
      </c>
      <c r="AA2551" s="205"/>
      <c r="AB2551" s="205"/>
    </row>
    <row r="2552" spans="1:28" ht="78.5" customHeight="1">
      <c r="A2552" s="156" t="str">
        <f>'Reported burning'!A2558</f>
        <v>297a</v>
      </c>
      <c r="B2552" s="156" t="str">
        <f>'Reported burning'!B2558</f>
        <v>297a.2</v>
      </c>
      <c r="C2552" s="156" t="str">
        <f>'Reported burning'!C2558</f>
        <v>Human, deliberate</v>
      </c>
      <c r="D2552" s="156" t="str">
        <f>'Reported burning'!D2558</f>
        <v>Conservation</v>
      </c>
      <c r="E2552" s="156" t="str">
        <f>'Reported burning'!E2558</f>
        <v>Cattle, Intensive</v>
      </c>
      <c r="F2552" s="156" t="str">
        <f>'Reported burning'!F2558</f>
        <v>Grassland</v>
      </c>
      <c r="G2552" s="156" t="str">
        <f>'Reported burning'!G2558</f>
        <v>Grassland</v>
      </c>
      <c r="H2552" s="156" t="str">
        <f>'Reported burning'!H2558</f>
        <v>Absence</v>
      </c>
      <c r="I2552" s="5"/>
      <c r="J2552" s="21">
        <v>0</v>
      </c>
      <c r="K2552" s="21">
        <v>0</v>
      </c>
      <c r="L2552" s="21">
        <v>0</v>
      </c>
      <c r="M2552" s="21">
        <v>0</v>
      </c>
      <c r="N2552" s="21">
        <v>0</v>
      </c>
      <c r="O2552" s="21">
        <v>0</v>
      </c>
      <c r="P2552" s="21">
        <v>0</v>
      </c>
      <c r="Q2552" s="21">
        <v>0</v>
      </c>
      <c r="R2552" s="21">
        <v>0</v>
      </c>
      <c r="S2552" s="21">
        <v>0</v>
      </c>
      <c r="T2552" s="21">
        <v>0</v>
      </c>
      <c r="U2552" s="21">
        <v>0</v>
      </c>
      <c r="V2552" s="21">
        <v>0</v>
      </c>
      <c r="W2552" s="205" t="s">
        <v>2276</v>
      </c>
      <c r="X2552" s="205" t="s">
        <v>2276</v>
      </c>
      <c r="Y2552" s="205" t="s">
        <v>2276</v>
      </c>
      <c r="Z2552" s="205" t="s">
        <v>2276</v>
      </c>
      <c r="AA2552" s="4" t="s">
        <v>7104</v>
      </c>
      <c r="AB2552" s="205"/>
    </row>
    <row r="2553" spans="1:28" ht="78.5" customHeight="1">
      <c r="A2553" s="156" t="str">
        <f>'Reported burning'!A2559</f>
        <v>297a</v>
      </c>
      <c r="B2553" s="156" t="str">
        <f>'Reported burning'!B2559</f>
        <v>297a.3</v>
      </c>
      <c r="C2553" s="156" t="str">
        <f>'Reported burning'!C2559</f>
        <v>Human, deliberate</v>
      </c>
      <c r="D2553" s="156" t="str">
        <f>'Reported burning'!D2559</f>
        <v>Pasture renewal</v>
      </c>
      <c r="E2553" s="156" t="str">
        <f>'Reported burning'!E2559</f>
        <v>Cattle, Intensive</v>
      </c>
      <c r="F2553" s="156" t="str">
        <f>'Reported burning'!F2559</f>
        <v>Grassland</v>
      </c>
      <c r="G2553" s="156" t="str">
        <f>'Reported burning'!G2559</f>
        <v>Grassland</v>
      </c>
      <c r="H2553" s="156" t="str">
        <f>'Reported burning'!H2559</f>
        <v>Absence</v>
      </c>
      <c r="I2553" s="5"/>
      <c r="J2553" s="21">
        <v>0</v>
      </c>
      <c r="K2553" s="21">
        <v>0</v>
      </c>
      <c r="L2553" s="21">
        <v>0</v>
      </c>
      <c r="M2553" s="21">
        <v>0</v>
      </c>
      <c r="N2553" s="21">
        <v>0</v>
      </c>
      <c r="O2553" s="21">
        <v>0</v>
      </c>
      <c r="P2553" s="21">
        <v>0</v>
      </c>
      <c r="Q2553" s="21">
        <v>0</v>
      </c>
      <c r="R2553" s="21">
        <v>0</v>
      </c>
      <c r="S2553" s="21">
        <v>0</v>
      </c>
      <c r="T2553" s="21">
        <v>0</v>
      </c>
      <c r="U2553" s="21">
        <v>0</v>
      </c>
      <c r="V2553" s="21">
        <v>0</v>
      </c>
      <c r="W2553" s="205" t="s">
        <v>2276</v>
      </c>
      <c r="X2553" s="205" t="s">
        <v>2276</v>
      </c>
      <c r="Y2553" s="205" t="s">
        <v>2276</v>
      </c>
      <c r="Z2553" s="205" t="s">
        <v>2276</v>
      </c>
      <c r="AA2553" s="4" t="s">
        <v>7104</v>
      </c>
      <c r="AB2553" s="205"/>
    </row>
    <row r="2554" spans="1:28" ht="31" customHeight="1">
      <c r="A2554" s="152" t="str">
        <f>'Reported burning'!A2560</f>
        <v>298a</v>
      </c>
      <c r="B2554" s="152" t="str">
        <f>'Reported burning'!B2560</f>
        <v>298a.1</v>
      </c>
      <c r="C2554" s="152" t="str">
        <f>'Reported burning'!C2560</f>
        <v>Human, deliberate</v>
      </c>
      <c r="D2554" s="152" t="str">
        <f>'Reported burning'!D2560</f>
        <v>Pasture renewal</v>
      </c>
      <c r="E2554" s="152" t="str">
        <f>'Reported burning'!E2560</f>
        <v>Cattle, Extensive</v>
      </c>
      <c r="F2554" s="152" t="str">
        <f>'Reported burning'!F2560</f>
        <v>Grassland</v>
      </c>
      <c r="G2554" s="152" t="str">
        <f>'Reported burning'!G2560</f>
        <v>Grassland</v>
      </c>
      <c r="H2554" s="152" t="str">
        <f>'Reported burning'!H2560</f>
        <v>Presence</v>
      </c>
      <c r="I2554" s="205"/>
      <c r="J2554" s="205" t="s">
        <v>2276</v>
      </c>
      <c r="K2554" s="205" t="s">
        <v>2276</v>
      </c>
      <c r="L2554" s="205" t="s">
        <v>2276</v>
      </c>
      <c r="M2554" s="205" t="s">
        <v>2276</v>
      </c>
      <c r="N2554" s="205" t="s">
        <v>2276</v>
      </c>
      <c r="O2554" s="205" t="s">
        <v>2276</v>
      </c>
      <c r="P2554" s="205" t="s">
        <v>2276</v>
      </c>
      <c r="Q2554" s="205" t="s">
        <v>2276</v>
      </c>
      <c r="R2554" s="205" t="s">
        <v>2276</v>
      </c>
      <c r="S2554" s="205" t="s">
        <v>2276</v>
      </c>
      <c r="T2554" s="205" t="s">
        <v>2276</v>
      </c>
      <c r="U2554" s="205" t="s">
        <v>2276</v>
      </c>
      <c r="V2554" s="205" t="s">
        <v>2276</v>
      </c>
      <c r="W2554" s="205" t="s">
        <v>2276</v>
      </c>
      <c r="X2554" s="205" t="s">
        <v>404</v>
      </c>
      <c r="Y2554" s="205" t="s">
        <v>405</v>
      </c>
      <c r="Z2554" s="205" t="s">
        <v>2276</v>
      </c>
      <c r="AA2554" s="205" t="s">
        <v>7109</v>
      </c>
      <c r="AB2554" s="4" t="s">
        <v>7110</v>
      </c>
    </row>
    <row r="2555" spans="1:28" ht="118" customHeight="1">
      <c r="A2555" s="152" t="str">
        <f>'Reported burning'!A2561</f>
        <v>299a</v>
      </c>
      <c r="B2555" s="152" t="str">
        <f>'Reported burning'!B2561</f>
        <v>299a.1</v>
      </c>
      <c r="C2555" s="152" t="str">
        <f>'Reported burning'!C2561</f>
        <v>Human, deliberate</v>
      </c>
      <c r="D2555" s="152" t="str">
        <f>'Reported burning'!D2561</f>
        <v>Rangeland management</v>
      </c>
      <c r="E2555" s="152" t="str">
        <f>'Reported burning'!E2561</f>
        <v>Cattle, Extensive</v>
      </c>
      <c r="F2555" s="152" t="str">
        <f>'Reported burning'!F2561</f>
        <v>Shrubland (Mixed forest &amp; grassland)</v>
      </c>
      <c r="G2555" s="152" t="str">
        <f>'Reported burning'!G2561</f>
        <v>Shrubland (Mixed forest &amp; grassland)</v>
      </c>
      <c r="H2555" s="152" t="str">
        <f>'Reported burning'!H2561</f>
        <v>Presence</v>
      </c>
      <c r="I2555" s="205"/>
      <c r="J2555" s="205" t="s">
        <v>2276</v>
      </c>
      <c r="K2555" s="205" t="s">
        <v>2276</v>
      </c>
      <c r="L2555" s="205" t="s">
        <v>2276</v>
      </c>
      <c r="M2555" s="205" t="s">
        <v>2276</v>
      </c>
      <c r="N2555" s="205" t="s">
        <v>2276</v>
      </c>
      <c r="O2555" s="205" t="s">
        <v>2276</v>
      </c>
      <c r="P2555" s="205" t="s">
        <v>2276</v>
      </c>
      <c r="Q2555" s="205" t="s">
        <v>2276</v>
      </c>
      <c r="R2555" s="205" t="s">
        <v>2276</v>
      </c>
      <c r="S2555" s="205" t="s">
        <v>2276</v>
      </c>
      <c r="T2555" s="205" t="s">
        <v>2276</v>
      </c>
      <c r="U2555" s="205" t="s">
        <v>2276</v>
      </c>
      <c r="V2555" s="205" t="s">
        <v>2276</v>
      </c>
      <c r="W2555" s="21" t="s">
        <v>2401</v>
      </c>
      <c r="X2555" s="205" t="s">
        <v>2276</v>
      </c>
      <c r="Y2555" s="205" t="s">
        <v>2276</v>
      </c>
      <c r="Z2555" s="205" t="s">
        <v>2276</v>
      </c>
      <c r="AA2555" s="205"/>
      <c r="AB2555" s="4" t="s">
        <v>7116</v>
      </c>
    </row>
    <row r="2556" spans="1:28" ht="83" customHeight="1">
      <c r="A2556" s="152" t="str">
        <f>'Reported burning'!A2562</f>
        <v>300a</v>
      </c>
      <c r="B2556" s="152" t="str">
        <f>'Reported burning'!B2562</f>
        <v>300a.1</v>
      </c>
      <c r="C2556" s="152" t="str">
        <f>'Reported burning'!C2562</f>
        <v>All</v>
      </c>
      <c r="D2556" s="152" t="str">
        <f>'Reported burning'!D2562</f>
        <v>All</v>
      </c>
      <c r="E2556" s="152" t="str">
        <f>'Reported burning'!E2562</f>
        <v>All</v>
      </c>
      <c r="F2556" s="152" t="str">
        <f>'Reported burning'!F2562</f>
        <v>ND</v>
      </c>
      <c r="G2556" s="152" t="str">
        <f>'Reported burning'!G2562</f>
        <v>Shrubland (Mixed forest &amp; grassland)</v>
      </c>
      <c r="H2556" s="152" t="str">
        <f>'Reported burning'!H2562</f>
        <v>Presence</v>
      </c>
      <c r="I2556" s="205"/>
      <c r="J2556" s="21" t="s">
        <v>2276</v>
      </c>
      <c r="K2556" s="21" t="s">
        <v>2276</v>
      </c>
      <c r="L2556" s="21" t="s">
        <v>2276</v>
      </c>
      <c r="M2556" s="21" t="s">
        <v>2276</v>
      </c>
      <c r="N2556" s="21" t="s">
        <v>2276</v>
      </c>
      <c r="O2556" s="21" t="s">
        <v>2276</v>
      </c>
      <c r="P2556" s="21" t="s">
        <v>2276</v>
      </c>
      <c r="Q2556" s="21" t="s">
        <v>2276</v>
      </c>
      <c r="R2556" s="21" t="s">
        <v>2276</v>
      </c>
      <c r="S2556" s="21" t="s">
        <v>2276</v>
      </c>
      <c r="T2556" s="21" t="s">
        <v>2276</v>
      </c>
      <c r="U2556" s="21" t="s">
        <v>2276</v>
      </c>
      <c r="V2556" s="21" t="s">
        <v>2390</v>
      </c>
      <c r="W2556" s="21" t="s">
        <v>2375</v>
      </c>
      <c r="X2556" s="205" t="s">
        <v>38</v>
      </c>
      <c r="Y2556" s="205" t="s">
        <v>425</v>
      </c>
      <c r="Z2556" s="205" t="s">
        <v>76</v>
      </c>
      <c r="AA2556" s="4" t="s">
        <v>7125</v>
      </c>
      <c r="AB2556" s="19" t="s">
        <v>7128</v>
      </c>
    </row>
    <row r="2557" spans="1:28" ht="51" customHeight="1">
      <c r="A2557" s="152" t="str">
        <f>'Reported burning'!A2563</f>
        <v>300b</v>
      </c>
      <c r="B2557" s="152" t="str">
        <f>'Reported burning'!B2563</f>
        <v>300a.2</v>
      </c>
      <c r="C2557" s="152" t="str">
        <f>'Reported burning'!C2563</f>
        <v>Human, deliberate</v>
      </c>
      <c r="D2557" s="152" t="str">
        <f>'Reported burning'!D2563</f>
        <v>Pasture renewal</v>
      </c>
      <c r="E2557" s="152" t="str">
        <f>'Reported burning'!E2563</f>
        <v>Cattle, Extensive</v>
      </c>
      <c r="F2557" s="152" t="str">
        <f>'Reported burning'!F2563</f>
        <v>Pasture</v>
      </c>
      <c r="G2557" s="152" t="str">
        <f>'Reported burning'!G2563</f>
        <v>Pasture</v>
      </c>
      <c r="H2557" s="152" t="str">
        <f>'Reported burning'!H2563</f>
        <v>Presence</v>
      </c>
      <c r="I2557" s="205"/>
      <c r="J2557" s="21" t="s">
        <v>2276</v>
      </c>
      <c r="K2557" s="21" t="s">
        <v>2276</v>
      </c>
      <c r="L2557" s="21" t="s">
        <v>2276</v>
      </c>
      <c r="M2557" s="21" t="s">
        <v>2276</v>
      </c>
      <c r="N2557" s="21" t="s">
        <v>2276</v>
      </c>
      <c r="O2557" s="21" t="s">
        <v>2276</v>
      </c>
      <c r="P2557" s="21" t="s">
        <v>2276</v>
      </c>
      <c r="Q2557" s="21" t="s">
        <v>2276</v>
      </c>
      <c r="R2557" s="21" t="s">
        <v>2276</v>
      </c>
      <c r="S2557" s="21" t="s">
        <v>2276</v>
      </c>
      <c r="T2557" s="21" t="s">
        <v>2276</v>
      </c>
      <c r="U2557" s="21" t="s">
        <v>2276</v>
      </c>
      <c r="V2557" s="21" t="s">
        <v>2276</v>
      </c>
      <c r="W2557" s="21" t="s">
        <v>2401</v>
      </c>
      <c r="X2557" s="205" t="s">
        <v>38</v>
      </c>
      <c r="Y2557" s="205" t="s">
        <v>425</v>
      </c>
      <c r="Z2557" s="205" t="s">
        <v>2276</v>
      </c>
      <c r="AA2557" s="4" t="s">
        <v>7126</v>
      </c>
      <c r="AB2557" s="4" t="s">
        <v>7129</v>
      </c>
    </row>
    <row r="2558" spans="1:28" ht="51" customHeight="1">
      <c r="A2558" s="152" t="str">
        <f>'Reported burning'!A2564</f>
        <v>300b</v>
      </c>
      <c r="B2558" s="152" t="str">
        <f>'Reported burning'!B2564</f>
        <v>300a.3</v>
      </c>
      <c r="C2558" s="152" t="str">
        <f>'Reported burning'!C2564</f>
        <v>Human, deliberate</v>
      </c>
      <c r="D2558" s="152" t="str">
        <f>'Reported burning'!D2564</f>
        <v>Pyrome management</v>
      </c>
      <c r="E2558" s="152" t="str">
        <f>'Reported burning'!E2564</f>
        <v>Cattle, Extensive</v>
      </c>
      <c r="F2558" s="152" t="str">
        <f>'Reported burning'!F2564</f>
        <v>Shrubland (Mixed forest &amp; grassland)</v>
      </c>
      <c r="G2558" s="152" t="str">
        <f>'Reported burning'!G2564</f>
        <v>Shrubland (Mixed forest &amp; grassland)</v>
      </c>
      <c r="H2558" s="152" t="str">
        <f>'Reported burning'!H2564</f>
        <v>Presence</v>
      </c>
      <c r="I2558" s="205"/>
      <c r="J2558" s="21" t="s">
        <v>2276</v>
      </c>
      <c r="K2558" s="21" t="s">
        <v>2276</v>
      </c>
      <c r="L2558" s="21" t="s">
        <v>2276</v>
      </c>
      <c r="M2558" s="21" t="s">
        <v>2276</v>
      </c>
      <c r="N2558" s="21" t="s">
        <v>2276</v>
      </c>
      <c r="O2558" s="21" t="s">
        <v>2276</v>
      </c>
      <c r="P2558" s="21" t="s">
        <v>2276</v>
      </c>
      <c r="Q2558" s="21" t="s">
        <v>2276</v>
      </c>
      <c r="R2558" s="21" t="s">
        <v>2276</v>
      </c>
      <c r="S2558" s="21" t="s">
        <v>2276</v>
      </c>
      <c r="T2558" s="21" t="s">
        <v>2276</v>
      </c>
      <c r="U2558" s="21" t="s">
        <v>2276</v>
      </c>
      <c r="V2558" s="21" t="s">
        <v>2276</v>
      </c>
      <c r="W2558" s="21" t="s">
        <v>2276</v>
      </c>
      <c r="X2558" s="205" t="s">
        <v>38</v>
      </c>
      <c r="Y2558" s="205" t="s">
        <v>86</v>
      </c>
      <c r="Z2558" s="205" t="s">
        <v>2655</v>
      </c>
      <c r="AA2558" s="4" t="s">
        <v>7127</v>
      </c>
      <c r="AB2558" s="205"/>
    </row>
    <row r="2559" spans="1:28" ht="59" customHeight="1">
      <c r="A2559" s="156" t="str">
        <f>'Reported burning'!A2565</f>
        <v>301a</v>
      </c>
      <c r="B2559" s="156" t="str">
        <f>'Reported burning'!B2565</f>
        <v>301a.1</v>
      </c>
      <c r="C2559" s="156" t="str">
        <f>'Reported burning'!C2565</f>
        <v>Human, deliberate</v>
      </c>
      <c r="D2559" s="156" t="str">
        <f>'Reported burning'!D2565</f>
        <v>Pasture renewal</v>
      </c>
      <c r="E2559" s="156" t="str">
        <f>'Reported burning'!E2565</f>
        <v>Cattle, Extensive</v>
      </c>
      <c r="F2559" s="156" t="str">
        <f>'Reported burning'!F2565</f>
        <v>Grassland</v>
      </c>
      <c r="G2559" s="156" t="str">
        <f>'Reported burning'!G2565</f>
        <v>Grassland</v>
      </c>
      <c r="H2559" s="156" t="str">
        <f>'Reported burning'!H2565</f>
        <v>Presence</v>
      </c>
      <c r="I2559" s="5"/>
      <c r="J2559" s="205" t="s">
        <v>2276</v>
      </c>
      <c r="K2559" s="205" t="s">
        <v>2276</v>
      </c>
      <c r="L2559" s="205" t="s">
        <v>2276</v>
      </c>
      <c r="M2559" s="205" t="s">
        <v>2276</v>
      </c>
      <c r="N2559" s="205" t="s">
        <v>2276</v>
      </c>
      <c r="O2559" s="205" t="s">
        <v>2276</v>
      </c>
      <c r="P2559" s="205" t="s">
        <v>2276</v>
      </c>
      <c r="Q2559" s="205" t="s">
        <v>2276</v>
      </c>
      <c r="R2559" s="205" t="s">
        <v>2276</v>
      </c>
      <c r="S2559" s="205" t="s">
        <v>2276</v>
      </c>
      <c r="T2559" s="205" t="s">
        <v>2276</v>
      </c>
      <c r="U2559" s="205" t="s">
        <v>2276</v>
      </c>
      <c r="V2559" s="205" t="s">
        <v>2276</v>
      </c>
      <c r="W2559" s="205" t="s">
        <v>2276</v>
      </c>
      <c r="X2559" s="205" t="s">
        <v>2276</v>
      </c>
      <c r="Y2559" s="205" t="s">
        <v>2276</v>
      </c>
      <c r="Z2559" s="205" t="s">
        <v>2276</v>
      </c>
      <c r="AA2559" s="4"/>
      <c r="AB2559" s="205"/>
    </row>
    <row r="2560" spans="1:28" ht="59" customHeight="1">
      <c r="A2560" s="156" t="str">
        <f>'Reported burning'!A2566</f>
        <v>301a</v>
      </c>
      <c r="B2560" s="156" t="str">
        <f>'Reported burning'!B2566</f>
        <v>301a.2</v>
      </c>
      <c r="C2560" s="156" t="str">
        <f>'Reported burning'!C2566</f>
        <v>Human, escaped</v>
      </c>
      <c r="D2560" s="156" t="str">
        <f>'Reported burning'!D2566</f>
        <v>Pasture renewal</v>
      </c>
      <c r="E2560" s="156" t="str">
        <f>'Reported burning'!E2566</f>
        <v>Cattle, Extensive</v>
      </c>
      <c r="F2560" s="156" t="str">
        <f>'Reported burning'!F2566</f>
        <v>Grassland</v>
      </c>
      <c r="G2560" s="156" t="str">
        <f>'Reported burning'!G2566</f>
        <v>ND</v>
      </c>
      <c r="H2560" s="156" t="str">
        <f>'Reported burning'!H2566</f>
        <v>Presence</v>
      </c>
      <c r="I2560" s="5"/>
      <c r="J2560" s="205" t="s">
        <v>2276</v>
      </c>
      <c r="K2560" s="205" t="s">
        <v>2276</v>
      </c>
      <c r="L2560" s="205" t="s">
        <v>2276</v>
      </c>
      <c r="M2560" s="205" t="s">
        <v>2276</v>
      </c>
      <c r="N2560" s="205" t="s">
        <v>2276</v>
      </c>
      <c r="O2560" s="205" t="s">
        <v>2276</v>
      </c>
      <c r="P2560" s="205" t="s">
        <v>2276</v>
      </c>
      <c r="Q2560" s="205" t="s">
        <v>2276</v>
      </c>
      <c r="R2560" s="205" t="s">
        <v>2276</v>
      </c>
      <c r="S2560" s="205" t="s">
        <v>2276</v>
      </c>
      <c r="T2560" s="205" t="s">
        <v>2276</v>
      </c>
      <c r="U2560" s="205" t="s">
        <v>2276</v>
      </c>
      <c r="V2560" s="205" t="s">
        <v>2276</v>
      </c>
      <c r="W2560" s="205" t="s">
        <v>2276</v>
      </c>
      <c r="X2560" s="205" t="s">
        <v>2276</v>
      </c>
      <c r="Y2560" s="205" t="s">
        <v>2276</v>
      </c>
      <c r="Z2560" s="205" t="s">
        <v>2276</v>
      </c>
      <c r="AA2560" s="205"/>
      <c r="AB2560" s="205"/>
    </row>
    <row r="2561" spans="1:28" ht="59" customHeight="1">
      <c r="A2561" s="156" t="str">
        <f>'Reported burning'!A2567</f>
        <v>301a</v>
      </c>
      <c r="B2561" s="156" t="str">
        <f>'Reported burning'!B2567</f>
        <v>301a.3</v>
      </c>
      <c r="C2561" s="156" t="str">
        <f>'Reported burning'!C2567</f>
        <v>Human, deliberate</v>
      </c>
      <c r="D2561" s="156" t="str">
        <f>'Reported burning'!D2567</f>
        <v>Crop field preparation</v>
      </c>
      <c r="E2561" s="156" t="str">
        <f>'Reported burning'!E2567</f>
        <v>Cropping, Swidden</v>
      </c>
      <c r="F2561" s="156" t="str">
        <f>'Reported burning'!F2567</f>
        <v>Secondary vegetation</v>
      </c>
      <c r="G2561" s="156" t="str">
        <f>'Reported burning'!G2567</f>
        <v>ND</v>
      </c>
      <c r="H2561" s="156" t="str">
        <f>'Reported burning'!H2567</f>
        <v>Presence</v>
      </c>
      <c r="I2561" s="5"/>
      <c r="J2561" s="205" t="s">
        <v>2276</v>
      </c>
      <c r="K2561" s="205" t="s">
        <v>2276</v>
      </c>
      <c r="L2561" s="205" t="s">
        <v>2276</v>
      </c>
      <c r="M2561" s="205" t="s">
        <v>2276</v>
      </c>
      <c r="N2561" s="205" t="s">
        <v>2276</v>
      </c>
      <c r="O2561" s="205" t="s">
        <v>2276</v>
      </c>
      <c r="P2561" s="205" t="s">
        <v>2276</v>
      </c>
      <c r="Q2561" s="205" t="s">
        <v>2276</v>
      </c>
      <c r="R2561" s="205" t="s">
        <v>2276</v>
      </c>
      <c r="S2561" s="205" t="s">
        <v>2276</v>
      </c>
      <c r="T2561" s="205" t="s">
        <v>2276</v>
      </c>
      <c r="U2561" s="205" t="s">
        <v>2276</v>
      </c>
      <c r="V2561" s="205" t="s">
        <v>2276</v>
      </c>
      <c r="W2561" s="205" t="s">
        <v>2276</v>
      </c>
      <c r="X2561" s="205" t="s">
        <v>2276</v>
      </c>
      <c r="Y2561" s="205" t="s">
        <v>2276</v>
      </c>
      <c r="Z2561" s="205" t="s">
        <v>2276</v>
      </c>
      <c r="AA2561" s="205"/>
      <c r="AB2561" s="205"/>
    </row>
    <row r="2562" spans="1:28" ht="59" customHeight="1">
      <c r="A2562" s="156" t="str">
        <f>'Reported burning'!A2568</f>
        <v>301a</v>
      </c>
      <c r="B2562" s="156" t="str">
        <f>'Reported burning'!B2568</f>
        <v>301a.4</v>
      </c>
      <c r="C2562" s="156" t="str">
        <f>'Reported burning'!C2568</f>
        <v>Human, deliberate</v>
      </c>
      <c r="D2562" s="156" t="str">
        <f>'Reported burning'!D2568</f>
        <v>Land clearance</v>
      </c>
      <c r="E2562" s="156" t="str">
        <f>'Reported burning'!E2568</f>
        <v>Cropping, Intensive</v>
      </c>
      <c r="F2562" s="156" t="str">
        <f>'Reported burning'!F2568</f>
        <v>Shrubland (Mixed forest &amp; grassland)</v>
      </c>
      <c r="G2562" s="156" t="str">
        <f>'Reported burning'!G2568</f>
        <v>Shrubland (Mixed forest &amp; grassland)</v>
      </c>
      <c r="H2562" s="156" t="str">
        <f>'Reported burning'!H2568</f>
        <v>Absence</v>
      </c>
      <c r="I2562" s="5"/>
      <c r="J2562" s="21">
        <v>0</v>
      </c>
      <c r="K2562" s="21">
        <v>0</v>
      </c>
      <c r="L2562" s="21">
        <v>0</v>
      </c>
      <c r="M2562" s="21">
        <v>0</v>
      </c>
      <c r="N2562" s="21">
        <v>0</v>
      </c>
      <c r="O2562" s="21">
        <v>0</v>
      </c>
      <c r="P2562" s="21">
        <v>0</v>
      </c>
      <c r="Q2562" s="21">
        <v>0</v>
      </c>
      <c r="R2562" s="21">
        <v>0</v>
      </c>
      <c r="S2562" s="21">
        <v>0</v>
      </c>
      <c r="T2562" s="21">
        <v>0</v>
      </c>
      <c r="U2562" s="21">
        <v>0</v>
      </c>
      <c r="V2562" s="21">
        <v>0</v>
      </c>
      <c r="W2562" s="205" t="s">
        <v>2276</v>
      </c>
      <c r="X2562" s="205" t="s">
        <v>2276</v>
      </c>
      <c r="Y2562" s="205" t="s">
        <v>2276</v>
      </c>
      <c r="Z2562" s="205" t="s">
        <v>2276</v>
      </c>
      <c r="AA2562" s="4" t="s">
        <v>7144</v>
      </c>
      <c r="AB2562" s="205"/>
    </row>
    <row r="2563" spans="1:28" ht="59" customHeight="1">
      <c r="A2563" s="152" t="str">
        <f>'Reported burning'!A2569</f>
        <v>301a</v>
      </c>
      <c r="B2563" s="152" t="str">
        <f>'Reported burning'!B2569</f>
        <v>301a.5</v>
      </c>
      <c r="C2563" s="152" t="str">
        <f>'Reported burning'!C2569</f>
        <v>Human, deliberate</v>
      </c>
      <c r="D2563" s="152" t="str">
        <f>'Reported burning'!D2569</f>
        <v>Arson</v>
      </c>
      <c r="E2563" s="152" t="str">
        <f>'Reported burning'!E2569</f>
        <v>Cropping, Swidden</v>
      </c>
      <c r="F2563" s="152" t="str">
        <f>'Reported burning'!F2569</f>
        <v>ND</v>
      </c>
      <c r="G2563" s="152" t="str">
        <f>'Reported burning'!G2569</f>
        <v>Shrubland (Mixed forest &amp; grassland)</v>
      </c>
      <c r="H2563" s="152" t="str">
        <f>'Reported burning'!H2569</f>
        <v>Presence</v>
      </c>
      <c r="I2563" s="205"/>
      <c r="J2563" s="205" t="s">
        <v>2276</v>
      </c>
      <c r="K2563" s="205" t="s">
        <v>2276</v>
      </c>
      <c r="L2563" s="205" t="s">
        <v>2276</v>
      </c>
      <c r="M2563" s="205" t="s">
        <v>2276</v>
      </c>
      <c r="N2563" s="205" t="s">
        <v>2276</v>
      </c>
      <c r="O2563" s="205" t="s">
        <v>2276</v>
      </c>
      <c r="P2563" s="205" t="s">
        <v>2276</v>
      </c>
      <c r="Q2563" s="205" t="s">
        <v>2276</v>
      </c>
      <c r="R2563" s="205" t="s">
        <v>2276</v>
      </c>
      <c r="S2563" s="205" t="s">
        <v>2276</v>
      </c>
      <c r="T2563" s="205" t="s">
        <v>2276</v>
      </c>
      <c r="U2563" s="205" t="s">
        <v>2276</v>
      </c>
      <c r="V2563" s="205" t="s">
        <v>2276</v>
      </c>
      <c r="W2563" s="205" t="s">
        <v>2276</v>
      </c>
      <c r="X2563" s="205" t="s">
        <v>2276</v>
      </c>
      <c r="Y2563" s="205" t="s">
        <v>2276</v>
      </c>
      <c r="Z2563" s="205" t="s">
        <v>2276</v>
      </c>
      <c r="AA2563" s="4" t="s">
        <v>7147</v>
      </c>
      <c r="AB2563" s="205"/>
    </row>
    <row r="2564" spans="1:28" ht="56.5" customHeight="1">
      <c r="A2564" s="152" t="str">
        <f>'Reported burning'!A2570</f>
        <v>301a</v>
      </c>
      <c r="B2564" s="152" t="str">
        <f>'Reported burning'!B2570</f>
        <v>301a.6</v>
      </c>
      <c r="C2564" s="152" t="str">
        <f>'Reported burning'!C2570</f>
        <v>Human, deliberate</v>
      </c>
      <c r="D2564" s="152" t="str">
        <f>'Reported burning'!D2570</f>
        <v>Arson</v>
      </c>
      <c r="E2564" s="152" t="str">
        <f>'Reported burning'!E2570</f>
        <v>Cattle, Extensive</v>
      </c>
      <c r="F2564" s="152" t="str">
        <f>'Reported burning'!F2570</f>
        <v>ND</v>
      </c>
      <c r="G2564" s="152" t="str">
        <f>'Reported burning'!G2570</f>
        <v>Shrubland (Mixed forest &amp; grassland)</v>
      </c>
      <c r="H2564" s="152" t="str">
        <f>'Reported burning'!H2570</f>
        <v>Presence</v>
      </c>
      <c r="I2564" s="205"/>
      <c r="J2564" s="205" t="s">
        <v>2276</v>
      </c>
      <c r="K2564" s="205" t="s">
        <v>2276</v>
      </c>
      <c r="L2564" s="205" t="s">
        <v>2276</v>
      </c>
      <c r="M2564" s="205" t="s">
        <v>2276</v>
      </c>
      <c r="N2564" s="205" t="s">
        <v>2276</v>
      </c>
      <c r="O2564" s="205" t="s">
        <v>2276</v>
      </c>
      <c r="P2564" s="205" t="s">
        <v>2276</v>
      </c>
      <c r="Q2564" s="205" t="s">
        <v>2276</v>
      </c>
      <c r="R2564" s="205" t="s">
        <v>2276</v>
      </c>
      <c r="S2564" s="205" t="s">
        <v>2276</v>
      </c>
      <c r="T2564" s="205" t="s">
        <v>2276</v>
      </c>
      <c r="U2564" s="205" t="s">
        <v>2276</v>
      </c>
      <c r="V2564" s="205" t="s">
        <v>2276</v>
      </c>
      <c r="W2564" s="205" t="s">
        <v>2276</v>
      </c>
      <c r="X2564" s="205" t="s">
        <v>2276</v>
      </c>
      <c r="Y2564" s="205" t="s">
        <v>2276</v>
      </c>
      <c r="Z2564" s="205" t="s">
        <v>2276</v>
      </c>
      <c r="AA2564" s="4" t="s">
        <v>7147</v>
      </c>
      <c r="AB2564" s="205"/>
    </row>
    <row r="2565" spans="1:28" ht="28" customHeight="1">
      <c r="A2565" s="156" t="str">
        <f>'Reported burning'!A2571</f>
        <v>302a</v>
      </c>
      <c r="B2565" s="156" t="str">
        <f>'Reported burning'!B2571</f>
        <v>302a.1</v>
      </c>
      <c r="C2565" s="156" t="str">
        <f>'Reported burning'!C2571</f>
        <v>Human, deliberate</v>
      </c>
      <c r="D2565" s="156" t="str">
        <f>'Reported burning'!D2571</f>
        <v>Pyrome management</v>
      </c>
      <c r="E2565" s="156" t="str">
        <f>'Reported burning'!E2571</f>
        <v>Fire suppression agent</v>
      </c>
      <c r="F2565" s="156" t="str">
        <f>'Reported burning'!F2571</f>
        <v>Shrubland (Mixed forest &amp; grassland)</v>
      </c>
      <c r="G2565" s="156" t="str">
        <f>'Reported burning'!G2571</f>
        <v>Shrubland (Mixed forest &amp; grassland)</v>
      </c>
      <c r="H2565" s="156" t="str">
        <f>'Reported burning'!H2571</f>
        <v>Presence</v>
      </c>
      <c r="I2565" s="5"/>
      <c r="J2565" s="205" t="s">
        <v>2276</v>
      </c>
      <c r="K2565" s="205" t="s">
        <v>2276</v>
      </c>
      <c r="L2565" s="205" t="s">
        <v>2276</v>
      </c>
      <c r="M2565" s="205" t="s">
        <v>2276</v>
      </c>
      <c r="N2565" s="205" t="s">
        <v>2276</v>
      </c>
      <c r="O2565" s="205" t="s">
        <v>2276</v>
      </c>
      <c r="P2565" s="205" t="s">
        <v>2276</v>
      </c>
      <c r="Q2565" s="205" t="s">
        <v>2276</v>
      </c>
      <c r="R2565" s="205" t="s">
        <v>2276</v>
      </c>
      <c r="S2565" s="205" t="s">
        <v>2276</v>
      </c>
      <c r="T2565" s="205" t="s">
        <v>2276</v>
      </c>
      <c r="U2565" s="205" t="s">
        <v>2276</v>
      </c>
      <c r="V2565" s="205" t="s">
        <v>2276</v>
      </c>
      <c r="W2565" s="205" t="s">
        <v>2276</v>
      </c>
      <c r="X2565" s="205" t="s">
        <v>35</v>
      </c>
      <c r="Y2565" s="205" t="s">
        <v>35</v>
      </c>
      <c r="Z2565" s="205" t="s">
        <v>2276</v>
      </c>
      <c r="AA2565" s="205"/>
      <c r="AB2565" s="205"/>
    </row>
    <row r="2566" spans="1:28" ht="28" customHeight="1">
      <c r="A2566" s="156" t="str">
        <f>'Reported burning'!A2572</f>
        <v>302a</v>
      </c>
      <c r="B2566" s="156" t="str">
        <f>'Reported burning'!B2572</f>
        <v>302a.2</v>
      </c>
      <c r="C2566" s="156" t="str">
        <f>'Reported burning'!C2572</f>
        <v>Human, deliberate</v>
      </c>
      <c r="D2566" s="156" t="str">
        <f>'Reported burning'!D2572</f>
        <v>Conservation</v>
      </c>
      <c r="E2566" s="156" t="str">
        <f>'Reported burning'!E2572</f>
        <v>Fire suppression agent</v>
      </c>
      <c r="F2566" s="156" t="str">
        <f>'Reported burning'!F2572</f>
        <v>Shrubland (Mixed forest &amp; grassland)</v>
      </c>
      <c r="G2566" s="156" t="str">
        <f>'Reported burning'!G2572</f>
        <v>Shrubland (Mixed forest &amp; grassland)</v>
      </c>
      <c r="H2566" s="156" t="str">
        <f>'Reported burning'!H2572</f>
        <v>Presence</v>
      </c>
      <c r="I2566" s="5"/>
      <c r="J2566" s="205" t="s">
        <v>2276</v>
      </c>
      <c r="K2566" s="205" t="s">
        <v>2276</v>
      </c>
      <c r="L2566" s="205" t="s">
        <v>2276</v>
      </c>
      <c r="M2566" s="205" t="s">
        <v>2276</v>
      </c>
      <c r="N2566" s="205" t="s">
        <v>2276</v>
      </c>
      <c r="O2566" s="205" t="s">
        <v>2276</v>
      </c>
      <c r="P2566" s="205" t="s">
        <v>2276</v>
      </c>
      <c r="Q2566" s="205" t="s">
        <v>2276</v>
      </c>
      <c r="R2566" s="205" t="s">
        <v>2276</v>
      </c>
      <c r="S2566" s="205" t="s">
        <v>2276</v>
      </c>
      <c r="T2566" s="205" t="s">
        <v>2276</v>
      </c>
      <c r="U2566" s="205" t="s">
        <v>2276</v>
      </c>
      <c r="V2566" s="205" t="s">
        <v>2276</v>
      </c>
      <c r="W2566" s="205" t="s">
        <v>2276</v>
      </c>
      <c r="X2566" s="205" t="s">
        <v>35</v>
      </c>
      <c r="Y2566" s="205" t="s">
        <v>35</v>
      </c>
      <c r="Z2566" s="205" t="s">
        <v>2276</v>
      </c>
      <c r="AA2566" s="205"/>
      <c r="AB2566" s="205"/>
    </row>
    <row r="2567" spans="1:28" ht="36" customHeight="1">
      <c r="A2567" s="156" t="str">
        <f>'Reported burning'!A2573</f>
        <v>302a</v>
      </c>
      <c r="B2567" s="156" t="str">
        <f>'Reported burning'!B2573</f>
        <v>302a.3</v>
      </c>
      <c r="C2567" s="156" t="str">
        <f>'Reported burning'!C2573</f>
        <v>Human, deliberate</v>
      </c>
      <c r="D2567" s="156" t="str">
        <f>'Reported burning'!D2573</f>
        <v>Rangeland management</v>
      </c>
      <c r="E2567" s="156" t="str">
        <f>'Reported burning'!E2573</f>
        <v>Cattle, Extensive</v>
      </c>
      <c r="F2567" s="156" t="str">
        <f>'Reported burning'!F2573</f>
        <v>Shrubland (Mixed forest &amp; grassland)</v>
      </c>
      <c r="G2567" s="152" t="str">
        <f>'Reported burning'!G2573</f>
        <v>ND</v>
      </c>
      <c r="H2567" s="156" t="str">
        <f>'Reported burning'!H2573</f>
        <v>Absence</v>
      </c>
      <c r="I2567" s="5"/>
      <c r="J2567" s="205" t="s">
        <v>2276</v>
      </c>
      <c r="K2567" s="205" t="s">
        <v>2276</v>
      </c>
      <c r="L2567" s="205" t="s">
        <v>2276</v>
      </c>
      <c r="M2567" s="205" t="s">
        <v>2276</v>
      </c>
      <c r="N2567" s="205" t="s">
        <v>2276</v>
      </c>
      <c r="O2567" s="205" t="s">
        <v>2276</v>
      </c>
      <c r="P2567" s="205" t="s">
        <v>2276</v>
      </c>
      <c r="Q2567" s="205" t="s">
        <v>2276</v>
      </c>
      <c r="R2567" s="205" t="s">
        <v>2276</v>
      </c>
      <c r="S2567" s="205" t="s">
        <v>2276</v>
      </c>
      <c r="T2567" s="205" t="s">
        <v>2276</v>
      </c>
      <c r="U2567" s="205" t="s">
        <v>2276</v>
      </c>
      <c r="V2567" s="205" t="s">
        <v>2276</v>
      </c>
      <c r="W2567" s="205" t="s">
        <v>2276</v>
      </c>
      <c r="X2567" s="205" t="s">
        <v>2276</v>
      </c>
      <c r="Y2567" s="205" t="s">
        <v>2276</v>
      </c>
      <c r="Z2567" s="205" t="s">
        <v>2276</v>
      </c>
      <c r="AA2567" s="4" t="s">
        <v>7160</v>
      </c>
      <c r="AB2567" s="205"/>
    </row>
    <row r="2568" spans="1:28" ht="28" customHeight="1">
      <c r="A2568" s="156" t="str">
        <f>'Reported burning'!A2574</f>
        <v>302a</v>
      </c>
      <c r="B2568" s="156" t="str">
        <f>'Reported burning'!B2574</f>
        <v>302a.4</v>
      </c>
      <c r="C2568" s="156" t="str">
        <f>'Reported burning'!C2574</f>
        <v>Human, deliberate</v>
      </c>
      <c r="D2568" s="156" t="str">
        <f>'Reported burning'!D2574</f>
        <v>Rangeland management</v>
      </c>
      <c r="E2568" s="156" t="str">
        <f>'Reported burning'!E2574</f>
        <v>Cattle, Extensive</v>
      </c>
      <c r="F2568" s="156" t="str">
        <f>'Reported burning'!F2574</f>
        <v>Shrubland (Mixed forest &amp; grassland)</v>
      </c>
      <c r="G2568" s="152" t="str">
        <f>'Reported burning'!G2574</f>
        <v>ND</v>
      </c>
      <c r="H2568" s="156" t="str">
        <f>'Reported burning'!H2574</f>
        <v>Presence</v>
      </c>
      <c r="I2568" s="5"/>
      <c r="J2568" s="205" t="s">
        <v>2276</v>
      </c>
      <c r="K2568" s="205" t="s">
        <v>2276</v>
      </c>
      <c r="L2568" s="205" t="s">
        <v>2276</v>
      </c>
      <c r="M2568" s="205" t="s">
        <v>2276</v>
      </c>
      <c r="N2568" s="205" t="s">
        <v>2276</v>
      </c>
      <c r="O2568" s="205" t="s">
        <v>2276</v>
      </c>
      <c r="P2568" s="205" t="s">
        <v>2276</v>
      </c>
      <c r="Q2568" s="205" t="s">
        <v>2276</v>
      </c>
      <c r="R2568" s="205" t="s">
        <v>2276</v>
      </c>
      <c r="S2568" s="205" t="s">
        <v>2276</v>
      </c>
      <c r="T2568" s="205" t="s">
        <v>2276</v>
      </c>
      <c r="U2568" s="205" t="s">
        <v>2276</v>
      </c>
      <c r="V2568" s="205" t="s">
        <v>2276</v>
      </c>
      <c r="W2568" s="205" t="s">
        <v>2276</v>
      </c>
      <c r="X2568" s="205" t="s">
        <v>2276</v>
      </c>
      <c r="Y2568" s="205" t="s">
        <v>2276</v>
      </c>
      <c r="Z2568" s="205" t="s">
        <v>2276</v>
      </c>
      <c r="AA2568" s="205"/>
      <c r="AB2568" s="205"/>
    </row>
    <row r="2569" spans="1:28" ht="36" customHeight="1">
      <c r="A2569" s="156" t="str">
        <f>'Reported burning'!A2575</f>
        <v>303a</v>
      </c>
      <c r="B2569" s="156" t="str">
        <f>'Reported burning'!B2575</f>
        <v>303a.1</v>
      </c>
      <c r="C2569" s="156" t="str">
        <f>'Reported burning'!C2575</f>
        <v>Human, deliberate</v>
      </c>
      <c r="D2569" s="156" t="str">
        <f>'Reported burning'!D2575</f>
        <v>Rangeland management</v>
      </c>
      <c r="E2569" s="156" t="str">
        <f>'Reported burning'!E2575</f>
        <v>Cattle, Extensive</v>
      </c>
      <c r="F2569" s="156" t="str">
        <f>'Reported burning'!F2575</f>
        <v>Shrubland (Mixed forest &amp; grassland)</v>
      </c>
      <c r="G2569" s="156" t="str">
        <f>'Reported burning'!G2575</f>
        <v>ND</v>
      </c>
      <c r="H2569" s="156" t="str">
        <f>'Reported burning'!H2575</f>
        <v>Presence</v>
      </c>
      <c r="I2569" s="5"/>
      <c r="J2569" s="205" t="s">
        <v>2276</v>
      </c>
      <c r="K2569" s="205" t="s">
        <v>2276</v>
      </c>
      <c r="L2569" s="205" t="s">
        <v>2276</v>
      </c>
      <c r="M2569" s="205" t="s">
        <v>2276</v>
      </c>
      <c r="N2569" s="205" t="s">
        <v>2276</v>
      </c>
      <c r="O2569" s="205" t="s">
        <v>2276</v>
      </c>
      <c r="P2569" s="205" t="s">
        <v>2276</v>
      </c>
      <c r="Q2569" s="205" t="s">
        <v>2276</v>
      </c>
      <c r="R2569" s="205" t="s">
        <v>2276</v>
      </c>
      <c r="S2569" s="205" t="s">
        <v>2276</v>
      </c>
      <c r="T2569" s="205" t="s">
        <v>2276</v>
      </c>
      <c r="U2569" s="205" t="s">
        <v>2276</v>
      </c>
      <c r="V2569" s="205" t="s">
        <v>2276</v>
      </c>
      <c r="W2569" s="205" t="s">
        <v>2276</v>
      </c>
      <c r="X2569" s="205" t="s">
        <v>2276</v>
      </c>
      <c r="Y2569" s="205" t="s">
        <v>2276</v>
      </c>
      <c r="Z2569" s="205" t="s">
        <v>2276</v>
      </c>
      <c r="AA2569" s="205"/>
      <c r="AB2569" s="205"/>
    </row>
    <row r="2570" spans="1:28" ht="36.5" customHeight="1">
      <c r="A2570" s="156" t="str">
        <f>'Reported burning'!A2576</f>
        <v>303g</v>
      </c>
      <c r="B2570" s="156" t="str">
        <f>'Reported burning'!B2576</f>
        <v>303g.1</v>
      </c>
      <c r="C2570" s="156" t="str">
        <f>'Reported burning'!C2576</f>
        <v>Human, deliberate</v>
      </c>
      <c r="D2570" s="156" t="str">
        <f>'Reported burning'!D2576</f>
        <v>Rangeland management</v>
      </c>
      <c r="E2570" s="156" t="str">
        <f>'Reported burning'!E2576</f>
        <v>Cattle, Extensive</v>
      </c>
      <c r="F2570" s="156" t="str">
        <f>'Reported burning'!F2576</f>
        <v>Shrubland (Mixed forest &amp; grassland)</v>
      </c>
      <c r="G2570" s="156" t="str">
        <f>'Reported burning'!G2576</f>
        <v>ND</v>
      </c>
      <c r="H2570" s="156" t="str">
        <f>'Reported burning'!H2576</f>
        <v>Presence</v>
      </c>
      <c r="I2570" s="5"/>
      <c r="J2570" s="205" t="s">
        <v>2276</v>
      </c>
      <c r="K2570" s="205" t="s">
        <v>2276</v>
      </c>
      <c r="L2570" s="205" t="s">
        <v>2276</v>
      </c>
      <c r="M2570" s="205" t="s">
        <v>2276</v>
      </c>
      <c r="N2570" s="205" t="s">
        <v>2276</v>
      </c>
      <c r="O2570" s="205" t="s">
        <v>2276</v>
      </c>
      <c r="P2570" s="205" t="s">
        <v>2276</v>
      </c>
      <c r="Q2570" s="205" t="s">
        <v>2276</v>
      </c>
      <c r="R2570" s="205" t="s">
        <v>2276</v>
      </c>
      <c r="S2570" s="205" t="s">
        <v>2276</v>
      </c>
      <c r="T2570" s="205" t="s">
        <v>2276</v>
      </c>
      <c r="U2570" s="205" t="s">
        <v>2276</v>
      </c>
      <c r="V2570" s="205" t="s">
        <v>2276</v>
      </c>
      <c r="W2570" s="205" t="s">
        <v>2276</v>
      </c>
      <c r="X2570" s="205" t="s">
        <v>2276</v>
      </c>
      <c r="Y2570" s="205" t="s">
        <v>2276</v>
      </c>
      <c r="Z2570" s="205" t="s">
        <v>2276</v>
      </c>
      <c r="AA2570" s="205"/>
      <c r="AB2570" s="205"/>
    </row>
    <row r="2571" spans="1:28" ht="36.5" customHeight="1">
      <c r="A2571" s="156" t="str">
        <f>'Reported burning'!A2577</f>
        <v>303h</v>
      </c>
      <c r="B2571" s="156" t="str">
        <f>'Reported burning'!B2577</f>
        <v>303h.1</v>
      </c>
      <c r="C2571" s="156" t="str">
        <f>'Reported burning'!C2577</f>
        <v>Human, deliberate</v>
      </c>
      <c r="D2571" s="156" t="str">
        <f>'Reported burning'!D2577</f>
        <v>Rangeland management</v>
      </c>
      <c r="E2571" s="156" t="str">
        <f>'Reported burning'!E2577</f>
        <v>Cattle, Extensive</v>
      </c>
      <c r="F2571" s="156" t="str">
        <f>'Reported burning'!F2577</f>
        <v>Shrubland (Mixed forest &amp; grassland)</v>
      </c>
      <c r="G2571" s="156" t="str">
        <f>'Reported burning'!G2577</f>
        <v>ND</v>
      </c>
      <c r="H2571" s="156" t="str">
        <f>'Reported burning'!H2577</f>
        <v>Presence</v>
      </c>
      <c r="I2571" s="5"/>
      <c r="J2571" s="205" t="s">
        <v>2276</v>
      </c>
      <c r="K2571" s="205" t="s">
        <v>2276</v>
      </c>
      <c r="L2571" s="205" t="s">
        <v>2276</v>
      </c>
      <c r="M2571" s="205" t="s">
        <v>2276</v>
      </c>
      <c r="N2571" s="205" t="s">
        <v>2276</v>
      </c>
      <c r="O2571" s="205" t="s">
        <v>2276</v>
      </c>
      <c r="P2571" s="205" t="s">
        <v>2276</v>
      </c>
      <c r="Q2571" s="205" t="s">
        <v>2276</v>
      </c>
      <c r="R2571" s="205" t="s">
        <v>2276</v>
      </c>
      <c r="S2571" s="205" t="s">
        <v>2276</v>
      </c>
      <c r="T2571" s="205" t="s">
        <v>2276</v>
      </c>
      <c r="U2571" s="205" t="s">
        <v>2276</v>
      </c>
      <c r="V2571" s="205" t="s">
        <v>2276</v>
      </c>
      <c r="W2571" s="205" t="s">
        <v>2276</v>
      </c>
      <c r="X2571" s="205" t="s">
        <v>2276</v>
      </c>
      <c r="Y2571" s="205" t="s">
        <v>2276</v>
      </c>
      <c r="Z2571" s="205" t="s">
        <v>2276</v>
      </c>
      <c r="AA2571" s="205"/>
      <c r="AB2571" s="205"/>
    </row>
    <row r="2572" spans="1:28" ht="36.5" customHeight="1">
      <c r="A2572" s="156" t="str">
        <f>'Reported burning'!A2578</f>
        <v>303i</v>
      </c>
      <c r="B2572" s="156" t="str">
        <f>'Reported burning'!B2578</f>
        <v>303i.1</v>
      </c>
      <c r="C2572" s="156" t="str">
        <f>'Reported burning'!C2578</f>
        <v>Human, deliberate</v>
      </c>
      <c r="D2572" s="156" t="str">
        <f>'Reported burning'!D2578</f>
        <v>Rangeland management</v>
      </c>
      <c r="E2572" s="156" t="str">
        <f>'Reported burning'!E2578</f>
        <v>Cattle, Extensive</v>
      </c>
      <c r="F2572" s="156" t="str">
        <f>'Reported burning'!F2578</f>
        <v>Shrubland (Mixed forest &amp; grassland)</v>
      </c>
      <c r="G2572" s="156" t="str">
        <f>'Reported burning'!G2578</f>
        <v>ND</v>
      </c>
      <c r="H2572" s="156" t="str">
        <f>'Reported burning'!H2578</f>
        <v>Presence</v>
      </c>
      <c r="I2572" s="5"/>
      <c r="J2572" s="205" t="s">
        <v>2276</v>
      </c>
      <c r="K2572" s="205" t="s">
        <v>2276</v>
      </c>
      <c r="L2572" s="205" t="s">
        <v>2276</v>
      </c>
      <c r="M2572" s="205" t="s">
        <v>2276</v>
      </c>
      <c r="N2572" s="205" t="s">
        <v>2276</v>
      </c>
      <c r="O2572" s="205" t="s">
        <v>2276</v>
      </c>
      <c r="P2572" s="205" t="s">
        <v>2276</v>
      </c>
      <c r="Q2572" s="205" t="s">
        <v>2276</v>
      </c>
      <c r="R2572" s="205" t="s">
        <v>2276</v>
      </c>
      <c r="S2572" s="205" t="s">
        <v>2276</v>
      </c>
      <c r="T2572" s="205" t="s">
        <v>2276</v>
      </c>
      <c r="U2572" s="205" t="s">
        <v>2276</v>
      </c>
      <c r="V2572" s="205" t="s">
        <v>2276</v>
      </c>
      <c r="W2572" s="205" t="s">
        <v>2276</v>
      </c>
      <c r="X2572" s="205" t="s">
        <v>2276</v>
      </c>
      <c r="Y2572" s="205" t="s">
        <v>2276</v>
      </c>
      <c r="Z2572" s="205" t="s">
        <v>2276</v>
      </c>
      <c r="AA2572" s="205"/>
      <c r="AB2572" s="205"/>
    </row>
    <row r="2573" spans="1:28" ht="36.5" customHeight="1">
      <c r="A2573" s="156" t="str">
        <f>'Reported burning'!A2579</f>
        <v>303j</v>
      </c>
      <c r="B2573" s="156" t="str">
        <f>'Reported burning'!B2579</f>
        <v>303j.1</v>
      </c>
      <c r="C2573" s="156" t="str">
        <f>'Reported burning'!C2579</f>
        <v>Human, deliberate</v>
      </c>
      <c r="D2573" s="156" t="str">
        <f>'Reported burning'!D2579</f>
        <v>Rangeland management</v>
      </c>
      <c r="E2573" s="156" t="str">
        <f>'Reported burning'!E2579</f>
        <v>Cattle, Extensive</v>
      </c>
      <c r="F2573" s="156" t="str">
        <f>'Reported burning'!F2579</f>
        <v>Shrubland (Mixed forest &amp; grassland)</v>
      </c>
      <c r="G2573" s="156" t="str">
        <f>'Reported burning'!G2579</f>
        <v>ND</v>
      </c>
      <c r="H2573" s="156" t="str">
        <f>'Reported burning'!H2579</f>
        <v>Presence</v>
      </c>
      <c r="I2573" s="5"/>
      <c r="J2573" s="205" t="s">
        <v>2276</v>
      </c>
      <c r="K2573" s="205" t="s">
        <v>2276</v>
      </c>
      <c r="L2573" s="205" t="s">
        <v>2276</v>
      </c>
      <c r="M2573" s="205" t="s">
        <v>2276</v>
      </c>
      <c r="N2573" s="205" t="s">
        <v>2276</v>
      </c>
      <c r="O2573" s="205" t="s">
        <v>2276</v>
      </c>
      <c r="P2573" s="205" t="s">
        <v>2276</v>
      </c>
      <c r="Q2573" s="205" t="s">
        <v>2276</v>
      </c>
      <c r="R2573" s="205" t="s">
        <v>2276</v>
      </c>
      <c r="S2573" s="205" t="s">
        <v>2276</v>
      </c>
      <c r="T2573" s="205" t="s">
        <v>2276</v>
      </c>
      <c r="U2573" s="205" t="s">
        <v>2276</v>
      </c>
      <c r="V2573" s="205" t="s">
        <v>2276</v>
      </c>
      <c r="W2573" s="205" t="s">
        <v>2276</v>
      </c>
      <c r="X2573" s="205" t="s">
        <v>2276</v>
      </c>
      <c r="Y2573" s="205" t="s">
        <v>2276</v>
      </c>
      <c r="Z2573" s="205" t="s">
        <v>2276</v>
      </c>
      <c r="AA2573" s="205"/>
      <c r="AB2573" s="205"/>
    </row>
    <row r="2574" spans="1:28" ht="36.5" customHeight="1">
      <c r="A2574" s="156" t="str">
        <f>'Reported burning'!A2580</f>
        <v>303k</v>
      </c>
      <c r="B2574" s="156" t="str">
        <f>'Reported burning'!B2580</f>
        <v>303k.1</v>
      </c>
      <c r="C2574" s="156" t="str">
        <f>'Reported burning'!C2580</f>
        <v>Human, deliberate</v>
      </c>
      <c r="D2574" s="156" t="str">
        <f>'Reported burning'!D2580</f>
        <v>Rangeland management</v>
      </c>
      <c r="E2574" s="156" t="str">
        <f>'Reported burning'!E2580</f>
        <v>Cattle, Extensive</v>
      </c>
      <c r="F2574" s="156" t="str">
        <f>'Reported burning'!F2580</f>
        <v>Shrubland (Mixed forest &amp; grassland)</v>
      </c>
      <c r="G2574" s="156" t="str">
        <f>'Reported burning'!G2580</f>
        <v>ND</v>
      </c>
      <c r="H2574" s="156" t="str">
        <f>'Reported burning'!H2580</f>
        <v>Presence</v>
      </c>
      <c r="I2574" s="5"/>
      <c r="J2574" s="205" t="s">
        <v>2276</v>
      </c>
      <c r="K2574" s="205" t="s">
        <v>2276</v>
      </c>
      <c r="L2574" s="205" t="s">
        <v>2276</v>
      </c>
      <c r="M2574" s="205" t="s">
        <v>2276</v>
      </c>
      <c r="N2574" s="205" t="s">
        <v>2276</v>
      </c>
      <c r="O2574" s="205" t="s">
        <v>2276</v>
      </c>
      <c r="P2574" s="205" t="s">
        <v>2276</v>
      </c>
      <c r="Q2574" s="205" t="s">
        <v>2276</v>
      </c>
      <c r="R2574" s="205" t="s">
        <v>2276</v>
      </c>
      <c r="S2574" s="205" t="s">
        <v>2276</v>
      </c>
      <c r="T2574" s="205" t="s">
        <v>2276</v>
      </c>
      <c r="U2574" s="205" t="s">
        <v>2276</v>
      </c>
      <c r="V2574" s="205" t="s">
        <v>2276</v>
      </c>
      <c r="W2574" s="205" t="s">
        <v>2276</v>
      </c>
      <c r="X2574" s="205" t="s">
        <v>2276</v>
      </c>
      <c r="Y2574" s="205" t="s">
        <v>2276</v>
      </c>
      <c r="Z2574" s="205" t="s">
        <v>2276</v>
      </c>
      <c r="AA2574" s="205"/>
      <c r="AB2574" s="205"/>
    </row>
    <row r="2575" spans="1:28" ht="36.5" customHeight="1">
      <c r="A2575" s="156" t="str">
        <f>'Reported burning'!A2581</f>
        <v>303l</v>
      </c>
      <c r="B2575" s="156" t="str">
        <f>'Reported burning'!B2581</f>
        <v>303l.1</v>
      </c>
      <c r="C2575" s="156" t="str">
        <f>'Reported burning'!C2581</f>
        <v>Human, deliberate</v>
      </c>
      <c r="D2575" s="156" t="str">
        <f>'Reported burning'!D2581</f>
        <v>Rangeland management</v>
      </c>
      <c r="E2575" s="156" t="str">
        <f>'Reported burning'!E2581</f>
        <v>Cattle, Extensive</v>
      </c>
      <c r="F2575" s="156" t="str">
        <f>'Reported burning'!F2581</f>
        <v>Shrubland (Mixed forest &amp; grassland)</v>
      </c>
      <c r="G2575" s="156" t="str">
        <f>'Reported burning'!G2581</f>
        <v>ND</v>
      </c>
      <c r="H2575" s="156" t="str">
        <f>'Reported burning'!H2581</f>
        <v>Presence</v>
      </c>
      <c r="I2575" s="5"/>
      <c r="J2575" s="205" t="s">
        <v>2276</v>
      </c>
      <c r="K2575" s="205" t="s">
        <v>2276</v>
      </c>
      <c r="L2575" s="205" t="s">
        <v>2276</v>
      </c>
      <c r="M2575" s="205" t="s">
        <v>2276</v>
      </c>
      <c r="N2575" s="205" t="s">
        <v>2276</v>
      </c>
      <c r="O2575" s="205" t="s">
        <v>2276</v>
      </c>
      <c r="P2575" s="205" t="s">
        <v>2276</v>
      </c>
      <c r="Q2575" s="205" t="s">
        <v>2276</v>
      </c>
      <c r="R2575" s="205" t="s">
        <v>2276</v>
      </c>
      <c r="S2575" s="205" t="s">
        <v>2276</v>
      </c>
      <c r="T2575" s="205" t="s">
        <v>2276</v>
      </c>
      <c r="U2575" s="205" t="s">
        <v>2276</v>
      </c>
      <c r="V2575" s="205" t="s">
        <v>2276</v>
      </c>
      <c r="W2575" s="205" t="s">
        <v>2276</v>
      </c>
      <c r="X2575" s="205" t="s">
        <v>2276</v>
      </c>
      <c r="Y2575" s="205" t="s">
        <v>2276</v>
      </c>
      <c r="Z2575" s="205" t="s">
        <v>2276</v>
      </c>
      <c r="AA2575" s="205"/>
      <c r="AB2575" s="205"/>
    </row>
    <row r="2576" spans="1:28" ht="36.5" customHeight="1">
      <c r="A2576" s="156" t="str">
        <f>'Reported burning'!A2582</f>
        <v>303aj</v>
      </c>
      <c r="B2576" s="156" t="str">
        <f>'Reported burning'!B2582</f>
        <v>303aj.1</v>
      </c>
      <c r="C2576" s="156" t="str">
        <f>'Reported burning'!C2582</f>
        <v>Human, deliberate</v>
      </c>
      <c r="D2576" s="156" t="str">
        <f>'Reported burning'!D2582</f>
        <v>Rangeland management</v>
      </c>
      <c r="E2576" s="156" t="str">
        <f>'Reported burning'!E2582</f>
        <v>Cattle, Extensive</v>
      </c>
      <c r="F2576" s="156" t="str">
        <f>'Reported burning'!F2582</f>
        <v>Shrubland (Mixed forest &amp; grassland)</v>
      </c>
      <c r="G2576" s="156" t="str">
        <f>'Reported burning'!G2582</f>
        <v>ND</v>
      </c>
      <c r="H2576" s="156" t="str">
        <f>'Reported burning'!H2582</f>
        <v>Presence</v>
      </c>
      <c r="I2576" s="5"/>
      <c r="J2576" s="205" t="s">
        <v>2276</v>
      </c>
      <c r="K2576" s="205" t="s">
        <v>2276</v>
      </c>
      <c r="L2576" s="205" t="s">
        <v>2276</v>
      </c>
      <c r="M2576" s="205" t="s">
        <v>2276</v>
      </c>
      <c r="N2576" s="205" t="s">
        <v>2276</v>
      </c>
      <c r="O2576" s="205" t="s">
        <v>2276</v>
      </c>
      <c r="P2576" s="205" t="s">
        <v>2276</v>
      </c>
      <c r="Q2576" s="205" t="s">
        <v>2276</v>
      </c>
      <c r="R2576" s="205" t="s">
        <v>2276</v>
      </c>
      <c r="S2576" s="205" t="s">
        <v>2276</v>
      </c>
      <c r="T2576" s="205" t="s">
        <v>2276</v>
      </c>
      <c r="U2576" s="205" t="s">
        <v>2276</v>
      </c>
      <c r="V2576" s="205" t="s">
        <v>2276</v>
      </c>
      <c r="W2576" s="21" t="s">
        <v>2401</v>
      </c>
      <c r="X2576" s="205" t="s">
        <v>34</v>
      </c>
      <c r="Y2576" s="205" t="s">
        <v>405</v>
      </c>
      <c r="Z2576" s="205" t="s">
        <v>2276</v>
      </c>
      <c r="AA2576" s="11" t="s">
        <v>7294</v>
      </c>
      <c r="AB2576" s="205"/>
    </row>
    <row r="2577" spans="1:28" s="204" customFormat="1" ht="36.5" customHeight="1">
      <c r="A2577" s="156" t="str">
        <f>'Reported burning'!A2583</f>
        <v>303aj</v>
      </c>
      <c r="B2577" s="156" t="str">
        <f>'Reported burning'!B2583</f>
        <v>303aj.2</v>
      </c>
      <c r="C2577" s="156" t="str">
        <f>'Reported burning'!C2583</f>
        <v>Human, escaped</v>
      </c>
      <c r="D2577" s="156" t="str">
        <f>'Reported burning'!D2583</f>
        <v>Rangeland management</v>
      </c>
      <c r="E2577" s="156" t="str">
        <f>'Reported burning'!E2583</f>
        <v>Cattle, Extensive</v>
      </c>
      <c r="F2577" s="156" t="str">
        <f>'Reported burning'!F2583</f>
        <v>Shrubland (Mixed forest &amp; grassland)</v>
      </c>
      <c r="G2577" s="156" t="str">
        <f>'Reported burning'!G2583</f>
        <v>ND</v>
      </c>
      <c r="H2577" s="156" t="str">
        <f>'Reported burning'!H2583</f>
        <v>Presence</v>
      </c>
      <c r="I2577" s="5"/>
      <c r="J2577" s="205" t="s">
        <v>2276</v>
      </c>
      <c r="K2577" s="205" t="s">
        <v>2276</v>
      </c>
      <c r="L2577" s="205" t="s">
        <v>2276</v>
      </c>
      <c r="M2577" s="205" t="s">
        <v>2276</v>
      </c>
      <c r="N2577" s="205" t="s">
        <v>2276</v>
      </c>
      <c r="O2577" s="205" t="s">
        <v>2276</v>
      </c>
      <c r="P2577" s="205" t="s">
        <v>2276</v>
      </c>
      <c r="Q2577" s="205" t="s">
        <v>2276</v>
      </c>
      <c r="R2577" s="205" t="s">
        <v>2276</v>
      </c>
      <c r="S2577" s="205" t="s">
        <v>2276</v>
      </c>
      <c r="T2577" s="205" t="s">
        <v>2276</v>
      </c>
      <c r="U2577" s="205" t="s">
        <v>2276</v>
      </c>
      <c r="V2577" s="205" t="s">
        <v>2276</v>
      </c>
      <c r="W2577" s="205" t="s">
        <v>2276</v>
      </c>
      <c r="X2577" s="205" t="s">
        <v>2276</v>
      </c>
      <c r="Y2577" s="205" t="s">
        <v>2276</v>
      </c>
      <c r="Z2577" s="205" t="s">
        <v>2276</v>
      </c>
      <c r="AA2577" s="11" t="s">
        <v>7297</v>
      </c>
      <c r="AB2577" s="205"/>
    </row>
    <row r="2578" spans="1:28" ht="36.5" customHeight="1">
      <c r="A2578" s="156" t="str">
        <f>'Reported burning'!A2584</f>
        <v>303ak</v>
      </c>
      <c r="B2578" s="156" t="str">
        <f>'Reported burning'!B2584</f>
        <v>303ak.1</v>
      </c>
      <c r="C2578" s="156" t="str">
        <f>'Reported burning'!C2584</f>
        <v>Human, deliberate</v>
      </c>
      <c r="D2578" s="156" t="str">
        <f>'Reported burning'!D2584</f>
        <v>Rangeland management</v>
      </c>
      <c r="E2578" s="156" t="str">
        <f>'Reported burning'!E2584</f>
        <v>Cattle, Extensive</v>
      </c>
      <c r="F2578" s="156" t="str">
        <f>'Reported burning'!F2584</f>
        <v>Shrubland (Mixed forest &amp; grassland)</v>
      </c>
      <c r="G2578" s="156" t="str">
        <f>'Reported burning'!G2584</f>
        <v>ND</v>
      </c>
      <c r="H2578" s="156" t="str">
        <f>'Reported burning'!H2584</f>
        <v>Presence</v>
      </c>
      <c r="I2578" s="5"/>
      <c r="J2578" s="205" t="s">
        <v>2276</v>
      </c>
      <c r="K2578" s="205" t="s">
        <v>2276</v>
      </c>
      <c r="L2578" s="205" t="s">
        <v>2276</v>
      </c>
      <c r="M2578" s="205" t="s">
        <v>2276</v>
      </c>
      <c r="N2578" s="205" t="s">
        <v>2276</v>
      </c>
      <c r="O2578" s="205" t="s">
        <v>2276</v>
      </c>
      <c r="P2578" s="205" t="s">
        <v>2276</v>
      </c>
      <c r="Q2578" s="205" t="s">
        <v>2276</v>
      </c>
      <c r="R2578" s="205" t="s">
        <v>2276</v>
      </c>
      <c r="S2578" s="205" t="s">
        <v>2276</v>
      </c>
      <c r="T2578" s="205" t="s">
        <v>2276</v>
      </c>
      <c r="U2578" s="205" t="s">
        <v>2276</v>
      </c>
      <c r="V2578" s="205" t="s">
        <v>2276</v>
      </c>
      <c r="W2578" s="21" t="s">
        <v>2401</v>
      </c>
      <c r="X2578" s="205" t="s">
        <v>34</v>
      </c>
      <c r="Y2578" s="205" t="s">
        <v>405</v>
      </c>
      <c r="Z2578" s="205" t="s">
        <v>2276</v>
      </c>
      <c r="AA2578" s="11" t="s">
        <v>7294</v>
      </c>
      <c r="AB2578" s="205"/>
    </row>
    <row r="2579" spans="1:28" ht="37.5" customHeight="1">
      <c r="A2579" s="152" t="str">
        <f>'Reported burning'!A2585</f>
        <v>303al</v>
      </c>
      <c r="B2579" s="152" t="str">
        <f>'Reported burning'!B2585</f>
        <v>303al.1</v>
      </c>
      <c r="C2579" s="152" t="str">
        <f>'Reported burning'!C2585</f>
        <v>Human, deliberate</v>
      </c>
      <c r="D2579" s="152" t="str">
        <f>'Reported burning'!D2585</f>
        <v>Rangeland management</v>
      </c>
      <c r="E2579" s="152" t="str">
        <f>'Reported burning'!E2585</f>
        <v>Cattle, Extensive</v>
      </c>
      <c r="F2579" s="152" t="str">
        <f>'Reported burning'!F2585</f>
        <v>Shrubland (Mixed forest &amp; grassland)</v>
      </c>
      <c r="G2579" s="152" t="str">
        <f>'Reported burning'!G2585</f>
        <v>ND</v>
      </c>
      <c r="H2579" s="152" t="str">
        <f>'Reported burning'!H2585</f>
        <v>Presence</v>
      </c>
      <c r="I2579" s="5"/>
      <c r="J2579" s="205" t="s">
        <v>2276</v>
      </c>
      <c r="K2579" s="205" t="s">
        <v>2276</v>
      </c>
      <c r="L2579" s="205" t="s">
        <v>2276</v>
      </c>
      <c r="M2579" s="205" t="s">
        <v>2276</v>
      </c>
      <c r="N2579" s="205" t="s">
        <v>2276</v>
      </c>
      <c r="O2579" s="205" t="s">
        <v>2276</v>
      </c>
      <c r="P2579" s="205" t="s">
        <v>2276</v>
      </c>
      <c r="Q2579" s="205" t="s">
        <v>2276</v>
      </c>
      <c r="R2579" s="205" t="s">
        <v>2276</v>
      </c>
      <c r="S2579" s="205" t="s">
        <v>2276</v>
      </c>
      <c r="T2579" s="205" t="s">
        <v>2276</v>
      </c>
      <c r="U2579" s="205" t="s">
        <v>2276</v>
      </c>
      <c r="V2579" s="205" t="s">
        <v>2276</v>
      </c>
      <c r="W2579" s="21" t="s">
        <v>2401</v>
      </c>
      <c r="X2579" s="205" t="s">
        <v>34</v>
      </c>
      <c r="Y2579" s="205" t="s">
        <v>405</v>
      </c>
      <c r="Z2579" s="205" t="s">
        <v>2276</v>
      </c>
      <c r="AA2579" s="11" t="s">
        <v>7294</v>
      </c>
      <c r="AB2579" s="205"/>
    </row>
    <row r="2580" spans="1:28" ht="44.5" customHeight="1">
      <c r="A2580" s="156" t="str">
        <f>'Reported burning'!A2586</f>
        <v>303am</v>
      </c>
      <c r="B2580" s="156" t="str">
        <f>'Reported burning'!B2586</f>
        <v>303am.1</v>
      </c>
      <c r="C2580" s="156" t="str">
        <f>'Reported burning'!C2586</f>
        <v>Human, deliberate</v>
      </c>
      <c r="D2580" s="156" t="str">
        <f>'Reported burning'!D2586</f>
        <v>Rangeland management</v>
      </c>
      <c r="E2580" s="156" t="str">
        <f>'Reported burning'!E2586</f>
        <v>Cattle, Extensive</v>
      </c>
      <c r="F2580" s="156" t="str">
        <f>'Reported burning'!F2586</f>
        <v>Shrubland (Mixed forest &amp; grassland)</v>
      </c>
      <c r="G2580" s="156" t="str">
        <f>'Reported burning'!G2586</f>
        <v>ND</v>
      </c>
      <c r="H2580" s="156" t="str">
        <f>'Reported burning'!H2586</f>
        <v>Presence</v>
      </c>
      <c r="I2580" s="5"/>
      <c r="J2580" s="205" t="s">
        <v>2276</v>
      </c>
      <c r="K2580" s="205" t="s">
        <v>2276</v>
      </c>
      <c r="L2580" s="205" t="s">
        <v>2276</v>
      </c>
      <c r="M2580" s="205" t="s">
        <v>2276</v>
      </c>
      <c r="N2580" s="205" t="s">
        <v>2276</v>
      </c>
      <c r="O2580" s="205" t="s">
        <v>2276</v>
      </c>
      <c r="P2580" s="205" t="s">
        <v>2276</v>
      </c>
      <c r="Q2580" s="205" t="s">
        <v>2276</v>
      </c>
      <c r="R2580" s="205" t="s">
        <v>2276</v>
      </c>
      <c r="S2580" s="205" t="s">
        <v>2276</v>
      </c>
      <c r="T2580" s="205" t="s">
        <v>2276</v>
      </c>
      <c r="U2580" s="205" t="s">
        <v>2276</v>
      </c>
      <c r="V2580" s="205" t="s">
        <v>2276</v>
      </c>
      <c r="W2580" s="205" t="s">
        <v>2276</v>
      </c>
      <c r="X2580" s="205" t="s">
        <v>2276</v>
      </c>
      <c r="Y2580" s="205" t="s">
        <v>2276</v>
      </c>
      <c r="Z2580" s="205" t="s">
        <v>2276</v>
      </c>
      <c r="AA2580" s="11"/>
      <c r="AB2580" s="205"/>
    </row>
    <row r="2581" spans="1:28" ht="44.5" customHeight="1">
      <c r="A2581" s="156" t="str">
        <f>'Reported burning'!A2587</f>
        <v>303am</v>
      </c>
      <c r="B2581" s="156" t="str">
        <f>'Reported burning'!B2587</f>
        <v>303am.2</v>
      </c>
      <c r="C2581" s="156" t="str">
        <f>'Reported burning'!C2587</f>
        <v>Human, deliberate</v>
      </c>
      <c r="D2581" s="156" t="str">
        <f>'Reported burning'!D2587</f>
        <v>Rangeland management</v>
      </c>
      <c r="E2581" s="156" t="str">
        <f>'Reported burning'!E2587</f>
        <v>Pastoralism, Migratory</v>
      </c>
      <c r="F2581" s="156" t="str">
        <f>'Reported burning'!F2587</f>
        <v>Shrubland (Mixed forest &amp; grassland)</v>
      </c>
      <c r="G2581" s="156" t="str">
        <f>'Reported burning'!G2587</f>
        <v>ND</v>
      </c>
      <c r="H2581" s="156" t="str">
        <f>'Reported burning'!H2587</f>
        <v>Presence</v>
      </c>
      <c r="I2581" s="5"/>
      <c r="J2581" s="205" t="s">
        <v>2276</v>
      </c>
      <c r="K2581" s="205" t="s">
        <v>2276</v>
      </c>
      <c r="L2581" s="205" t="s">
        <v>2276</v>
      </c>
      <c r="M2581" s="205" t="s">
        <v>2276</v>
      </c>
      <c r="N2581" s="205" t="s">
        <v>2276</v>
      </c>
      <c r="O2581" s="205" t="s">
        <v>2276</v>
      </c>
      <c r="P2581" s="205" t="s">
        <v>2276</v>
      </c>
      <c r="Q2581" s="205" t="s">
        <v>2276</v>
      </c>
      <c r="R2581" s="205" t="s">
        <v>2276</v>
      </c>
      <c r="S2581" s="205" t="s">
        <v>2276</v>
      </c>
      <c r="T2581" s="205" t="s">
        <v>2276</v>
      </c>
      <c r="U2581" s="205" t="s">
        <v>2276</v>
      </c>
      <c r="V2581" s="205" t="s">
        <v>2276</v>
      </c>
      <c r="W2581" s="205" t="s">
        <v>2276</v>
      </c>
      <c r="X2581" s="205" t="s">
        <v>2276</v>
      </c>
      <c r="Y2581" s="205" t="s">
        <v>2276</v>
      </c>
      <c r="Z2581" s="205" t="s">
        <v>2276</v>
      </c>
      <c r="AA2581" s="205"/>
      <c r="AB2581" s="205"/>
    </row>
    <row r="2582" spans="1:28" ht="44.5" customHeight="1">
      <c r="A2582" s="156" t="str">
        <f>'Reported burning'!A2588</f>
        <v>303an</v>
      </c>
      <c r="B2582" s="156" t="str">
        <f>'Reported burning'!B2588</f>
        <v>303an.1</v>
      </c>
      <c r="C2582" s="156" t="str">
        <f>'Reported burning'!C2588</f>
        <v>Human, deliberate</v>
      </c>
      <c r="D2582" s="156" t="str">
        <f>'Reported burning'!D2588</f>
        <v>Rangeland management</v>
      </c>
      <c r="E2582" s="156" t="str">
        <f>'Reported burning'!E2588</f>
        <v>Cattle, Extensive</v>
      </c>
      <c r="F2582" s="156" t="str">
        <f>'Reported burning'!F2588</f>
        <v>Shrubland (Mixed forest &amp; grassland)</v>
      </c>
      <c r="G2582" s="156" t="str">
        <f>'Reported burning'!G2588</f>
        <v>ND</v>
      </c>
      <c r="H2582" s="156" t="str">
        <f>'Reported burning'!H2588</f>
        <v>Presence</v>
      </c>
      <c r="I2582" s="5"/>
      <c r="J2582" s="205" t="s">
        <v>2276</v>
      </c>
      <c r="K2582" s="205" t="s">
        <v>2276</v>
      </c>
      <c r="L2582" s="205" t="s">
        <v>2276</v>
      </c>
      <c r="M2582" s="205" t="s">
        <v>2276</v>
      </c>
      <c r="N2582" s="205" t="s">
        <v>2276</v>
      </c>
      <c r="O2582" s="205" t="s">
        <v>2276</v>
      </c>
      <c r="P2582" s="205" t="s">
        <v>2276</v>
      </c>
      <c r="Q2582" s="205" t="s">
        <v>2276</v>
      </c>
      <c r="R2582" s="205" t="s">
        <v>2276</v>
      </c>
      <c r="S2582" s="205" t="s">
        <v>2276</v>
      </c>
      <c r="T2582" s="205" t="s">
        <v>2276</v>
      </c>
      <c r="U2582" s="205" t="s">
        <v>2276</v>
      </c>
      <c r="V2582" s="205" t="s">
        <v>2276</v>
      </c>
      <c r="W2582" s="205" t="s">
        <v>2276</v>
      </c>
      <c r="X2582" s="205" t="s">
        <v>2276</v>
      </c>
      <c r="Y2582" s="205" t="s">
        <v>2276</v>
      </c>
      <c r="Z2582" s="205" t="s">
        <v>2276</v>
      </c>
      <c r="AA2582" s="205"/>
      <c r="AB2582" s="205"/>
    </row>
    <row r="2583" spans="1:28" ht="44.5" customHeight="1">
      <c r="A2583" s="156" t="str">
        <f>'Reported burning'!A2589</f>
        <v>303an</v>
      </c>
      <c r="B2583" s="156" t="str">
        <f>'Reported burning'!B2589</f>
        <v>303an.2</v>
      </c>
      <c r="C2583" s="156" t="str">
        <f>'Reported burning'!C2589</f>
        <v>Human, deliberate</v>
      </c>
      <c r="D2583" s="156" t="str">
        <f>'Reported burning'!D2589</f>
        <v>Rangeland management</v>
      </c>
      <c r="E2583" s="156" t="str">
        <f>'Reported burning'!E2589</f>
        <v>Pastoralism, Migratory</v>
      </c>
      <c r="F2583" s="156" t="str">
        <f>'Reported burning'!F2589</f>
        <v>Shrubland (Mixed forest &amp; grassland)</v>
      </c>
      <c r="G2583" s="156" t="str">
        <f>'Reported burning'!G2589</f>
        <v>ND</v>
      </c>
      <c r="H2583" s="156" t="str">
        <f>'Reported burning'!H2589</f>
        <v>Presence</v>
      </c>
      <c r="I2583" s="5"/>
      <c r="J2583" s="205" t="s">
        <v>2276</v>
      </c>
      <c r="K2583" s="205" t="s">
        <v>2276</v>
      </c>
      <c r="L2583" s="205" t="s">
        <v>2276</v>
      </c>
      <c r="M2583" s="205" t="s">
        <v>2276</v>
      </c>
      <c r="N2583" s="205" t="s">
        <v>2276</v>
      </c>
      <c r="O2583" s="205" t="s">
        <v>2276</v>
      </c>
      <c r="P2583" s="205" t="s">
        <v>2276</v>
      </c>
      <c r="Q2583" s="205" t="s">
        <v>2276</v>
      </c>
      <c r="R2583" s="205" t="s">
        <v>2276</v>
      </c>
      <c r="S2583" s="205" t="s">
        <v>2276</v>
      </c>
      <c r="T2583" s="205" t="s">
        <v>2276</v>
      </c>
      <c r="U2583" s="205" t="s">
        <v>2276</v>
      </c>
      <c r="V2583" s="205" t="s">
        <v>2276</v>
      </c>
      <c r="W2583" s="205" t="s">
        <v>2276</v>
      </c>
      <c r="X2583" s="205" t="s">
        <v>2276</v>
      </c>
      <c r="Y2583" s="205" t="s">
        <v>2276</v>
      </c>
      <c r="Z2583" s="205" t="s">
        <v>2276</v>
      </c>
      <c r="AA2583" s="205"/>
      <c r="AB2583" s="205"/>
    </row>
    <row r="2584" spans="1:28" ht="33" customHeight="1">
      <c r="A2584" s="156" t="str">
        <f>'Reported burning'!A2590</f>
        <v>304a</v>
      </c>
      <c r="B2584" s="156" t="str">
        <f>'Reported burning'!B2590</f>
        <v>304a.1</v>
      </c>
      <c r="C2584" s="156" t="str">
        <f>'Reported burning'!C2590</f>
        <v>Human, deliberate</v>
      </c>
      <c r="D2584" s="156" t="str">
        <f>'Reported burning'!D2590</f>
        <v>Pyrome management</v>
      </c>
      <c r="E2584" s="156" t="str">
        <f>'Reported burning'!E2590</f>
        <v>Fire suppression agent</v>
      </c>
      <c r="F2584" s="156" t="str">
        <f>'Reported burning'!F2590</f>
        <v>Shrubland (Mixed forest &amp; grassland)</v>
      </c>
      <c r="G2584" s="156" t="str">
        <f>'Reported burning'!G2590</f>
        <v>ND</v>
      </c>
      <c r="H2584" s="156" t="str">
        <f>'Reported burning'!H2590</f>
        <v>Presence</v>
      </c>
      <c r="I2584" s="5"/>
      <c r="J2584" s="14" t="s">
        <v>2365</v>
      </c>
      <c r="K2584" s="205" t="s">
        <v>2276</v>
      </c>
      <c r="L2584" s="205" t="s">
        <v>2276</v>
      </c>
      <c r="M2584" s="21" t="s">
        <v>2379</v>
      </c>
      <c r="N2584" s="205" t="s">
        <v>2276</v>
      </c>
      <c r="O2584" s="21" t="s">
        <v>2377</v>
      </c>
      <c r="P2584" s="21" t="s">
        <v>2377</v>
      </c>
      <c r="Q2584" s="21" t="s">
        <v>2376</v>
      </c>
      <c r="R2584" s="21" t="s">
        <v>2376</v>
      </c>
      <c r="S2584" s="205" t="s">
        <v>2276</v>
      </c>
      <c r="T2584" s="205" t="s">
        <v>2276</v>
      </c>
      <c r="U2584" s="205" t="s">
        <v>2276</v>
      </c>
      <c r="V2584" s="205" t="s">
        <v>2276</v>
      </c>
      <c r="W2584" s="205" t="s">
        <v>2276</v>
      </c>
      <c r="X2584" s="205" t="s">
        <v>2276</v>
      </c>
      <c r="Y2584" s="205" t="s">
        <v>2276</v>
      </c>
      <c r="Z2584" s="205" t="s">
        <v>2276</v>
      </c>
      <c r="AA2584" s="205"/>
      <c r="AB2584" s="205"/>
    </row>
    <row r="2585" spans="1:28" ht="33" customHeight="1">
      <c r="A2585" s="156" t="str">
        <f>'Reported burning'!A2591</f>
        <v>304b</v>
      </c>
      <c r="B2585" s="156" t="str">
        <f>'Reported burning'!B2591</f>
        <v>304b.1</v>
      </c>
      <c r="C2585" s="156" t="str">
        <f>'Reported burning'!C2591</f>
        <v>Human, deliberate</v>
      </c>
      <c r="D2585" s="156" t="str">
        <f>'Reported burning'!D2591</f>
        <v>Pyrome management</v>
      </c>
      <c r="E2585" s="156" t="str">
        <f>'Reported burning'!E2591</f>
        <v>Fire suppression agent</v>
      </c>
      <c r="F2585" s="156" t="str">
        <f>'Reported burning'!F2591</f>
        <v>Shrubland (Mixed forest &amp; grassland)</v>
      </c>
      <c r="G2585" s="156" t="str">
        <f>'Reported burning'!G2591</f>
        <v>ND</v>
      </c>
      <c r="H2585" s="156" t="str">
        <f>'Reported burning'!H2591</f>
        <v>Absence</v>
      </c>
      <c r="I2585" s="5"/>
      <c r="J2585" s="21">
        <v>0</v>
      </c>
      <c r="K2585" s="21">
        <v>0</v>
      </c>
      <c r="L2585" s="21">
        <v>0</v>
      </c>
      <c r="M2585" s="21">
        <v>0</v>
      </c>
      <c r="N2585" s="21">
        <v>0</v>
      </c>
      <c r="O2585" s="21">
        <v>0</v>
      </c>
      <c r="P2585" s="21">
        <v>0</v>
      </c>
      <c r="Q2585" s="21">
        <v>0</v>
      </c>
      <c r="R2585" s="21">
        <v>0</v>
      </c>
      <c r="S2585" s="21">
        <v>0</v>
      </c>
      <c r="T2585" s="21">
        <v>0</v>
      </c>
      <c r="U2585" s="21">
        <v>0</v>
      </c>
      <c r="V2585" s="21">
        <v>0</v>
      </c>
      <c r="W2585" s="205" t="s">
        <v>2276</v>
      </c>
      <c r="X2585" s="205" t="s">
        <v>2276</v>
      </c>
      <c r="Y2585" s="205" t="s">
        <v>2276</v>
      </c>
      <c r="Z2585" s="205" t="s">
        <v>2276</v>
      </c>
      <c r="AA2585" s="205"/>
      <c r="AB2585" s="205"/>
    </row>
    <row r="2586" spans="1:28" ht="33" customHeight="1">
      <c r="A2586" s="156" t="str">
        <f>'Reported burning'!A2592</f>
        <v>304b</v>
      </c>
      <c r="B2586" s="156" t="str">
        <f>'Reported burning'!B2592</f>
        <v>304b.2</v>
      </c>
      <c r="C2586" s="156" t="str">
        <f>'Reported burning'!C2592</f>
        <v>Human, deliberate</v>
      </c>
      <c r="D2586" s="156" t="str">
        <f>'Reported burning'!D2592</f>
        <v>Pyrome management</v>
      </c>
      <c r="E2586" s="156" t="str">
        <f>'Reported burning'!E2592</f>
        <v>Fire suppression agent</v>
      </c>
      <c r="F2586" s="156" t="str">
        <f>'Reported burning'!F2592</f>
        <v>Shrubland (Mixed forest &amp; grassland)</v>
      </c>
      <c r="G2586" s="156" t="str">
        <f>'Reported burning'!G2592</f>
        <v>ND</v>
      </c>
      <c r="H2586" s="156" t="str">
        <f>'Reported burning'!H2592</f>
        <v>Absence</v>
      </c>
      <c r="I2586" s="5"/>
      <c r="J2586" s="21">
        <v>0</v>
      </c>
      <c r="K2586" s="21">
        <v>0</v>
      </c>
      <c r="L2586" s="21">
        <v>0</v>
      </c>
      <c r="M2586" s="21">
        <v>0</v>
      </c>
      <c r="N2586" s="21">
        <v>0</v>
      </c>
      <c r="O2586" s="21">
        <v>0</v>
      </c>
      <c r="P2586" s="21">
        <v>0</v>
      </c>
      <c r="Q2586" s="21">
        <v>0</v>
      </c>
      <c r="R2586" s="21">
        <v>0</v>
      </c>
      <c r="S2586" s="21">
        <v>0</v>
      </c>
      <c r="T2586" s="21">
        <v>0</v>
      </c>
      <c r="U2586" s="21">
        <v>0</v>
      </c>
      <c r="V2586" s="21">
        <v>0</v>
      </c>
      <c r="W2586" s="205" t="s">
        <v>2276</v>
      </c>
      <c r="X2586" s="205" t="s">
        <v>2276</v>
      </c>
      <c r="Y2586" s="205" t="s">
        <v>2276</v>
      </c>
      <c r="Z2586" s="205" t="s">
        <v>2276</v>
      </c>
      <c r="AA2586" s="205"/>
      <c r="AB2586" s="205"/>
    </row>
    <row r="2587" spans="1:28" ht="29" customHeight="1">
      <c r="A2587" s="156" t="str">
        <f>'Reported burning'!A2593</f>
        <v>304c</v>
      </c>
      <c r="B2587" s="156" t="str">
        <f>'Reported burning'!B2593</f>
        <v>304c.1</v>
      </c>
      <c r="C2587" s="156" t="str">
        <f>'Reported burning'!C2593</f>
        <v>Human, deliberate</v>
      </c>
      <c r="D2587" s="156" t="str">
        <f>'Reported burning'!D2593</f>
        <v>Pyrome management</v>
      </c>
      <c r="E2587" s="156" t="str">
        <f>'Reported burning'!E2593</f>
        <v>Fire suppression agent</v>
      </c>
      <c r="F2587" s="156" t="str">
        <f>'Reported burning'!F2593</f>
        <v>Shrubland (Mixed forest &amp; grassland)</v>
      </c>
      <c r="G2587" s="156" t="str">
        <f>'Reported burning'!G2593</f>
        <v>ND</v>
      </c>
      <c r="H2587" s="156" t="str">
        <f>'Reported burning'!H2593</f>
        <v>Presence</v>
      </c>
      <c r="I2587" s="5"/>
      <c r="J2587" s="205" t="s">
        <v>2276</v>
      </c>
      <c r="K2587" s="205" t="s">
        <v>2276</v>
      </c>
      <c r="L2587" s="205" t="s">
        <v>2276</v>
      </c>
      <c r="M2587" s="205" t="s">
        <v>2276</v>
      </c>
      <c r="N2587" s="205" t="s">
        <v>2276</v>
      </c>
      <c r="O2587" s="205" t="s">
        <v>2276</v>
      </c>
      <c r="P2587" s="205" t="s">
        <v>2276</v>
      </c>
      <c r="Q2587" s="205" t="s">
        <v>2276</v>
      </c>
      <c r="R2587" s="205" t="s">
        <v>2276</v>
      </c>
      <c r="S2587" s="205" t="s">
        <v>2276</v>
      </c>
      <c r="T2587" s="205" t="s">
        <v>2276</v>
      </c>
      <c r="U2587" s="205" t="s">
        <v>2276</v>
      </c>
      <c r="V2587" s="205" t="s">
        <v>2276</v>
      </c>
      <c r="W2587" s="205" t="s">
        <v>2276</v>
      </c>
      <c r="X2587" s="205" t="s">
        <v>2276</v>
      </c>
      <c r="Y2587" s="205" t="s">
        <v>2276</v>
      </c>
      <c r="Z2587" s="205" t="s">
        <v>2276</v>
      </c>
      <c r="AA2587" s="205"/>
      <c r="AB2587" s="205"/>
    </row>
    <row r="2588" spans="1:28" ht="29" customHeight="1">
      <c r="A2588" s="156" t="str">
        <f>'Reported burning'!A2594</f>
        <v>304d</v>
      </c>
      <c r="B2588" s="156" t="str">
        <f>'Reported burning'!B2594</f>
        <v>304d.1</v>
      </c>
      <c r="C2588" s="156" t="str">
        <f>'Reported burning'!C2594</f>
        <v>Human, deliberate</v>
      </c>
      <c r="D2588" s="156" t="str">
        <f>'Reported burning'!D2594</f>
        <v>Pyrome management</v>
      </c>
      <c r="E2588" s="156" t="str">
        <f>'Reported burning'!E2594</f>
        <v>Fire suppression agent</v>
      </c>
      <c r="F2588" s="156" t="str">
        <f>'Reported burning'!F2594</f>
        <v>Shrubland (Mixed forest &amp; grassland)</v>
      </c>
      <c r="G2588" s="156" t="str">
        <f>'Reported burning'!G2594</f>
        <v>ND</v>
      </c>
      <c r="H2588" s="156" t="str">
        <f>'Reported burning'!H2594</f>
        <v>Presence</v>
      </c>
      <c r="I2588" s="5"/>
      <c r="J2588" s="205" t="s">
        <v>2276</v>
      </c>
      <c r="K2588" s="205" t="s">
        <v>2276</v>
      </c>
      <c r="L2588" s="205" t="s">
        <v>2276</v>
      </c>
      <c r="M2588" s="205" t="s">
        <v>2276</v>
      </c>
      <c r="N2588" s="205" t="s">
        <v>2276</v>
      </c>
      <c r="O2588" s="205" t="s">
        <v>2276</v>
      </c>
      <c r="P2588" s="205" t="s">
        <v>2276</v>
      </c>
      <c r="Q2588" s="205" t="s">
        <v>2276</v>
      </c>
      <c r="R2588" s="205" t="s">
        <v>2276</v>
      </c>
      <c r="S2588" s="205" t="s">
        <v>2276</v>
      </c>
      <c r="T2588" s="205" t="s">
        <v>2276</v>
      </c>
      <c r="U2588" s="205" t="s">
        <v>2276</v>
      </c>
      <c r="V2588" s="205" t="s">
        <v>2276</v>
      </c>
      <c r="W2588" s="205" t="s">
        <v>2276</v>
      </c>
      <c r="X2588" s="205" t="s">
        <v>2276</v>
      </c>
      <c r="Y2588" s="205" t="s">
        <v>2276</v>
      </c>
      <c r="Z2588" s="205" t="s">
        <v>2276</v>
      </c>
      <c r="AA2588" s="205"/>
      <c r="AB2588" s="205"/>
    </row>
    <row r="2589" spans="1:28" ht="29" customHeight="1">
      <c r="A2589" s="156" t="str">
        <f>'Reported burning'!A2595</f>
        <v>304d</v>
      </c>
      <c r="B2589" s="156" t="str">
        <f>'Reported burning'!B2595</f>
        <v>304d.2</v>
      </c>
      <c r="C2589" s="156" t="str">
        <f>'Reported burning'!C2595</f>
        <v>Human, deliberate</v>
      </c>
      <c r="D2589" s="156" t="str">
        <f>'Reported burning'!D2595</f>
        <v>Rangeland management</v>
      </c>
      <c r="E2589" s="156" t="str">
        <f>'Reported burning'!E2595</f>
        <v>Cattle, Extensive</v>
      </c>
      <c r="F2589" s="156" t="str">
        <f>'Reported burning'!F2595</f>
        <v>Shrubland (Mixed forest &amp; grassland)</v>
      </c>
      <c r="G2589" s="156" t="str">
        <f>'Reported burning'!G2595</f>
        <v>ND</v>
      </c>
      <c r="H2589" s="156" t="str">
        <f>'Reported burning'!H2595</f>
        <v>Presence</v>
      </c>
      <c r="I2589" s="5"/>
      <c r="J2589" s="205" t="s">
        <v>2276</v>
      </c>
      <c r="K2589" s="205" t="s">
        <v>2276</v>
      </c>
      <c r="L2589" s="205" t="s">
        <v>2276</v>
      </c>
      <c r="M2589" s="205" t="s">
        <v>2276</v>
      </c>
      <c r="N2589" s="205" t="s">
        <v>2276</v>
      </c>
      <c r="O2589" s="205" t="s">
        <v>2276</v>
      </c>
      <c r="P2589" s="205" t="s">
        <v>2276</v>
      </c>
      <c r="Q2589" s="205" t="s">
        <v>2276</v>
      </c>
      <c r="R2589" s="205" t="s">
        <v>2276</v>
      </c>
      <c r="S2589" s="14" t="s">
        <v>2374</v>
      </c>
      <c r="T2589" s="205" t="s">
        <v>2276</v>
      </c>
      <c r="U2589" s="205" t="s">
        <v>2276</v>
      </c>
      <c r="V2589" s="205" t="s">
        <v>2276</v>
      </c>
      <c r="W2589" s="205" t="s">
        <v>2276</v>
      </c>
      <c r="X2589" s="205" t="s">
        <v>2276</v>
      </c>
      <c r="Y2589" s="205" t="s">
        <v>2276</v>
      </c>
      <c r="Z2589" s="205" t="s">
        <v>2276</v>
      </c>
      <c r="AA2589" s="205"/>
      <c r="AB2589" s="205"/>
    </row>
    <row r="2590" spans="1:28" ht="29" customHeight="1">
      <c r="A2590" s="156" t="str">
        <f>'Reported burning'!A2596</f>
        <v>304d</v>
      </c>
      <c r="B2590" s="156" t="str">
        <f>'Reported burning'!B2596</f>
        <v>304d.3</v>
      </c>
      <c r="C2590" s="156" t="str">
        <f>'Reported burning'!C2596</f>
        <v>Human, escaped</v>
      </c>
      <c r="D2590" s="156" t="str">
        <f>'Reported burning'!D2596</f>
        <v>Rangeland management</v>
      </c>
      <c r="E2590" s="156" t="str">
        <f>'Reported burning'!E2596</f>
        <v>Cattle, Extensive</v>
      </c>
      <c r="F2590" s="156" t="str">
        <f>'Reported burning'!F2596</f>
        <v>Shrubland (Mixed forest &amp; grassland)</v>
      </c>
      <c r="G2590" s="156" t="str">
        <f>'Reported burning'!G2596</f>
        <v>ND</v>
      </c>
      <c r="H2590" s="156" t="str">
        <f>'Reported burning'!H2596</f>
        <v>Presence</v>
      </c>
      <c r="I2590" s="5"/>
      <c r="J2590" s="205" t="s">
        <v>2276</v>
      </c>
      <c r="K2590" s="205" t="s">
        <v>2276</v>
      </c>
      <c r="L2590" s="205" t="s">
        <v>2276</v>
      </c>
      <c r="M2590" s="205" t="s">
        <v>2276</v>
      </c>
      <c r="N2590" s="205" t="s">
        <v>2276</v>
      </c>
      <c r="O2590" s="205" t="s">
        <v>2276</v>
      </c>
      <c r="P2590" s="205" t="s">
        <v>2276</v>
      </c>
      <c r="Q2590" s="205" t="s">
        <v>2276</v>
      </c>
      <c r="R2590" s="205" t="s">
        <v>2276</v>
      </c>
      <c r="S2590" s="205" t="s">
        <v>2276</v>
      </c>
      <c r="T2590" s="205" t="s">
        <v>2276</v>
      </c>
      <c r="U2590" s="205" t="s">
        <v>2276</v>
      </c>
      <c r="V2590" s="205" t="s">
        <v>2276</v>
      </c>
      <c r="W2590" s="205" t="s">
        <v>2276</v>
      </c>
      <c r="X2590" s="205" t="s">
        <v>2276</v>
      </c>
      <c r="Y2590" s="205" t="s">
        <v>2276</v>
      </c>
      <c r="Z2590" s="205" t="s">
        <v>2276</v>
      </c>
      <c r="AA2590" s="205"/>
      <c r="AB2590" s="205"/>
    </row>
    <row r="2591" spans="1:28" ht="33.5" customHeight="1">
      <c r="A2591" s="156" t="str">
        <f>'Reported burning'!A2597</f>
        <v>304e</v>
      </c>
      <c r="B2591" s="156" t="str">
        <f>'Reported burning'!B2597</f>
        <v>304e.1</v>
      </c>
      <c r="C2591" s="156" t="str">
        <f>'Reported burning'!C2597</f>
        <v>Human, deliberate</v>
      </c>
      <c r="D2591" s="156" t="str">
        <f>'Reported burning'!D2597</f>
        <v>Rangeland management</v>
      </c>
      <c r="E2591" s="156" t="str">
        <f>'Reported burning'!E2597</f>
        <v>Cattle, Extensive</v>
      </c>
      <c r="F2591" s="156" t="str">
        <f>'Reported burning'!F2597</f>
        <v>Shrubland (Mixed forest &amp; grassland)</v>
      </c>
      <c r="G2591" s="156" t="str">
        <f>'Reported burning'!G2597</f>
        <v>ND</v>
      </c>
      <c r="H2591" s="156" t="str">
        <f>'Reported burning'!H2597</f>
        <v>Presence</v>
      </c>
      <c r="I2591" s="5">
        <f>'Reported burning'!I2597</f>
        <v>1980</v>
      </c>
      <c r="J2591" s="205" t="s">
        <v>2276</v>
      </c>
      <c r="K2591" s="205" t="s">
        <v>2276</v>
      </c>
      <c r="L2591" s="205" t="s">
        <v>2276</v>
      </c>
      <c r="M2591" s="205" t="s">
        <v>2276</v>
      </c>
      <c r="N2591" s="205" t="s">
        <v>2276</v>
      </c>
      <c r="O2591" s="205" t="s">
        <v>2276</v>
      </c>
      <c r="P2591" s="205" t="s">
        <v>2276</v>
      </c>
      <c r="Q2591" s="205" t="s">
        <v>2276</v>
      </c>
      <c r="R2591" s="205" t="s">
        <v>2276</v>
      </c>
      <c r="S2591" s="205" t="s">
        <v>2276</v>
      </c>
      <c r="T2591" s="205" t="s">
        <v>2276</v>
      </c>
      <c r="U2591" s="205" t="s">
        <v>2276</v>
      </c>
      <c r="V2591" s="205" t="s">
        <v>2276</v>
      </c>
      <c r="W2591" s="205" t="s">
        <v>2276</v>
      </c>
      <c r="X2591" s="205" t="s">
        <v>2276</v>
      </c>
      <c r="Y2591" s="205" t="s">
        <v>2276</v>
      </c>
      <c r="Z2591" s="205" t="s">
        <v>2276</v>
      </c>
      <c r="AA2591" s="205"/>
      <c r="AB2591" s="205"/>
    </row>
    <row r="2592" spans="1:28" ht="33.5" customHeight="1">
      <c r="A2592" s="156" t="str">
        <f>'Reported burning'!A2598</f>
        <v>304e</v>
      </c>
      <c r="B2592" s="156" t="str">
        <f>'Reported burning'!B2598</f>
        <v>304e.2</v>
      </c>
      <c r="C2592" s="156" t="str">
        <f>'Reported burning'!C2598</f>
        <v>Human, deliberate</v>
      </c>
      <c r="D2592" s="156" t="str">
        <f>'Reported burning'!D2598</f>
        <v>Rangeland management</v>
      </c>
      <c r="E2592" s="156" t="str">
        <f>'Reported burning'!E2598</f>
        <v>Cattle, Extensive</v>
      </c>
      <c r="F2592" s="156" t="str">
        <f>'Reported burning'!F2598</f>
        <v>Shrubland (Mixed forest &amp; grassland)</v>
      </c>
      <c r="G2592" s="156" t="str">
        <f>'Reported burning'!G2598</f>
        <v>ND</v>
      </c>
      <c r="H2592" s="156" t="str">
        <f>'Reported burning'!H2598</f>
        <v>Presence</v>
      </c>
      <c r="I2592" s="5">
        <f>'Reported burning'!I2598</f>
        <v>1990</v>
      </c>
      <c r="J2592" s="205" t="s">
        <v>2276</v>
      </c>
      <c r="K2592" s="205" t="s">
        <v>2276</v>
      </c>
      <c r="L2592" s="205" t="s">
        <v>2276</v>
      </c>
      <c r="M2592" s="205" t="s">
        <v>2276</v>
      </c>
      <c r="N2592" s="205" t="s">
        <v>2276</v>
      </c>
      <c r="O2592" s="205" t="s">
        <v>2276</v>
      </c>
      <c r="P2592" s="205" t="s">
        <v>2276</v>
      </c>
      <c r="Q2592" s="205" t="s">
        <v>2276</v>
      </c>
      <c r="R2592" s="205" t="s">
        <v>2276</v>
      </c>
      <c r="S2592" s="205" t="s">
        <v>2276</v>
      </c>
      <c r="T2592" s="205" t="s">
        <v>2276</v>
      </c>
      <c r="U2592" s="205" t="s">
        <v>2276</v>
      </c>
      <c r="V2592" s="205" t="s">
        <v>2276</v>
      </c>
      <c r="W2592" s="205" t="s">
        <v>2276</v>
      </c>
      <c r="X2592" s="205" t="s">
        <v>2276</v>
      </c>
      <c r="Y2592" s="205" t="s">
        <v>2276</v>
      </c>
      <c r="Z2592" s="205" t="s">
        <v>2276</v>
      </c>
      <c r="AA2592" s="205"/>
      <c r="AB2592" s="205"/>
    </row>
    <row r="2593" spans="1:28" ht="33.5" customHeight="1">
      <c r="A2593" s="156" t="str">
        <f>'Reported burning'!A2599</f>
        <v>304e</v>
      </c>
      <c r="B2593" s="156" t="str">
        <f>'Reported burning'!B2599</f>
        <v>304e.3</v>
      </c>
      <c r="C2593" s="156" t="str">
        <f>'Reported burning'!C2599</f>
        <v>Human, deliberate</v>
      </c>
      <c r="D2593" s="156" t="str">
        <f>'Reported burning'!D2599</f>
        <v>Pyrome management</v>
      </c>
      <c r="E2593" s="156" t="str">
        <f>'Reported burning'!E2599</f>
        <v>Fire suppression agent</v>
      </c>
      <c r="F2593" s="156" t="str">
        <f>'Reported burning'!F2599</f>
        <v>Shrubland (Mixed forest &amp; grassland)</v>
      </c>
      <c r="G2593" s="156" t="str">
        <f>'Reported burning'!G2599</f>
        <v>ND</v>
      </c>
      <c r="H2593" s="156" t="str">
        <f>'Reported burning'!H2599</f>
        <v>Presence</v>
      </c>
      <c r="I2593" s="5"/>
      <c r="J2593" s="205" t="s">
        <v>2276</v>
      </c>
      <c r="K2593" s="205" t="s">
        <v>2276</v>
      </c>
      <c r="L2593" s="205" t="s">
        <v>2276</v>
      </c>
      <c r="M2593" s="205" t="s">
        <v>2276</v>
      </c>
      <c r="N2593" s="205" t="s">
        <v>2276</v>
      </c>
      <c r="O2593" s="205" t="s">
        <v>2276</v>
      </c>
      <c r="P2593" s="205" t="s">
        <v>2276</v>
      </c>
      <c r="Q2593" s="205" t="s">
        <v>2276</v>
      </c>
      <c r="R2593" s="205" t="s">
        <v>2276</v>
      </c>
      <c r="S2593" s="205" t="s">
        <v>2276</v>
      </c>
      <c r="T2593" s="205" t="s">
        <v>2276</v>
      </c>
      <c r="U2593" s="205" t="s">
        <v>2276</v>
      </c>
      <c r="V2593" s="205" t="s">
        <v>2276</v>
      </c>
      <c r="W2593" s="205" t="s">
        <v>2276</v>
      </c>
      <c r="X2593" s="205" t="s">
        <v>2276</v>
      </c>
      <c r="Y2593" s="205" t="s">
        <v>2276</v>
      </c>
      <c r="Z2593" s="205" t="s">
        <v>2276</v>
      </c>
      <c r="AA2593" s="205"/>
      <c r="AB2593" s="205"/>
    </row>
    <row r="2594" spans="1:28" ht="33.5" customHeight="1">
      <c r="A2594" s="156" t="str">
        <f>'Reported burning'!A2600</f>
        <v>305a</v>
      </c>
      <c r="B2594" s="156" t="str">
        <f>'Reported burning'!B2600</f>
        <v>305a.1</v>
      </c>
      <c r="C2594" s="156" t="str">
        <f>'Reported burning'!C2600</f>
        <v>Human, deliberate</v>
      </c>
      <c r="D2594" s="156" t="str">
        <f>'Reported burning'!D2600</f>
        <v>Pyrome management</v>
      </c>
      <c r="E2594" s="156" t="str">
        <f>'Reported burning'!E2600</f>
        <v>Fire suppression agent</v>
      </c>
      <c r="F2594" s="156" t="str">
        <f>'Reported burning'!F2600</f>
        <v>ND</v>
      </c>
      <c r="G2594" s="156" t="str">
        <f>'Reported burning'!G2600</f>
        <v>ND</v>
      </c>
      <c r="H2594" s="156" t="str">
        <f>'Reported burning'!H2600</f>
        <v>Absence</v>
      </c>
      <c r="I2594" s="5"/>
      <c r="J2594" s="205" t="s">
        <v>2276</v>
      </c>
      <c r="K2594" s="205" t="s">
        <v>2276</v>
      </c>
      <c r="L2594" s="205" t="s">
        <v>2276</v>
      </c>
      <c r="M2594" s="205" t="s">
        <v>2276</v>
      </c>
      <c r="N2594" s="205" t="s">
        <v>2276</v>
      </c>
      <c r="O2594" s="205" t="s">
        <v>2276</v>
      </c>
      <c r="P2594" s="205" t="s">
        <v>2276</v>
      </c>
      <c r="Q2594" s="205" t="s">
        <v>2276</v>
      </c>
      <c r="R2594" s="205" t="s">
        <v>2276</v>
      </c>
      <c r="S2594" s="205" t="s">
        <v>2276</v>
      </c>
      <c r="T2594" s="205" t="s">
        <v>2276</v>
      </c>
      <c r="U2594" s="205" t="s">
        <v>2276</v>
      </c>
      <c r="V2594" s="205" t="s">
        <v>2276</v>
      </c>
      <c r="W2594" s="205" t="s">
        <v>2276</v>
      </c>
      <c r="X2594" s="205" t="s">
        <v>2276</v>
      </c>
      <c r="Y2594" s="205" t="s">
        <v>2276</v>
      </c>
      <c r="Z2594" s="205" t="s">
        <v>2276</v>
      </c>
      <c r="AA2594" s="205"/>
      <c r="AB2594" s="205"/>
    </row>
    <row r="2595" spans="1:28" ht="33.5" customHeight="1">
      <c r="A2595" s="156" t="str">
        <f>'Reported burning'!A2601</f>
        <v>305b</v>
      </c>
      <c r="B2595" s="156" t="str">
        <f>'Reported burning'!B2601</f>
        <v>305b.1</v>
      </c>
      <c r="C2595" s="156" t="str">
        <f>'Reported burning'!C2601</f>
        <v>Human, deliberate</v>
      </c>
      <c r="D2595" s="156" t="str">
        <f>'Reported burning'!D2601</f>
        <v>Pyrome management</v>
      </c>
      <c r="E2595" s="156" t="str">
        <f>'Reported burning'!E2601</f>
        <v>Fire suppression agent</v>
      </c>
      <c r="F2595" s="156" t="str">
        <f>'Reported burning'!F2601</f>
        <v>ND</v>
      </c>
      <c r="G2595" s="156" t="str">
        <f>'Reported burning'!G2601</f>
        <v>ND</v>
      </c>
      <c r="H2595" s="156" t="str">
        <f>'Reported burning'!H2601</f>
        <v>Absence</v>
      </c>
      <c r="I2595" s="5"/>
      <c r="J2595" s="205" t="s">
        <v>2276</v>
      </c>
      <c r="K2595" s="205" t="s">
        <v>2276</v>
      </c>
      <c r="L2595" s="205" t="s">
        <v>2276</v>
      </c>
      <c r="M2595" s="205" t="s">
        <v>2276</v>
      </c>
      <c r="N2595" s="205" t="s">
        <v>2276</v>
      </c>
      <c r="O2595" s="205" t="s">
        <v>2276</v>
      </c>
      <c r="P2595" s="205" t="s">
        <v>2276</v>
      </c>
      <c r="Q2595" s="205" t="s">
        <v>2276</v>
      </c>
      <c r="R2595" s="205" t="s">
        <v>2276</v>
      </c>
      <c r="S2595" s="205" t="s">
        <v>2276</v>
      </c>
      <c r="T2595" s="205" t="s">
        <v>2276</v>
      </c>
      <c r="U2595" s="205" t="s">
        <v>2276</v>
      </c>
      <c r="V2595" s="205" t="s">
        <v>2276</v>
      </c>
      <c r="W2595" s="205" t="s">
        <v>2276</v>
      </c>
      <c r="X2595" s="205" t="s">
        <v>2276</v>
      </c>
      <c r="Y2595" s="205" t="s">
        <v>2276</v>
      </c>
      <c r="Z2595" s="205" t="s">
        <v>2276</v>
      </c>
      <c r="AA2595" s="205"/>
      <c r="AB2595" s="205"/>
    </row>
    <row r="2596" spans="1:28" ht="33.5" customHeight="1">
      <c r="A2596" s="156" t="str">
        <f>'Reported burning'!A2602</f>
        <v>305c</v>
      </c>
      <c r="B2596" s="156" t="str">
        <f>'Reported burning'!B2602</f>
        <v>305c.1</v>
      </c>
      <c r="C2596" s="156" t="str">
        <f>'Reported burning'!C2602</f>
        <v>Human, deliberate</v>
      </c>
      <c r="D2596" s="156" t="str">
        <f>'Reported burning'!D2602</f>
        <v>Pyrome management</v>
      </c>
      <c r="E2596" s="156" t="str">
        <f>'Reported burning'!E2602</f>
        <v>Fire suppression agent</v>
      </c>
      <c r="F2596" s="156" t="str">
        <f>'Reported burning'!F2602</f>
        <v>ND</v>
      </c>
      <c r="G2596" s="156" t="str">
        <f>'Reported burning'!G2602</f>
        <v>ND</v>
      </c>
      <c r="H2596" s="156" t="str">
        <f>'Reported burning'!H2602</f>
        <v>Absence</v>
      </c>
      <c r="I2596" s="5"/>
      <c r="J2596" s="205" t="s">
        <v>2276</v>
      </c>
      <c r="K2596" s="205" t="s">
        <v>2276</v>
      </c>
      <c r="L2596" s="205" t="s">
        <v>2276</v>
      </c>
      <c r="M2596" s="205" t="s">
        <v>2276</v>
      </c>
      <c r="N2596" s="205" t="s">
        <v>2276</v>
      </c>
      <c r="O2596" s="205" t="s">
        <v>2276</v>
      </c>
      <c r="P2596" s="205" t="s">
        <v>2276</v>
      </c>
      <c r="Q2596" s="205" t="s">
        <v>2276</v>
      </c>
      <c r="R2596" s="205" t="s">
        <v>2276</v>
      </c>
      <c r="S2596" s="205" t="s">
        <v>2276</v>
      </c>
      <c r="T2596" s="205" t="s">
        <v>2276</v>
      </c>
      <c r="U2596" s="205" t="s">
        <v>2276</v>
      </c>
      <c r="V2596" s="205" t="s">
        <v>2276</v>
      </c>
      <c r="W2596" s="205" t="s">
        <v>2276</v>
      </c>
      <c r="X2596" s="205" t="s">
        <v>2276</v>
      </c>
      <c r="Y2596" s="205" t="s">
        <v>2276</v>
      </c>
      <c r="Z2596" s="205" t="s">
        <v>2276</v>
      </c>
      <c r="AA2596" s="205"/>
      <c r="AB2596" s="205"/>
    </row>
    <row r="2597" spans="1:28" ht="33.5" customHeight="1">
      <c r="A2597" s="156" t="str">
        <f>'Reported burning'!A2603</f>
        <v>305d</v>
      </c>
      <c r="B2597" s="156" t="str">
        <f>'Reported burning'!B2603</f>
        <v>305d.1</v>
      </c>
      <c r="C2597" s="156" t="str">
        <f>'Reported burning'!C2603</f>
        <v>Human, deliberate</v>
      </c>
      <c r="D2597" s="156" t="str">
        <f>'Reported burning'!D2603</f>
        <v>Pyrome management</v>
      </c>
      <c r="E2597" s="156" t="str">
        <f>'Reported burning'!E2603</f>
        <v>Fire suppression agent</v>
      </c>
      <c r="F2597" s="156" t="str">
        <f>'Reported burning'!F2603</f>
        <v>ND</v>
      </c>
      <c r="G2597" s="156" t="str">
        <f>'Reported burning'!G2603</f>
        <v>ND</v>
      </c>
      <c r="H2597" s="156" t="str">
        <f>'Reported burning'!H2603</f>
        <v>Absence</v>
      </c>
      <c r="I2597" s="5"/>
      <c r="J2597" s="205" t="s">
        <v>2276</v>
      </c>
      <c r="K2597" s="205" t="s">
        <v>2276</v>
      </c>
      <c r="L2597" s="205" t="s">
        <v>2276</v>
      </c>
      <c r="M2597" s="205" t="s">
        <v>2276</v>
      </c>
      <c r="N2597" s="205" t="s">
        <v>2276</v>
      </c>
      <c r="O2597" s="205" t="s">
        <v>2276</v>
      </c>
      <c r="P2597" s="205" t="s">
        <v>2276</v>
      </c>
      <c r="Q2597" s="205" t="s">
        <v>2276</v>
      </c>
      <c r="R2597" s="205" t="s">
        <v>2276</v>
      </c>
      <c r="S2597" s="205" t="s">
        <v>2276</v>
      </c>
      <c r="T2597" s="205" t="s">
        <v>2276</v>
      </c>
      <c r="U2597" s="205" t="s">
        <v>2276</v>
      </c>
      <c r="V2597" s="205" t="s">
        <v>2276</v>
      </c>
      <c r="W2597" s="205" t="s">
        <v>2276</v>
      </c>
      <c r="X2597" s="205" t="s">
        <v>2276</v>
      </c>
      <c r="Y2597" s="205" t="s">
        <v>2276</v>
      </c>
      <c r="Z2597" s="205" t="s">
        <v>2276</v>
      </c>
      <c r="AA2597" s="205"/>
      <c r="AB2597" s="205"/>
    </row>
    <row r="2598" spans="1:28" ht="33.5" customHeight="1">
      <c r="A2598" s="156" t="str">
        <f>'Reported burning'!A2604</f>
        <v>305e</v>
      </c>
      <c r="B2598" s="156" t="str">
        <f>'Reported burning'!B2604</f>
        <v>305e.1</v>
      </c>
      <c r="C2598" s="156" t="str">
        <f>'Reported burning'!C2604</f>
        <v>Human, deliberate</v>
      </c>
      <c r="D2598" s="156" t="str">
        <f>'Reported burning'!D2604</f>
        <v>Pyrome management</v>
      </c>
      <c r="E2598" s="156" t="str">
        <f>'Reported burning'!E2604</f>
        <v>Fire suppression agent</v>
      </c>
      <c r="F2598" s="156" t="str">
        <f>'Reported burning'!F2604</f>
        <v>ND</v>
      </c>
      <c r="G2598" s="156" t="str">
        <f>'Reported burning'!G2604</f>
        <v>ND</v>
      </c>
      <c r="H2598" s="156" t="str">
        <f>'Reported burning'!H2604</f>
        <v>Absence</v>
      </c>
      <c r="I2598" s="5"/>
      <c r="J2598" s="205" t="s">
        <v>2276</v>
      </c>
      <c r="K2598" s="205" t="s">
        <v>2276</v>
      </c>
      <c r="L2598" s="205" t="s">
        <v>2276</v>
      </c>
      <c r="M2598" s="205" t="s">
        <v>2276</v>
      </c>
      <c r="N2598" s="205" t="s">
        <v>2276</v>
      </c>
      <c r="O2598" s="205" t="s">
        <v>2276</v>
      </c>
      <c r="P2598" s="205" t="s">
        <v>2276</v>
      </c>
      <c r="Q2598" s="205" t="s">
        <v>2276</v>
      </c>
      <c r="R2598" s="205" t="s">
        <v>2276</v>
      </c>
      <c r="S2598" s="205" t="s">
        <v>2276</v>
      </c>
      <c r="T2598" s="205" t="s">
        <v>2276</v>
      </c>
      <c r="U2598" s="205" t="s">
        <v>2276</v>
      </c>
      <c r="V2598" s="205" t="s">
        <v>2276</v>
      </c>
      <c r="W2598" s="205" t="s">
        <v>2276</v>
      </c>
      <c r="X2598" s="205" t="s">
        <v>2276</v>
      </c>
      <c r="Y2598" s="205" t="s">
        <v>2276</v>
      </c>
      <c r="Z2598" s="205" t="s">
        <v>2276</v>
      </c>
      <c r="AA2598" s="205"/>
      <c r="AB2598" s="205"/>
    </row>
    <row r="2599" spans="1:28" ht="33.5" customHeight="1">
      <c r="A2599" s="156" t="str">
        <f>'Reported burning'!A2605</f>
        <v>305f</v>
      </c>
      <c r="B2599" s="156" t="str">
        <f>'Reported burning'!B2605</f>
        <v>305f.1</v>
      </c>
      <c r="C2599" s="156" t="str">
        <f>'Reported burning'!C2605</f>
        <v>Human, deliberate</v>
      </c>
      <c r="D2599" s="156" t="str">
        <f>'Reported burning'!D2605</f>
        <v>Pyrome management</v>
      </c>
      <c r="E2599" s="156" t="str">
        <f>'Reported burning'!E2605</f>
        <v>Fire suppression agent</v>
      </c>
      <c r="F2599" s="156" t="str">
        <f>'Reported burning'!F2605</f>
        <v>ND</v>
      </c>
      <c r="G2599" s="156" t="str">
        <f>'Reported burning'!G2605</f>
        <v>ND</v>
      </c>
      <c r="H2599" s="156" t="str">
        <f>'Reported burning'!H2605</f>
        <v>Absence</v>
      </c>
      <c r="I2599" s="5"/>
      <c r="J2599" s="205" t="s">
        <v>2276</v>
      </c>
      <c r="K2599" s="205" t="s">
        <v>2276</v>
      </c>
      <c r="L2599" s="205" t="s">
        <v>2276</v>
      </c>
      <c r="M2599" s="205" t="s">
        <v>2276</v>
      </c>
      <c r="N2599" s="205" t="s">
        <v>2276</v>
      </c>
      <c r="O2599" s="205" t="s">
        <v>2276</v>
      </c>
      <c r="P2599" s="205" t="s">
        <v>2276</v>
      </c>
      <c r="Q2599" s="205" t="s">
        <v>2276</v>
      </c>
      <c r="R2599" s="205" t="s">
        <v>2276</v>
      </c>
      <c r="S2599" s="205" t="s">
        <v>2276</v>
      </c>
      <c r="T2599" s="205" t="s">
        <v>2276</v>
      </c>
      <c r="U2599" s="205" t="s">
        <v>2276</v>
      </c>
      <c r="V2599" s="205" t="s">
        <v>2276</v>
      </c>
      <c r="W2599" s="205" t="s">
        <v>2276</v>
      </c>
      <c r="X2599" s="205" t="s">
        <v>2276</v>
      </c>
      <c r="Y2599" s="205" t="s">
        <v>2276</v>
      </c>
      <c r="Z2599" s="205" t="s">
        <v>2276</v>
      </c>
      <c r="AA2599" s="205"/>
      <c r="AB2599" s="205"/>
    </row>
    <row r="2600" spans="1:28" ht="33.5" customHeight="1">
      <c r="A2600" s="156" t="str">
        <f>'Reported burning'!A2606</f>
        <v>305g</v>
      </c>
      <c r="B2600" s="156" t="str">
        <f>'Reported burning'!B2606</f>
        <v>305g.1</v>
      </c>
      <c r="C2600" s="156" t="str">
        <f>'Reported burning'!C2606</f>
        <v>Human, deliberate</v>
      </c>
      <c r="D2600" s="156" t="str">
        <f>'Reported burning'!D2606</f>
        <v>Pyrome management</v>
      </c>
      <c r="E2600" s="156" t="str">
        <f>'Reported burning'!E2606</f>
        <v>Fire suppression agent</v>
      </c>
      <c r="F2600" s="156" t="str">
        <f>'Reported burning'!F2606</f>
        <v>ND</v>
      </c>
      <c r="G2600" s="156" t="str">
        <f>'Reported burning'!G2606</f>
        <v>ND</v>
      </c>
      <c r="H2600" s="156" t="str">
        <f>'Reported burning'!H2606</f>
        <v>Absence</v>
      </c>
      <c r="I2600" s="5"/>
      <c r="J2600" s="205" t="s">
        <v>2276</v>
      </c>
      <c r="K2600" s="205" t="s">
        <v>2276</v>
      </c>
      <c r="L2600" s="205" t="s">
        <v>2276</v>
      </c>
      <c r="M2600" s="205" t="s">
        <v>2276</v>
      </c>
      <c r="N2600" s="205" t="s">
        <v>2276</v>
      </c>
      <c r="O2600" s="205" t="s">
        <v>2276</v>
      </c>
      <c r="P2600" s="205" t="s">
        <v>2276</v>
      </c>
      <c r="Q2600" s="205" t="s">
        <v>2276</v>
      </c>
      <c r="R2600" s="205" t="s">
        <v>2276</v>
      </c>
      <c r="S2600" s="205" t="s">
        <v>2276</v>
      </c>
      <c r="T2600" s="205" t="s">
        <v>2276</v>
      </c>
      <c r="U2600" s="205" t="s">
        <v>2276</v>
      </c>
      <c r="V2600" s="205" t="s">
        <v>2276</v>
      </c>
      <c r="W2600" s="205" t="s">
        <v>2276</v>
      </c>
      <c r="X2600" s="205" t="s">
        <v>2276</v>
      </c>
      <c r="Y2600" s="205" t="s">
        <v>2276</v>
      </c>
      <c r="Z2600" s="205" t="s">
        <v>2276</v>
      </c>
      <c r="AA2600" s="11" t="s">
        <v>7380</v>
      </c>
      <c r="AB2600" s="205"/>
    </row>
    <row r="2601" spans="1:28" ht="33.5" customHeight="1">
      <c r="A2601" s="156" t="str">
        <f>'Reported burning'!A2607</f>
        <v>305h</v>
      </c>
      <c r="B2601" s="156" t="str">
        <f>'Reported burning'!B2607</f>
        <v>305h.1</v>
      </c>
      <c r="C2601" s="156" t="str">
        <f>'Reported burning'!C2607</f>
        <v>Human, deliberate</v>
      </c>
      <c r="D2601" s="156" t="str">
        <f>'Reported burning'!D2607</f>
        <v>Pyrome management</v>
      </c>
      <c r="E2601" s="156" t="str">
        <f>'Reported burning'!E2607</f>
        <v>Fire suppression agent</v>
      </c>
      <c r="F2601" s="156" t="str">
        <f>'Reported burning'!F2607</f>
        <v>ND</v>
      </c>
      <c r="G2601" s="156" t="str">
        <f>'Reported burning'!G2607</f>
        <v>ND</v>
      </c>
      <c r="H2601" s="156" t="str">
        <f>'Reported burning'!H2607</f>
        <v>Absence</v>
      </c>
      <c r="I2601" s="5"/>
      <c r="J2601" s="205" t="s">
        <v>2276</v>
      </c>
      <c r="K2601" s="205" t="s">
        <v>2276</v>
      </c>
      <c r="L2601" s="205" t="s">
        <v>2276</v>
      </c>
      <c r="M2601" s="205" t="s">
        <v>2276</v>
      </c>
      <c r="N2601" s="205" t="s">
        <v>2276</v>
      </c>
      <c r="O2601" s="205" t="s">
        <v>2276</v>
      </c>
      <c r="P2601" s="205" t="s">
        <v>2276</v>
      </c>
      <c r="Q2601" s="205" t="s">
        <v>2276</v>
      </c>
      <c r="R2601" s="205" t="s">
        <v>2276</v>
      </c>
      <c r="S2601" s="205" t="s">
        <v>2276</v>
      </c>
      <c r="T2601" s="205" t="s">
        <v>2276</v>
      </c>
      <c r="U2601" s="205" t="s">
        <v>2276</v>
      </c>
      <c r="V2601" s="205" t="s">
        <v>2276</v>
      </c>
      <c r="W2601" s="205" t="s">
        <v>2276</v>
      </c>
      <c r="X2601" s="205" t="s">
        <v>2276</v>
      </c>
      <c r="Y2601" s="205" t="s">
        <v>2276</v>
      </c>
      <c r="Z2601" s="205" t="s">
        <v>2276</v>
      </c>
      <c r="AA2601" s="205"/>
      <c r="AB2601" s="205"/>
    </row>
    <row r="2602" spans="1:28" ht="33.5" customHeight="1">
      <c r="A2602" s="156" t="str">
        <f>'Reported burning'!A2608</f>
        <v>305i</v>
      </c>
      <c r="B2602" s="156" t="str">
        <f>'Reported burning'!B2608</f>
        <v>305i.1</v>
      </c>
      <c r="C2602" s="156" t="str">
        <f>'Reported burning'!C2608</f>
        <v>Human, deliberate</v>
      </c>
      <c r="D2602" s="156" t="str">
        <f>'Reported burning'!D2608</f>
        <v>Pyrome management</v>
      </c>
      <c r="E2602" s="156" t="str">
        <f>'Reported burning'!E2608</f>
        <v>Fire suppression agent</v>
      </c>
      <c r="F2602" s="156" t="str">
        <f>'Reported burning'!F2608</f>
        <v>ND</v>
      </c>
      <c r="G2602" s="156" t="str">
        <f>'Reported burning'!G2608</f>
        <v>ND</v>
      </c>
      <c r="H2602" s="156" t="str">
        <f>'Reported burning'!H2608</f>
        <v>Presence</v>
      </c>
      <c r="I2602" s="5">
        <f>'Reported burning'!I2608</f>
        <v>2001</v>
      </c>
      <c r="J2602" s="205" t="s">
        <v>2276</v>
      </c>
      <c r="K2602" s="205" t="s">
        <v>2276</v>
      </c>
      <c r="L2602" s="205" t="s">
        <v>2276</v>
      </c>
      <c r="M2602" s="205" t="s">
        <v>2276</v>
      </c>
      <c r="N2602" s="205" t="s">
        <v>2276</v>
      </c>
      <c r="O2602" s="205" t="s">
        <v>2276</v>
      </c>
      <c r="P2602" s="205" t="s">
        <v>2276</v>
      </c>
      <c r="Q2602" s="205" t="s">
        <v>2276</v>
      </c>
      <c r="R2602" s="205" t="s">
        <v>2276</v>
      </c>
      <c r="S2602" s="205" t="s">
        <v>2276</v>
      </c>
      <c r="T2602" s="205" t="s">
        <v>2276</v>
      </c>
      <c r="U2602" s="205" t="s">
        <v>2276</v>
      </c>
      <c r="V2602" s="205" t="s">
        <v>2276</v>
      </c>
      <c r="W2602" s="205" t="s">
        <v>2276</v>
      </c>
      <c r="X2602" s="205" t="s">
        <v>35</v>
      </c>
      <c r="Y2602" s="205" t="s">
        <v>38</v>
      </c>
      <c r="Z2602" s="205" t="s">
        <v>64</v>
      </c>
      <c r="AA2602" s="205" t="s">
        <v>7699</v>
      </c>
      <c r="AB2602" s="205"/>
    </row>
    <row r="2603" spans="1:28" ht="33.5" customHeight="1">
      <c r="A2603" s="156" t="str">
        <f>'Reported burning'!A2609</f>
        <v>305j</v>
      </c>
      <c r="B2603" s="156" t="str">
        <f>'Reported burning'!B2609</f>
        <v>305j.1</v>
      </c>
      <c r="C2603" s="156" t="str">
        <f>'Reported burning'!C2609</f>
        <v>Human, deliberate</v>
      </c>
      <c r="D2603" s="156" t="str">
        <f>'Reported burning'!D2609</f>
        <v>Pyrome management</v>
      </c>
      <c r="E2603" s="156" t="str">
        <f>'Reported burning'!E2609</f>
        <v>Fire suppression agent</v>
      </c>
      <c r="F2603" s="156" t="str">
        <f>'Reported burning'!F2609</f>
        <v>ND</v>
      </c>
      <c r="G2603" s="156" t="str">
        <f>'Reported burning'!G2609</f>
        <v>ND</v>
      </c>
      <c r="H2603" s="156" t="str">
        <f>'Reported burning'!H2609</f>
        <v>Presence</v>
      </c>
      <c r="I2603" s="5">
        <f>'Reported burning'!I2609</f>
        <v>2001</v>
      </c>
      <c r="J2603" s="205" t="s">
        <v>2276</v>
      </c>
      <c r="K2603" s="205" t="s">
        <v>2276</v>
      </c>
      <c r="L2603" s="205" t="s">
        <v>2276</v>
      </c>
      <c r="M2603" s="205" t="s">
        <v>2276</v>
      </c>
      <c r="N2603" s="205" t="s">
        <v>2276</v>
      </c>
      <c r="O2603" s="205" t="s">
        <v>2276</v>
      </c>
      <c r="P2603" s="205" t="s">
        <v>2276</v>
      </c>
      <c r="Q2603" s="205" t="s">
        <v>2276</v>
      </c>
      <c r="R2603" s="205" t="s">
        <v>2276</v>
      </c>
      <c r="S2603" s="205" t="s">
        <v>2276</v>
      </c>
      <c r="T2603" s="205" t="s">
        <v>2276</v>
      </c>
      <c r="U2603" s="205" t="s">
        <v>2276</v>
      </c>
      <c r="V2603" s="205" t="s">
        <v>2276</v>
      </c>
      <c r="W2603" s="205" t="s">
        <v>2276</v>
      </c>
      <c r="X2603" s="205" t="s">
        <v>35</v>
      </c>
      <c r="Y2603" s="205" t="s">
        <v>38</v>
      </c>
      <c r="Z2603" s="205" t="s">
        <v>64</v>
      </c>
      <c r="AA2603" s="205" t="s">
        <v>7699</v>
      </c>
      <c r="AB2603" s="205"/>
    </row>
    <row r="2604" spans="1:28" ht="33.5" customHeight="1">
      <c r="A2604" s="156" t="str">
        <f>'Reported burning'!A2610</f>
        <v>305k</v>
      </c>
      <c r="B2604" s="156" t="str">
        <f>'Reported burning'!B2610</f>
        <v>305k.1</v>
      </c>
      <c r="C2604" s="156" t="str">
        <f>'Reported burning'!C2610</f>
        <v>Human, deliberate</v>
      </c>
      <c r="D2604" s="156" t="str">
        <f>'Reported burning'!D2610</f>
        <v>Pyrome management</v>
      </c>
      <c r="E2604" s="156" t="str">
        <f>'Reported burning'!E2610</f>
        <v>Fire suppression agent</v>
      </c>
      <c r="F2604" s="156" t="str">
        <f>'Reported burning'!F2610</f>
        <v>ND</v>
      </c>
      <c r="G2604" s="156" t="str">
        <f>'Reported burning'!G2610</f>
        <v>ND</v>
      </c>
      <c r="H2604" s="156" t="str">
        <f>'Reported burning'!H2610</f>
        <v>Presence</v>
      </c>
      <c r="I2604" s="5">
        <f>'Reported burning'!I2610</f>
        <v>2001</v>
      </c>
      <c r="J2604" s="205" t="s">
        <v>2276</v>
      </c>
      <c r="K2604" s="205" t="s">
        <v>2276</v>
      </c>
      <c r="L2604" s="205" t="s">
        <v>2276</v>
      </c>
      <c r="M2604" s="205" t="s">
        <v>2276</v>
      </c>
      <c r="N2604" s="205" t="s">
        <v>2276</v>
      </c>
      <c r="O2604" s="205" t="s">
        <v>2276</v>
      </c>
      <c r="P2604" s="205" t="s">
        <v>2276</v>
      </c>
      <c r="Q2604" s="205" t="s">
        <v>2276</v>
      </c>
      <c r="R2604" s="205" t="s">
        <v>2276</v>
      </c>
      <c r="S2604" s="205" t="s">
        <v>2276</v>
      </c>
      <c r="T2604" s="205" t="s">
        <v>2276</v>
      </c>
      <c r="U2604" s="205" t="s">
        <v>2276</v>
      </c>
      <c r="V2604" s="205" t="s">
        <v>2276</v>
      </c>
      <c r="W2604" s="205" t="s">
        <v>2276</v>
      </c>
      <c r="X2604" s="205" t="s">
        <v>35</v>
      </c>
      <c r="Y2604" s="205" t="s">
        <v>38</v>
      </c>
      <c r="Z2604" s="205" t="s">
        <v>64</v>
      </c>
      <c r="AA2604" s="205" t="s">
        <v>7699</v>
      </c>
      <c r="AB2604" s="205"/>
    </row>
    <row r="2605" spans="1:28" ht="33.5" customHeight="1">
      <c r="A2605" s="156" t="str">
        <f>'Reported burning'!A2611</f>
        <v>305l</v>
      </c>
      <c r="B2605" s="156" t="str">
        <f>'Reported burning'!B2611</f>
        <v>305l.1</v>
      </c>
      <c r="C2605" s="156" t="str">
        <f>'Reported burning'!C2611</f>
        <v>Human, deliberate</v>
      </c>
      <c r="D2605" s="156" t="str">
        <f>'Reported burning'!D2611</f>
        <v>Pyrome management</v>
      </c>
      <c r="E2605" s="156" t="str">
        <f>'Reported burning'!E2611</f>
        <v>Fire suppression agent</v>
      </c>
      <c r="F2605" s="156" t="str">
        <f>'Reported burning'!F2611</f>
        <v>ND</v>
      </c>
      <c r="G2605" s="156" t="str">
        <f>'Reported burning'!G2611</f>
        <v>ND</v>
      </c>
      <c r="H2605" s="156" t="str">
        <f>'Reported burning'!H2611</f>
        <v>Presence</v>
      </c>
      <c r="I2605" s="5">
        <f>'Reported burning'!I2611</f>
        <v>2001</v>
      </c>
      <c r="J2605" s="205" t="s">
        <v>2276</v>
      </c>
      <c r="K2605" s="205" t="s">
        <v>2276</v>
      </c>
      <c r="L2605" s="205" t="s">
        <v>2276</v>
      </c>
      <c r="M2605" s="205" t="s">
        <v>2276</v>
      </c>
      <c r="N2605" s="205" t="s">
        <v>2276</v>
      </c>
      <c r="O2605" s="205" t="s">
        <v>2276</v>
      </c>
      <c r="P2605" s="205" t="s">
        <v>2276</v>
      </c>
      <c r="Q2605" s="205" t="s">
        <v>2276</v>
      </c>
      <c r="R2605" s="205" t="s">
        <v>2276</v>
      </c>
      <c r="S2605" s="205" t="s">
        <v>2276</v>
      </c>
      <c r="T2605" s="205" t="s">
        <v>2276</v>
      </c>
      <c r="U2605" s="205" t="s">
        <v>2276</v>
      </c>
      <c r="V2605" s="205" t="s">
        <v>2276</v>
      </c>
      <c r="W2605" s="205" t="s">
        <v>2276</v>
      </c>
      <c r="X2605" s="205" t="s">
        <v>35</v>
      </c>
      <c r="Y2605" s="205" t="s">
        <v>38</v>
      </c>
      <c r="Z2605" s="205" t="s">
        <v>64</v>
      </c>
      <c r="AA2605" s="205" t="s">
        <v>7699</v>
      </c>
      <c r="AB2605" s="205"/>
    </row>
    <row r="2606" spans="1:28" ht="33.5" customHeight="1">
      <c r="A2606" s="156" t="str">
        <f>'Reported burning'!A2612</f>
        <v>305m</v>
      </c>
      <c r="B2606" s="156" t="str">
        <f>'Reported burning'!B2612</f>
        <v>305m.1</v>
      </c>
      <c r="C2606" s="156" t="str">
        <f>'Reported burning'!C2612</f>
        <v>Human, deliberate</v>
      </c>
      <c r="D2606" s="156" t="str">
        <f>'Reported burning'!D2612</f>
        <v>Pyrome management</v>
      </c>
      <c r="E2606" s="156" t="str">
        <f>'Reported burning'!E2612</f>
        <v>Fire suppression agent</v>
      </c>
      <c r="F2606" s="156" t="str">
        <f>'Reported burning'!F2612</f>
        <v>ND</v>
      </c>
      <c r="G2606" s="156" t="str">
        <f>'Reported burning'!G2612</f>
        <v>ND</v>
      </c>
      <c r="H2606" s="156" t="str">
        <f>'Reported burning'!H2612</f>
        <v>Presence</v>
      </c>
      <c r="I2606" s="5">
        <f>'Reported burning'!I2612</f>
        <v>2001</v>
      </c>
      <c r="J2606" s="205" t="s">
        <v>2276</v>
      </c>
      <c r="K2606" s="205" t="s">
        <v>2276</v>
      </c>
      <c r="L2606" s="205" t="s">
        <v>2276</v>
      </c>
      <c r="M2606" s="205" t="s">
        <v>2276</v>
      </c>
      <c r="N2606" s="205" t="s">
        <v>2276</v>
      </c>
      <c r="O2606" s="205" t="s">
        <v>2276</v>
      </c>
      <c r="P2606" s="205" t="s">
        <v>2276</v>
      </c>
      <c r="Q2606" s="205" t="s">
        <v>2276</v>
      </c>
      <c r="R2606" s="205" t="s">
        <v>2276</v>
      </c>
      <c r="S2606" s="205" t="s">
        <v>2276</v>
      </c>
      <c r="T2606" s="205" t="s">
        <v>2276</v>
      </c>
      <c r="U2606" s="205" t="s">
        <v>2276</v>
      </c>
      <c r="V2606" s="205" t="s">
        <v>2276</v>
      </c>
      <c r="W2606" s="205" t="s">
        <v>2276</v>
      </c>
      <c r="X2606" s="205" t="s">
        <v>35</v>
      </c>
      <c r="Y2606" s="205" t="s">
        <v>38</v>
      </c>
      <c r="Z2606" s="205" t="s">
        <v>64</v>
      </c>
      <c r="AA2606" s="205" t="s">
        <v>7699</v>
      </c>
      <c r="AB2606" s="205"/>
    </row>
    <row r="2607" spans="1:28" ht="33.5" customHeight="1">
      <c r="A2607" s="156" t="str">
        <f>'Reported burning'!A2613</f>
        <v>305i</v>
      </c>
      <c r="B2607" s="156" t="str">
        <f>'Reported burning'!B2613</f>
        <v>305i.2</v>
      </c>
      <c r="C2607" s="156" t="str">
        <f>'Reported burning'!C2613</f>
        <v>Human, deliberate</v>
      </c>
      <c r="D2607" s="156" t="str">
        <f>'Reported burning'!D2613</f>
        <v>Pyrome management</v>
      </c>
      <c r="E2607" s="156" t="str">
        <f>'Reported burning'!E2613</f>
        <v>Fire suppression agent</v>
      </c>
      <c r="F2607" s="156" t="str">
        <f>'Reported burning'!F2613</f>
        <v>ND</v>
      </c>
      <c r="G2607" s="156" t="str">
        <f>'Reported burning'!G2613</f>
        <v>ND</v>
      </c>
      <c r="H2607" s="156" t="str">
        <f>'Reported burning'!H2613</f>
        <v>Presence</v>
      </c>
      <c r="I2607" s="5">
        <f>'Reported burning'!I2613</f>
        <v>2002</v>
      </c>
      <c r="J2607" s="205" t="s">
        <v>2276</v>
      </c>
      <c r="K2607" s="205" t="s">
        <v>2276</v>
      </c>
      <c r="L2607" s="205" t="s">
        <v>2276</v>
      </c>
      <c r="M2607" s="205" t="s">
        <v>2276</v>
      </c>
      <c r="N2607" s="205" t="s">
        <v>2276</v>
      </c>
      <c r="O2607" s="205" t="s">
        <v>2276</v>
      </c>
      <c r="P2607" s="205" t="s">
        <v>2276</v>
      </c>
      <c r="Q2607" s="205" t="s">
        <v>2276</v>
      </c>
      <c r="R2607" s="205" t="s">
        <v>2276</v>
      </c>
      <c r="S2607" s="205" t="s">
        <v>2276</v>
      </c>
      <c r="T2607" s="205" t="s">
        <v>2276</v>
      </c>
      <c r="U2607" s="205" t="s">
        <v>2276</v>
      </c>
      <c r="V2607" s="205" t="s">
        <v>2276</v>
      </c>
      <c r="W2607" s="205" t="s">
        <v>2276</v>
      </c>
      <c r="X2607" s="205" t="s">
        <v>35</v>
      </c>
      <c r="Y2607" s="205" t="s">
        <v>38</v>
      </c>
      <c r="Z2607" s="205" t="s">
        <v>64</v>
      </c>
      <c r="AA2607" s="205" t="s">
        <v>7699</v>
      </c>
      <c r="AB2607" s="205"/>
    </row>
    <row r="2608" spans="1:28" ht="33.5" customHeight="1">
      <c r="A2608" s="156" t="str">
        <f>'Reported burning'!A2614</f>
        <v>305j</v>
      </c>
      <c r="B2608" s="156" t="str">
        <f>'Reported burning'!B2614</f>
        <v>305j.2</v>
      </c>
      <c r="C2608" s="156" t="str">
        <f>'Reported burning'!C2614</f>
        <v>Human, deliberate</v>
      </c>
      <c r="D2608" s="156" t="str">
        <f>'Reported burning'!D2614</f>
        <v>Pyrome management</v>
      </c>
      <c r="E2608" s="156" t="str">
        <f>'Reported burning'!E2614</f>
        <v>Fire suppression agent</v>
      </c>
      <c r="F2608" s="156" t="str">
        <f>'Reported burning'!F2614</f>
        <v>ND</v>
      </c>
      <c r="G2608" s="156" t="str">
        <f>'Reported burning'!G2614</f>
        <v>ND</v>
      </c>
      <c r="H2608" s="156" t="str">
        <f>'Reported burning'!H2614</f>
        <v>Presence</v>
      </c>
      <c r="I2608" s="5">
        <f>'Reported burning'!I2614</f>
        <v>2002</v>
      </c>
      <c r="J2608" s="205" t="s">
        <v>2276</v>
      </c>
      <c r="K2608" s="205" t="s">
        <v>2276</v>
      </c>
      <c r="L2608" s="205" t="s">
        <v>2276</v>
      </c>
      <c r="M2608" s="205" t="s">
        <v>2276</v>
      </c>
      <c r="N2608" s="205" t="s">
        <v>2276</v>
      </c>
      <c r="O2608" s="205" t="s">
        <v>2276</v>
      </c>
      <c r="P2608" s="205" t="s">
        <v>2276</v>
      </c>
      <c r="Q2608" s="205" t="s">
        <v>2276</v>
      </c>
      <c r="R2608" s="205" t="s">
        <v>2276</v>
      </c>
      <c r="S2608" s="205" t="s">
        <v>2276</v>
      </c>
      <c r="T2608" s="205" t="s">
        <v>2276</v>
      </c>
      <c r="U2608" s="205" t="s">
        <v>2276</v>
      </c>
      <c r="V2608" s="205" t="s">
        <v>2276</v>
      </c>
      <c r="W2608" s="205" t="s">
        <v>2276</v>
      </c>
      <c r="X2608" s="205" t="s">
        <v>35</v>
      </c>
      <c r="Y2608" s="205" t="s">
        <v>38</v>
      </c>
      <c r="Z2608" s="205" t="s">
        <v>64</v>
      </c>
      <c r="AA2608" s="205" t="s">
        <v>7699</v>
      </c>
      <c r="AB2608" s="205"/>
    </row>
    <row r="2609" spans="1:28" ht="33.5" customHeight="1">
      <c r="A2609" s="156" t="str">
        <f>'Reported burning'!A2615</f>
        <v>305k</v>
      </c>
      <c r="B2609" s="156" t="str">
        <f>'Reported burning'!B2615</f>
        <v>305k.2</v>
      </c>
      <c r="C2609" s="156" t="str">
        <f>'Reported burning'!C2615</f>
        <v>Human, deliberate</v>
      </c>
      <c r="D2609" s="156" t="str">
        <f>'Reported burning'!D2615</f>
        <v>Pyrome management</v>
      </c>
      <c r="E2609" s="156" t="str">
        <f>'Reported burning'!E2615</f>
        <v>Fire suppression agent</v>
      </c>
      <c r="F2609" s="156" t="str">
        <f>'Reported burning'!F2615</f>
        <v>ND</v>
      </c>
      <c r="G2609" s="156" t="str">
        <f>'Reported burning'!G2615</f>
        <v>ND</v>
      </c>
      <c r="H2609" s="156" t="str">
        <f>'Reported burning'!H2615</f>
        <v>Presence</v>
      </c>
      <c r="I2609" s="5">
        <f>'Reported burning'!I2615</f>
        <v>2002</v>
      </c>
      <c r="J2609" s="205" t="s">
        <v>2276</v>
      </c>
      <c r="K2609" s="205" t="s">
        <v>2276</v>
      </c>
      <c r="L2609" s="205" t="s">
        <v>2276</v>
      </c>
      <c r="M2609" s="205" t="s">
        <v>2276</v>
      </c>
      <c r="N2609" s="205" t="s">
        <v>2276</v>
      </c>
      <c r="O2609" s="205" t="s">
        <v>2276</v>
      </c>
      <c r="P2609" s="205" t="s">
        <v>2276</v>
      </c>
      <c r="Q2609" s="205" t="s">
        <v>2276</v>
      </c>
      <c r="R2609" s="205" t="s">
        <v>2276</v>
      </c>
      <c r="S2609" s="205" t="s">
        <v>2276</v>
      </c>
      <c r="T2609" s="205" t="s">
        <v>2276</v>
      </c>
      <c r="U2609" s="205" t="s">
        <v>2276</v>
      </c>
      <c r="V2609" s="205" t="s">
        <v>2276</v>
      </c>
      <c r="W2609" s="205" t="s">
        <v>2276</v>
      </c>
      <c r="X2609" s="205" t="s">
        <v>35</v>
      </c>
      <c r="Y2609" s="205" t="s">
        <v>38</v>
      </c>
      <c r="Z2609" s="205" t="s">
        <v>64</v>
      </c>
      <c r="AA2609" s="205" t="s">
        <v>7699</v>
      </c>
      <c r="AB2609" s="205"/>
    </row>
    <row r="2610" spans="1:28" ht="33.5" customHeight="1">
      <c r="A2610" s="156" t="str">
        <f>'Reported burning'!A2616</f>
        <v>305l</v>
      </c>
      <c r="B2610" s="156" t="str">
        <f>'Reported burning'!B2616</f>
        <v>305l.2</v>
      </c>
      <c r="C2610" s="156" t="str">
        <f>'Reported burning'!C2616</f>
        <v>Human, deliberate</v>
      </c>
      <c r="D2610" s="156" t="str">
        <f>'Reported burning'!D2616</f>
        <v>Pyrome management</v>
      </c>
      <c r="E2610" s="156" t="str">
        <f>'Reported burning'!E2616</f>
        <v>Fire suppression agent</v>
      </c>
      <c r="F2610" s="156" t="str">
        <f>'Reported burning'!F2616</f>
        <v>ND</v>
      </c>
      <c r="G2610" s="156" t="str">
        <f>'Reported burning'!G2616</f>
        <v>ND</v>
      </c>
      <c r="H2610" s="156" t="str">
        <f>'Reported burning'!H2616</f>
        <v>Presence</v>
      </c>
      <c r="I2610" s="5">
        <f>'Reported burning'!I2616</f>
        <v>2002</v>
      </c>
      <c r="J2610" s="205" t="s">
        <v>2276</v>
      </c>
      <c r="K2610" s="205" t="s">
        <v>2276</v>
      </c>
      <c r="L2610" s="205" t="s">
        <v>2276</v>
      </c>
      <c r="M2610" s="205" t="s">
        <v>2276</v>
      </c>
      <c r="N2610" s="205" t="s">
        <v>2276</v>
      </c>
      <c r="O2610" s="205" t="s">
        <v>2276</v>
      </c>
      <c r="P2610" s="205" t="s">
        <v>2276</v>
      </c>
      <c r="Q2610" s="205" t="s">
        <v>2276</v>
      </c>
      <c r="R2610" s="205" t="s">
        <v>2276</v>
      </c>
      <c r="S2610" s="205" t="s">
        <v>2276</v>
      </c>
      <c r="T2610" s="205" t="s">
        <v>2276</v>
      </c>
      <c r="U2610" s="205" t="s">
        <v>2276</v>
      </c>
      <c r="V2610" s="205" t="s">
        <v>2276</v>
      </c>
      <c r="W2610" s="205" t="s">
        <v>2276</v>
      </c>
      <c r="X2610" s="205" t="s">
        <v>35</v>
      </c>
      <c r="Y2610" s="205" t="s">
        <v>38</v>
      </c>
      <c r="Z2610" s="205" t="s">
        <v>64</v>
      </c>
      <c r="AA2610" s="205" t="s">
        <v>7699</v>
      </c>
      <c r="AB2610" s="205"/>
    </row>
    <row r="2611" spans="1:28" ht="33.5" customHeight="1">
      <c r="A2611" s="156" t="str">
        <f>'Reported burning'!A2617</f>
        <v>305m</v>
      </c>
      <c r="B2611" s="156" t="str">
        <f>'Reported burning'!B2617</f>
        <v>305m.2</v>
      </c>
      <c r="C2611" s="156" t="str">
        <f>'Reported burning'!C2617</f>
        <v>Human, deliberate</v>
      </c>
      <c r="D2611" s="156" t="str">
        <f>'Reported burning'!D2617</f>
        <v>Pyrome management</v>
      </c>
      <c r="E2611" s="156" t="str">
        <f>'Reported burning'!E2617</f>
        <v>Fire suppression agent</v>
      </c>
      <c r="F2611" s="156" t="str">
        <f>'Reported burning'!F2617</f>
        <v>ND</v>
      </c>
      <c r="G2611" s="156" t="str">
        <f>'Reported burning'!G2617</f>
        <v>ND</v>
      </c>
      <c r="H2611" s="156" t="str">
        <f>'Reported burning'!H2617</f>
        <v>Presence</v>
      </c>
      <c r="I2611" s="5">
        <f>'Reported burning'!I2617</f>
        <v>2002</v>
      </c>
      <c r="J2611" s="205" t="s">
        <v>2276</v>
      </c>
      <c r="K2611" s="205" t="s">
        <v>2276</v>
      </c>
      <c r="L2611" s="205" t="s">
        <v>2276</v>
      </c>
      <c r="M2611" s="205" t="s">
        <v>2276</v>
      </c>
      <c r="N2611" s="205" t="s">
        <v>2276</v>
      </c>
      <c r="O2611" s="205" t="s">
        <v>2276</v>
      </c>
      <c r="P2611" s="205" t="s">
        <v>2276</v>
      </c>
      <c r="Q2611" s="205" t="s">
        <v>2276</v>
      </c>
      <c r="R2611" s="205" t="s">
        <v>2276</v>
      </c>
      <c r="S2611" s="205" t="s">
        <v>2276</v>
      </c>
      <c r="T2611" s="205" t="s">
        <v>2276</v>
      </c>
      <c r="U2611" s="205" t="s">
        <v>2276</v>
      </c>
      <c r="V2611" s="205" t="s">
        <v>2276</v>
      </c>
      <c r="W2611" s="205" t="s">
        <v>2276</v>
      </c>
      <c r="X2611" s="205" t="s">
        <v>35</v>
      </c>
      <c r="Y2611" s="205" t="s">
        <v>38</v>
      </c>
      <c r="Z2611" s="205" t="s">
        <v>64</v>
      </c>
      <c r="AA2611" s="205" t="s">
        <v>7699</v>
      </c>
      <c r="AB2611" s="205"/>
    </row>
    <row r="2612" spans="1:28" ht="33.5" customHeight="1">
      <c r="A2612" s="156" t="str">
        <f>'Reported burning'!A2618</f>
        <v>305i</v>
      </c>
      <c r="B2612" s="156" t="str">
        <f>'Reported burning'!B2618</f>
        <v>305i.3</v>
      </c>
      <c r="C2612" s="156" t="str">
        <f>'Reported burning'!C2618</f>
        <v>Human, deliberate</v>
      </c>
      <c r="D2612" s="156" t="str">
        <f>'Reported burning'!D2618</f>
        <v>Pyrome management</v>
      </c>
      <c r="E2612" s="156" t="str">
        <f>'Reported burning'!E2618</f>
        <v>Fire suppression agent</v>
      </c>
      <c r="F2612" s="156" t="str">
        <f>'Reported burning'!F2618</f>
        <v>ND</v>
      </c>
      <c r="G2612" s="156" t="str">
        <f>'Reported burning'!G2618</f>
        <v>ND</v>
      </c>
      <c r="H2612" s="156" t="str">
        <f>'Reported burning'!H2618</f>
        <v>Presence</v>
      </c>
      <c r="I2612" s="5">
        <f>'Reported burning'!I2618</f>
        <v>2003</v>
      </c>
      <c r="J2612" s="205" t="s">
        <v>2276</v>
      </c>
      <c r="K2612" s="205" t="s">
        <v>2276</v>
      </c>
      <c r="L2612" s="205" t="s">
        <v>2276</v>
      </c>
      <c r="M2612" s="205" t="s">
        <v>2276</v>
      </c>
      <c r="N2612" s="205" t="s">
        <v>2276</v>
      </c>
      <c r="O2612" s="205" t="s">
        <v>2276</v>
      </c>
      <c r="P2612" s="205" t="s">
        <v>2276</v>
      </c>
      <c r="Q2612" s="205" t="s">
        <v>2276</v>
      </c>
      <c r="R2612" s="205" t="s">
        <v>2276</v>
      </c>
      <c r="S2612" s="205" t="s">
        <v>2276</v>
      </c>
      <c r="T2612" s="205" t="s">
        <v>2276</v>
      </c>
      <c r="U2612" s="205" t="s">
        <v>2276</v>
      </c>
      <c r="V2612" s="205" t="s">
        <v>2276</v>
      </c>
      <c r="W2612" s="205" t="s">
        <v>2276</v>
      </c>
      <c r="X2612" s="205" t="s">
        <v>35</v>
      </c>
      <c r="Y2612" s="205" t="s">
        <v>38</v>
      </c>
      <c r="Z2612" s="205" t="s">
        <v>64</v>
      </c>
      <c r="AA2612" s="205" t="s">
        <v>7699</v>
      </c>
      <c r="AB2612" s="205"/>
    </row>
    <row r="2613" spans="1:28" ht="33.5" customHeight="1">
      <c r="A2613" s="156" t="str">
        <f>'Reported burning'!A2619</f>
        <v>305j</v>
      </c>
      <c r="B2613" s="156" t="str">
        <f>'Reported burning'!B2619</f>
        <v>305j.3</v>
      </c>
      <c r="C2613" s="156" t="str">
        <f>'Reported burning'!C2619</f>
        <v>Human, deliberate</v>
      </c>
      <c r="D2613" s="156" t="str">
        <f>'Reported burning'!D2619</f>
        <v>Pyrome management</v>
      </c>
      <c r="E2613" s="156" t="str">
        <f>'Reported burning'!E2619</f>
        <v>Fire suppression agent</v>
      </c>
      <c r="F2613" s="156" t="str">
        <f>'Reported burning'!F2619</f>
        <v>ND</v>
      </c>
      <c r="G2613" s="156" t="str">
        <f>'Reported burning'!G2619</f>
        <v>ND</v>
      </c>
      <c r="H2613" s="156" t="str">
        <f>'Reported burning'!H2619</f>
        <v>Presence</v>
      </c>
      <c r="I2613" s="5">
        <f>'Reported burning'!I2619</f>
        <v>2003</v>
      </c>
      <c r="J2613" s="205" t="s">
        <v>2276</v>
      </c>
      <c r="K2613" s="205" t="s">
        <v>2276</v>
      </c>
      <c r="L2613" s="205" t="s">
        <v>2276</v>
      </c>
      <c r="M2613" s="205" t="s">
        <v>2276</v>
      </c>
      <c r="N2613" s="205" t="s">
        <v>2276</v>
      </c>
      <c r="O2613" s="205" t="s">
        <v>2276</v>
      </c>
      <c r="P2613" s="205" t="s">
        <v>2276</v>
      </c>
      <c r="Q2613" s="205" t="s">
        <v>2276</v>
      </c>
      <c r="R2613" s="205" t="s">
        <v>2276</v>
      </c>
      <c r="S2613" s="205" t="s">
        <v>2276</v>
      </c>
      <c r="T2613" s="205" t="s">
        <v>2276</v>
      </c>
      <c r="U2613" s="205" t="s">
        <v>2276</v>
      </c>
      <c r="V2613" s="205" t="s">
        <v>2276</v>
      </c>
      <c r="W2613" s="205" t="s">
        <v>2276</v>
      </c>
      <c r="X2613" s="205" t="s">
        <v>35</v>
      </c>
      <c r="Y2613" s="205" t="s">
        <v>38</v>
      </c>
      <c r="Z2613" s="205" t="s">
        <v>64</v>
      </c>
      <c r="AA2613" s="205" t="s">
        <v>7699</v>
      </c>
      <c r="AB2613" s="205"/>
    </row>
    <row r="2614" spans="1:28" ht="33.5" customHeight="1">
      <c r="A2614" s="156" t="str">
        <f>'Reported burning'!A2620</f>
        <v>305k</v>
      </c>
      <c r="B2614" s="156" t="str">
        <f>'Reported burning'!B2620</f>
        <v>305k.3</v>
      </c>
      <c r="C2614" s="156" t="str">
        <f>'Reported burning'!C2620</f>
        <v>Human, deliberate</v>
      </c>
      <c r="D2614" s="156" t="str">
        <f>'Reported burning'!D2620</f>
        <v>Pyrome management</v>
      </c>
      <c r="E2614" s="156" t="str">
        <f>'Reported burning'!E2620</f>
        <v>Fire suppression agent</v>
      </c>
      <c r="F2614" s="156" t="str">
        <f>'Reported burning'!F2620</f>
        <v>ND</v>
      </c>
      <c r="G2614" s="156" t="str">
        <f>'Reported burning'!G2620</f>
        <v>ND</v>
      </c>
      <c r="H2614" s="156" t="str">
        <f>'Reported burning'!H2620</f>
        <v>Presence</v>
      </c>
      <c r="I2614" s="5">
        <f>'Reported burning'!I2620</f>
        <v>2003</v>
      </c>
      <c r="J2614" s="205" t="s">
        <v>2276</v>
      </c>
      <c r="K2614" s="205" t="s">
        <v>2276</v>
      </c>
      <c r="L2614" s="205" t="s">
        <v>2276</v>
      </c>
      <c r="M2614" s="205" t="s">
        <v>2276</v>
      </c>
      <c r="N2614" s="205" t="s">
        <v>2276</v>
      </c>
      <c r="O2614" s="205" t="s">
        <v>2276</v>
      </c>
      <c r="P2614" s="205" t="s">
        <v>2276</v>
      </c>
      <c r="Q2614" s="205" t="s">
        <v>2276</v>
      </c>
      <c r="R2614" s="205" t="s">
        <v>2276</v>
      </c>
      <c r="S2614" s="205" t="s">
        <v>2276</v>
      </c>
      <c r="T2614" s="205" t="s">
        <v>2276</v>
      </c>
      <c r="U2614" s="205" t="s">
        <v>2276</v>
      </c>
      <c r="V2614" s="205" t="s">
        <v>2276</v>
      </c>
      <c r="W2614" s="205" t="s">
        <v>2276</v>
      </c>
      <c r="X2614" s="205" t="s">
        <v>35</v>
      </c>
      <c r="Y2614" s="205" t="s">
        <v>38</v>
      </c>
      <c r="Z2614" s="205" t="s">
        <v>64</v>
      </c>
      <c r="AA2614" s="205" t="s">
        <v>7699</v>
      </c>
      <c r="AB2614" s="205"/>
    </row>
    <row r="2615" spans="1:28" ht="33.5" customHeight="1">
      <c r="A2615" s="156" t="str">
        <f>'Reported burning'!A2621</f>
        <v>305l</v>
      </c>
      <c r="B2615" s="156" t="str">
        <f>'Reported burning'!B2621</f>
        <v>305l.3</v>
      </c>
      <c r="C2615" s="156" t="str">
        <f>'Reported burning'!C2621</f>
        <v>Human, deliberate</v>
      </c>
      <c r="D2615" s="156" t="str">
        <f>'Reported burning'!D2621</f>
        <v>Pyrome management</v>
      </c>
      <c r="E2615" s="156" t="str">
        <f>'Reported burning'!E2621</f>
        <v>Fire suppression agent</v>
      </c>
      <c r="F2615" s="156" t="str">
        <f>'Reported burning'!F2621</f>
        <v>ND</v>
      </c>
      <c r="G2615" s="156" t="str">
        <f>'Reported burning'!G2621</f>
        <v>ND</v>
      </c>
      <c r="H2615" s="156" t="str">
        <f>'Reported burning'!H2621</f>
        <v>Presence</v>
      </c>
      <c r="I2615" s="5">
        <f>'Reported burning'!I2621</f>
        <v>2003</v>
      </c>
      <c r="J2615" s="205" t="s">
        <v>2276</v>
      </c>
      <c r="K2615" s="205" t="s">
        <v>2276</v>
      </c>
      <c r="L2615" s="205" t="s">
        <v>2276</v>
      </c>
      <c r="M2615" s="205" t="s">
        <v>2276</v>
      </c>
      <c r="N2615" s="205" t="s">
        <v>2276</v>
      </c>
      <c r="O2615" s="205" t="s">
        <v>2276</v>
      </c>
      <c r="P2615" s="205" t="s">
        <v>2276</v>
      </c>
      <c r="Q2615" s="205" t="s">
        <v>2276</v>
      </c>
      <c r="R2615" s="205" t="s">
        <v>2276</v>
      </c>
      <c r="S2615" s="205" t="s">
        <v>2276</v>
      </c>
      <c r="T2615" s="205" t="s">
        <v>2276</v>
      </c>
      <c r="U2615" s="205" t="s">
        <v>2276</v>
      </c>
      <c r="V2615" s="205" t="s">
        <v>2276</v>
      </c>
      <c r="W2615" s="205" t="s">
        <v>2276</v>
      </c>
      <c r="X2615" s="205" t="s">
        <v>35</v>
      </c>
      <c r="Y2615" s="205" t="s">
        <v>38</v>
      </c>
      <c r="Z2615" s="205" t="s">
        <v>64</v>
      </c>
      <c r="AA2615" s="205" t="s">
        <v>7699</v>
      </c>
      <c r="AB2615" s="205"/>
    </row>
    <row r="2616" spans="1:28" ht="33.5" customHeight="1">
      <c r="A2616" s="156" t="str">
        <f>'Reported burning'!A2622</f>
        <v>305m</v>
      </c>
      <c r="B2616" s="156" t="str">
        <f>'Reported burning'!B2622</f>
        <v>305m.3</v>
      </c>
      <c r="C2616" s="156" t="str">
        <f>'Reported burning'!C2622</f>
        <v>Human, deliberate</v>
      </c>
      <c r="D2616" s="156" t="str">
        <f>'Reported burning'!D2622</f>
        <v>Pyrome management</v>
      </c>
      <c r="E2616" s="156" t="str">
        <f>'Reported burning'!E2622</f>
        <v>Fire suppression agent</v>
      </c>
      <c r="F2616" s="156" t="str">
        <f>'Reported burning'!F2622</f>
        <v>ND</v>
      </c>
      <c r="G2616" s="156" t="str">
        <f>'Reported burning'!G2622</f>
        <v>ND</v>
      </c>
      <c r="H2616" s="156" t="str">
        <f>'Reported burning'!H2622</f>
        <v>Presence</v>
      </c>
      <c r="I2616" s="5">
        <f>'Reported burning'!I2622</f>
        <v>2003</v>
      </c>
      <c r="J2616" s="205" t="s">
        <v>2276</v>
      </c>
      <c r="K2616" s="205" t="s">
        <v>2276</v>
      </c>
      <c r="L2616" s="205" t="s">
        <v>2276</v>
      </c>
      <c r="M2616" s="205" t="s">
        <v>2276</v>
      </c>
      <c r="N2616" s="205" t="s">
        <v>2276</v>
      </c>
      <c r="O2616" s="205" t="s">
        <v>2276</v>
      </c>
      <c r="P2616" s="205" t="s">
        <v>2276</v>
      </c>
      <c r="Q2616" s="205" t="s">
        <v>2276</v>
      </c>
      <c r="R2616" s="205" t="s">
        <v>2276</v>
      </c>
      <c r="S2616" s="205" t="s">
        <v>2276</v>
      </c>
      <c r="T2616" s="205" t="s">
        <v>2276</v>
      </c>
      <c r="U2616" s="205" t="s">
        <v>2276</v>
      </c>
      <c r="V2616" s="205" t="s">
        <v>2276</v>
      </c>
      <c r="W2616" s="205" t="s">
        <v>2276</v>
      </c>
      <c r="X2616" s="205" t="s">
        <v>35</v>
      </c>
      <c r="Y2616" s="205" t="s">
        <v>38</v>
      </c>
      <c r="Z2616" s="205" t="s">
        <v>64</v>
      </c>
      <c r="AA2616" s="205" t="s">
        <v>7699</v>
      </c>
      <c r="AB2616" s="205"/>
    </row>
    <row r="2617" spans="1:28" ht="33.5" customHeight="1">
      <c r="A2617" s="156" t="str">
        <f>'Reported burning'!A2623</f>
        <v>305i</v>
      </c>
      <c r="B2617" s="156" t="str">
        <f>'Reported burning'!B2623</f>
        <v>305i.4</v>
      </c>
      <c r="C2617" s="156" t="str">
        <f>'Reported burning'!C2623</f>
        <v>Human, deliberate</v>
      </c>
      <c r="D2617" s="156" t="str">
        <f>'Reported burning'!D2623</f>
        <v>Pyrome management</v>
      </c>
      <c r="E2617" s="156" t="str">
        <f>'Reported burning'!E2623</f>
        <v>Fire suppression agent</v>
      </c>
      <c r="F2617" s="156" t="str">
        <f>'Reported burning'!F2623</f>
        <v>ND</v>
      </c>
      <c r="G2617" s="156" t="str">
        <f>'Reported burning'!G2623</f>
        <v>ND</v>
      </c>
      <c r="H2617" s="156" t="str">
        <f>'Reported burning'!H2623</f>
        <v>Presence</v>
      </c>
      <c r="I2617" s="5">
        <f>'Reported burning'!I2623</f>
        <v>2004</v>
      </c>
      <c r="J2617" s="205" t="s">
        <v>2276</v>
      </c>
      <c r="K2617" s="205" t="s">
        <v>2276</v>
      </c>
      <c r="L2617" s="205" t="s">
        <v>2276</v>
      </c>
      <c r="M2617" s="205" t="s">
        <v>2276</v>
      </c>
      <c r="N2617" s="205" t="s">
        <v>2276</v>
      </c>
      <c r="O2617" s="205" t="s">
        <v>2276</v>
      </c>
      <c r="P2617" s="205" t="s">
        <v>2276</v>
      </c>
      <c r="Q2617" s="205" t="s">
        <v>2276</v>
      </c>
      <c r="R2617" s="205" t="s">
        <v>2276</v>
      </c>
      <c r="S2617" s="205" t="s">
        <v>2276</v>
      </c>
      <c r="T2617" s="205" t="s">
        <v>2276</v>
      </c>
      <c r="U2617" s="205" t="s">
        <v>2276</v>
      </c>
      <c r="V2617" s="205" t="s">
        <v>2276</v>
      </c>
      <c r="W2617" s="205" t="s">
        <v>2276</v>
      </c>
      <c r="X2617" s="205" t="s">
        <v>35</v>
      </c>
      <c r="Y2617" s="205" t="s">
        <v>38</v>
      </c>
      <c r="Z2617" s="205" t="s">
        <v>64</v>
      </c>
      <c r="AA2617" s="205" t="s">
        <v>7699</v>
      </c>
      <c r="AB2617" s="205"/>
    </row>
    <row r="2618" spans="1:28" ht="33.5" customHeight="1">
      <c r="A2618" s="156" t="str">
        <f>'Reported burning'!A2624</f>
        <v>305j</v>
      </c>
      <c r="B2618" s="156" t="str">
        <f>'Reported burning'!B2624</f>
        <v>305j.4</v>
      </c>
      <c r="C2618" s="156" t="str">
        <f>'Reported burning'!C2624</f>
        <v>Human, deliberate</v>
      </c>
      <c r="D2618" s="156" t="str">
        <f>'Reported burning'!D2624</f>
        <v>Pyrome management</v>
      </c>
      <c r="E2618" s="156" t="str">
        <f>'Reported burning'!E2624</f>
        <v>Fire suppression agent</v>
      </c>
      <c r="F2618" s="156" t="str">
        <f>'Reported burning'!F2624</f>
        <v>ND</v>
      </c>
      <c r="G2618" s="156" t="str">
        <f>'Reported burning'!G2624</f>
        <v>ND</v>
      </c>
      <c r="H2618" s="156" t="str">
        <f>'Reported burning'!H2624</f>
        <v>Presence</v>
      </c>
      <c r="I2618" s="5">
        <f>'Reported burning'!I2624</f>
        <v>2004</v>
      </c>
      <c r="J2618" s="205" t="s">
        <v>2276</v>
      </c>
      <c r="K2618" s="205" t="s">
        <v>2276</v>
      </c>
      <c r="L2618" s="205" t="s">
        <v>2276</v>
      </c>
      <c r="M2618" s="205" t="s">
        <v>2276</v>
      </c>
      <c r="N2618" s="205" t="s">
        <v>2276</v>
      </c>
      <c r="O2618" s="205" t="s">
        <v>2276</v>
      </c>
      <c r="P2618" s="205" t="s">
        <v>2276</v>
      </c>
      <c r="Q2618" s="205" t="s">
        <v>2276</v>
      </c>
      <c r="R2618" s="205" t="s">
        <v>2276</v>
      </c>
      <c r="S2618" s="205" t="s">
        <v>2276</v>
      </c>
      <c r="T2618" s="205" t="s">
        <v>2276</v>
      </c>
      <c r="U2618" s="205" t="s">
        <v>2276</v>
      </c>
      <c r="V2618" s="205" t="s">
        <v>2276</v>
      </c>
      <c r="W2618" s="205" t="s">
        <v>2276</v>
      </c>
      <c r="X2618" s="205" t="s">
        <v>35</v>
      </c>
      <c r="Y2618" s="205" t="s">
        <v>38</v>
      </c>
      <c r="Z2618" s="205" t="s">
        <v>64</v>
      </c>
      <c r="AA2618" s="205" t="s">
        <v>7699</v>
      </c>
      <c r="AB2618" s="205"/>
    </row>
    <row r="2619" spans="1:28" ht="33.5" customHeight="1">
      <c r="A2619" s="156" t="str">
        <f>'Reported burning'!A2625</f>
        <v>305k</v>
      </c>
      <c r="B2619" s="156" t="str">
        <f>'Reported burning'!B2625</f>
        <v>305k.4</v>
      </c>
      <c r="C2619" s="156" t="str">
        <f>'Reported burning'!C2625</f>
        <v>Human, deliberate</v>
      </c>
      <c r="D2619" s="156" t="str">
        <f>'Reported burning'!D2625</f>
        <v>Pyrome management</v>
      </c>
      <c r="E2619" s="156" t="str">
        <f>'Reported burning'!E2625</f>
        <v>Fire suppression agent</v>
      </c>
      <c r="F2619" s="156" t="str">
        <f>'Reported burning'!F2625</f>
        <v>ND</v>
      </c>
      <c r="G2619" s="156" t="str">
        <f>'Reported burning'!G2625</f>
        <v>ND</v>
      </c>
      <c r="H2619" s="156" t="str">
        <f>'Reported burning'!H2625</f>
        <v>Presence</v>
      </c>
      <c r="I2619" s="5">
        <f>'Reported burning'!I2625</f>
        <v>2004</v>
      </c>
      <c r="J2619" s="205" t="s">
        <v>2276</v>
      </c>
      <c r="K2619" s="205" t="s">
        <v>2276</v>
      </c>
      <c r="L2619" s="205" t="s">
        <v>2276</v>
      </c>
      <c r="M2619" s="205" t="s">
        <v>2276</v>
      </c>
      <c r="N2619" s="205" t="s">
        <v>2276</v>
      </c>
      <c r="O2619" s="205" t="s">
        <v>2276</v>
      </c>
      <c r="P2619" s="205" t="s">
        <v>2276</v>
      </c>
      <c r="Q2619" s="205" t="s">
        <v>2276</v>
      </c>
      <c r="R2619" s="205" t="s">
        <v>2276</v>
      </c>
      <c r="S2619" s="205" t="s">
        <v>2276</v>
      </c>
      <c r="T2619" s="205" t="s">
        <v>2276</v>
      </c>
      <c r="U2619" s="205" t="s">
        <v>2276</v>
      </c>
      <c r="V2619" s="205" t="s">
        <v>2276</v>
      </c>
      <c r="W2619" s="205" t="s">
        <v>2276</v>
      </c>
      <c r="X2619" s="205" t="s">
        <v>35</v>
      </c>
      <c r="Y2619" s="205" t="s">
        <v>38</v>
      </c>
      <c r="Z2619" s="205" t="s">
        <v>64</v>
      </c>
      <c r="AA2619" s="205" t="s">
        <v>7699</v>
      </c>
      <c r="AB2619" s="205"/>
    </row>
    <row r="2620" spans="1:28" ht="33.5" customHeight="1">
      <c r="A2620" s="156" t="str">
        <f>'Reported burning'!A2626</f>
        <v>305l</v>
      </c>
      <c r="B2620" s="156" t="str">
        <f>'Reported burning'!B2626</f>
        <v>305l.4</v>
      </c>
      <c r="C2620" s="156" t="str">
        <f>'Reported burning'!C2626</f>
        <v>Human, deliberate</v>
      </c>
      <c r="D2620" s="156" t="str">
        <f>'Reported burning'!D2626</f>
        <v>Pyrome management</v>
      </c>
      <c r="E2620" s="156" t="str">
        <f>'Reported burning'!E2626</f>
        <v>Fire suppression agent</v>
      </c>
      <c r="F2620" s="156" t="str">
        <f>'Reported burning'!F2626</f>
        <v>ND</v>
      </c>
      <c r="G2620" s="156" t="str">
        <f>'Reported burning'!G2626</f>
        <v>ND</v>
      </c>
      <c r="H2620" s="156" t="str">
        <f>'Reported burning'!H2626</f>
        <v>Presence</v>
      </c>
      <c r="I2620" s="5">
        <f>'Reported burning'!I2626</f>
        <v>2004</v>
      </c>
      <c r="J2620" s="205" t="s">
        <v>2276</v>
      </c>
      <c r="K2620" s="205" t="s">
        <v>2276</v>
      </c>
      <c r="L2620" s="205" t="s">
        <v>2276</v>
      </c>
      <c r="M2620" s="205" t="s">
        <v>2276</v>
      </c>
      <c r="N2620" s="205" t="s">
        <v>2276</v>
      </c>
      <c r="O2620" s="205" t="s">
        <v>2276</v>
      </c>
      <c r="P2620" s="205" t="s">
        <v>2276</v>
      </c>
      <c r="Q2620" s="205" t="s">
        <v>2276</v>
      </c>
      <c r="R2620" s="205" t="s">
        <v>2276</v>
      </c>
      <c r="S2620" s="205" t="s">
        <v>2276</v>
      </c>
      <c r="T2620" s="205" t="s">
        <v>2276</v>
      </c>
      <c r="U2620" s="205" t="s">
        <v>2276</v>
      </c>
      <c r="V2620" s="205" t="s">
        <v>2276</v>
      </c>
      <c r="W2620" s="205" t="s">
        <v>2276</v>
      </c>
      <c r="X2620" s="205" t="s">
        <v>35</v>
      </c>
      <c r="Y2620" s="205" t="s">
        <v>38</v>
      </c>
      <c r="Z2620" s="205" t="s">
        <v>64</v>
      </c>
      <c r="AA2620" s="205" t="s">
        <v>7699</v>
      </c>
      <c r="AB2620" s="205"/>
    </row>
    <row r="2621" spans="1:28" ht="33.5" customHeight="1">
      <c r="A2621" s="156" t="str">
        <f>'Reported burning'!A2627</f>
        <v>305m</v>
      </c>
      <c r="B2621" s="156" t="str">
        <f>'Reported burning'!B2627</f>
        <v>305m.4</v>
      </c>
      <c r="C2621" s="156" t="str">
        <f>'Reported burning'!C2627</f>
        <v>Human, deliberate</v>
      </c>
      <c r="D2621" s="156" t="str">
        <f>'Reported burning'!D2627</f>
        <v>Pyrome management</v>
      </c>
      <c r="E2621" s="156" t="str">
        <f>'Reported burning'!E2627</f>
        <v>Fire suppression agent</v>
      </c>
      <c r="F2621" s="156" t="str">
        <f>'Reported burning'!F2627</f>
        <v>ND</v>
      </c>
      <c r="G2621" s="156" t="str">
        <f>'Reported burning'!G2627</f>
        <v>ND</v>
      </c>
      <c r="H2621" s="156" t="str">
        <f>'Reported burning'!H2627</f>
        <v>Presence</v>
      </c>
      <c r="I2621" s="5">
        <f>'Reported burning'!I2627</f>
        <v>2004</v>
      </c>
      <c r="J2621" s="205" t="s">
        <v>2276</v>
      </c>
      <c r="K2621" s="205" t="s">
        <v>2276</v>
      </c>
      <c r="L2621" s="205" t="s">
        <v>2276</v>
      </c>
      <c r="M2621" s="205" t="s">
        <v>2276</v>
      </c>
      <c r="N2621" s="205" t="s">
        <v>2276</v>
      </c>
      <c r="O2621" s="205" t="s">
        <v>2276</v>
      </c>
      <c r="P2621" s="205" t="s">
        <v>2276</v>
      </c>
      <c r="Q2621" s="205" t="s">
        <v>2276</v>
      </c>
      <c r="R2621" s="205" t="s">
        <v>2276</v>
      </c>
      <c r="S2621" s="205" t="s">
        <v>2276</v>
      </c>
      <c r="T2621" s="205" t="s">
        <v>2276</v>
      </c>
      <c r="U2621" s="205" t="s">
        <v>2276</v>
      </c>
      <c r="V2621" s="205" t="s">
        <v>2276</v>
      </c>
      <c r="W2621" s="205" t="s">
        <v>2276</v>
      </c>
      <c r="X2621" s="205" t="s">
        <v>35</v>
      </c>
      <c r="Y2621" s="205" t="s">
        <v>38</v>
      </c>
      <c r="Z2621" s="205" t="s">
        <v>64</v>
      </c>
      <c r="AA2621" s="205" t="s">
        <v>7699</v>
      </c>
      <c r="AB2621" s="205"/>
    </row>
    <row r="2622" spans="1:28" ht="33.5" customHeight="1">
      <c r="A2622" s="156" t="str">
        <f>'Reported burning'!A2628</f>
        <v>305i</v>
      </c>
      <c r="B2622" s="156" t="str">
        <f>'Reported burning'!B2628</f>
        <v>305i.5</v>
      </c>
      <c r="C2622" s="156" t="str">
        <f>'Reported burning'!C2628</f>
        <v>Human, deliberate</v>
      </c>
      <c r="D2622" s="156" t="str">
        <f>'Reported burning'!D2628</f>
        <v>Pyrome management</v>
      </c>
      <c r="E2622" s="156" t="str">
        <f>'Reported burning'!E2628</f>
        <v>Fire suppression agent</v>
      </c>
      <c r="F2622" s="156" t="str">
        <f>'Reported burning'!F2628</f>
        <v>ND</v>
      </c>
      <c r="G2622" s="156" t="str">
        <f>'Reported burning'!G2628</f>
        <v>ND</v>
      </c>
      <c r="H2622" s="156" t="str">
        <f>'Reported burning'!H2628</f>
        <v>Presence</v>
      </c>
      <c r="I2622" s="5">
        <f>'Reported burning'!I2628</f>
        <v>2005</v>
      </c>
      <c r="J2622" s="205" t="s">
        <v>2276</v>
      </c>
      <c r="K2622" s="205" t="s">
        <v>2276</v>
      </c>
      <c r="L2622" s="205" t="s">
        <v>2276</v>
      </c>
      <c r="M2622" s="205" t="s">
        <v>2276</v>
      </c>
      <c r="N2622" s="205" t="s">
        <v>2276</v>
      </c>
      <c r="O2622" s="205" t="s">
        <v>2276</v>
      </c>
      <c r="P2622" s="205" t="s">
        <v>2276</v>
      </c>
      <c r="Q2622" s="205" t="s">
        <v>2276</v>
      </c>
      <c r="R2622" s="205" t="s">
        <v>2276</v>
      </c>
      <c r="S2622" s="205" t="s">
        <v>2276</v>
      </c>
      <c r="T2622" s="205" t="s">
        <v>2276</v>
      </c>
      <c r="U2622" s="205" t="s">
        <v>2276</v>
      </c>
      <c r="V2622" s="205" t="s">
        <v>2276</v>
      </c>
      <c r="W2622" s="205" t="s">
        <v>2276</v>
      </c>
      <c r="X2622" s="205" t="s">
        <v>35</v>
      </c>
      <c r="Y2622" s="205" t="s">
        <v>38</v>
      </c>
      <c r="Z2622" s="205" t="s">
        <v>64</v>
      </c>
      <c r="AA2622" s="205" t="s">
        <v>7699</v>
      </c>
      <c r="AB2622" s="205"/>
    </row>
    <row r="2623" spans="1:28" ht="33.5" customHeight="1">
      <c r="A2623" s="156" t="str">
        <f>'Reported burning'!A2629</f>
        <v>305j</v>
      </c>
      <c r="B2623" s="156" t="str">
        <f>'Reported burning'!B2629</f>
        <v>305j.5</v>
      </c>
      <c r="C2623" s="156" t="str">
        <f>'Reported burning'!C2629</f>
        <v>Human, deliberate</v>
      </c>
      <c r="D2623" s="156" t="str">
        <f>'Reported burning'!D2629</f>
        <v>Pyrome management</v>
      </c>
      <c r="E2623" s="156" t="str">
        <f>'Reported burning'!E2629</f>
        <v>Fire suppression agent</v>
      </c>
      <c r="F2623" s="156" t="str">
        <f>'Reported burning'!F2629</f>
        <v>ND</v>
      </c>
      <c r="G2623" s="156" t="str">
        <f>'Reported burning'!G2629</f>
        <v>ND</v>
      </c>
      <c r="H2623" s="156" t="str">
        <f>'Reported burning'!H2629</f>
        <v>Presence</v>
      </c>
      <c r="I2623" s="5">
        <f>'Reported burning'!I2629</f>
        <v>2005</v>
      </c>
      <c r="J2623" s="205" t="s">
        <v>2276</v>
      </c>
      <c r="K2623" s="205" t="s">
        <v>2276</v>
      </c>
      <c r="L2623" s="205" t="s">
        <v>2276</v>
      </c>
      <c r="M2623" s="205" t="s">
        <v>2276</v>
      </c>
      <c r="N2623" s="205" t="s">
        <v>2276</v>
      </c>
      <c r="O2623" s="205" t="s">
        <v>2276</v>
      </c>
      <c r="P2623" s="205" t="s">
        <v>2276</v>
      </c>
      <c r="Q2623" s="205" t="s">
        <v>2276</v>
      </c>
      <c r="R2623" s="205" t="s">
        <v>2276</v>
      </c>
      <c r="S2623" s="205" t="s">
        <v>2276</v>
      </c>
      <c r="T2623" s="205" t="s">
        <v>2276</v>
      </c>
      <c r="U2623" s="205" t="s">
        <v>2276</v>
      </c>
      <c r="V2623" s="205" t="s">
        <v>2276</v>
      </c>
      <c r="W2623" s="205" t="s">
        <v>2276</v>
      </c>
      <c r="X2623" s="205" t="s">
        <v>35</v>
      </c>
      <c r="Y2623" s="205" t="s">
        <v>38</v>
      </c>
      <c r="Z2623" s="205" t="s">
        <v>64</v>
      </c>
      <c r="AA2623" s="205" t="s">
        <v>7699</v>
      </c>
      <c r="AB2623" s="205"/>
    </row>
    <row r="2624" spans="1:28" ht="33.5" customHeight="1">
      <c r="A2624" s="156" t="str">
        <f>'Reported burning'!A2630</f>
        <v>305k</v>
      </c>
      <c r="B2624" s="156" t="str">
        <f>'Reported burning'!B2630</f>
        <v>305k.5</v>
      </c>
      <c r="C2624" s="156" t="str">
        <f>'Reported burning'!C2630</f>
        <v>Human, deliberate</v>
      </c>
      <c r="D2624" s="156" t="str">
        <f>'Reported burning'!D2630</f>
        <v>Pyrome management</v>
      </c>
      <c r="E2624" s="156" t="str">
        <f>'Reported burning'!E2630</f>
        <v>Fire suppression agent</v>
      </c>
      <c r="F2624" s="156" t="str">
        <f>'Reported burning'!F2630</f>
        <v>ND</v>
      </c>
      <c r="G2624" s="156" t="str">
        <f>'Reported burning'!G2630</f>
        <v>ND</v>
      </c>
      <c r="H2624" s="156" t="str">
        <f>'Reported burning'!H2630</f>
        <v>Presence</v>
      </c>
      <c r="I2624" s="5">
        <f>'Reported burning'!I2630</f>
        <v>2005</v>
      </c>
      <c r="J2624" s="205" t="s">
        <v>2276</v>
      </c>
      <c r="K2624" s="205" t="s">
        <v>2276</v>
      </c>
      <c r="L2624" s="205" t="s">
        <v>2276</v>
      </c>
      <c r="M2624" s="205" t="s">
        <v>2276</v>
      </c>
      <c r="N2624" s="205" t="s">
        <v>2276</v>
      </c>
      <c r="O2624" s="205" t="s">
        <v>2276</v>
      </c>
      <c r="P2624" s="205" t="s">
        <v>2276</v>
      </c>
      <c r="Q2624" s="205" t="s">
        <v>2276</v>
      </c>
      <c r="R2624" s="205" t="s">
        <v>2276</v>
      </c>
      <c r="S2624" s="205" t="s">
        <v>2276</v>
      </c>
      <c r="T2624" s="205" t="s">
        <v>2276</v>
      </c>
      <c r="U2624" s="205" t="s">
        <v>2276</v>
      </c>
      <c r="V2624" s="205" t="s">
        <v>2276</v>
      </c>
      <c r="W2624" s="205" t="s">
        <v>2276</v>
      </c>
      <c r="X2624" s="205" t="s">
        <v>35</v>
      </c>
      <c r="Y2624" s="205" t="s">
        <v>38</v>
      </c>
      <c r="Z2624" s="205" t="s">
        <v>64</v>
      </c>
      <c r="AA2624" s="205" t="s">
        <v>7699</v>
      </c>
      <c r="AB2624" s="205"/>
    </row>
    <row r="2625" spans="1:28" ht="33.5" customHeight="1">
      <c r="A2625" s="156" t="str">
        <f>'Reported burning'!A2631</f>
        <v>305l</v>
      </c>
      <c r="B2625" s="156" t="str">
        <f>'Reported burning'!B2631</f>
        <v>305l.5</v>
      </c>
      <c r="C2625" s="156" t="str">
        <f>'Reported burning'!C2631</f>
        <v>Human, deliberate</v>
      </c>
      <c r="D2625" s="156" t="str">
        <f>'Reported burning'!D2631</f>
        <v>Pyrome management</v>
      </c>
      <c r="E2625" s="156" t="str">
        <f>'Reported burning'!E2631</f>
        <v>Fire suppression agent</v>
      </c>
      <c r="F2625" s="156" t="str">
        <f>'Reported burning'!F2631</f>
        <v>ND</v>
      </c>
      <c r="G2625" s="156" t="str">
        <f>'Reported burning'!G2631</f>
        <v>ND</v>
      </c>
      <c r="H2625" s="156" t="str">
        <f>'Reported burning'!H2631</f>
        <v>Presence</v>
      </c>
      <c r="I2625" s="5">
        <f>'Reported burning'!I2631</f>
        <v>2005</v>
      </c>
      <c r="J2625" s="205" t="s">
        <v>2276</v>
      </c>
      <c r="K2625" s="205" t="s">
        <v>2276</v>
      </c>
      <c r="L2625" s="205" t="s">
        <v>2276</v>
      </c>
      <c r="M2625" s="205" t="s">
        <v>2276</v>
      </c>
      <c r="N2625" s="205" t="s">
        <v>2276</v>
      </c>
      <c r="O2625" s="205" t="s">
        <v>2276</v>
      </c>
      <c r="P2625" s="205" t="s">
        <v>2276</v>
      </c>
      <c r="Q2625" s="205" t="s">
        <v>2276</v>
      </c>
      <c r="R2625" s="205" t="s">
        <v>2276</v>
      </c>
      <c r="S2625" s="205" t="s">
        <v>2276</v>
      </c>
      <c r="T2625" s="205" t="s">
        <v>2276</v>
      </c>
      <c r="U2625" s="205" t="s">
        <v>2276</v>
      </c>
      <c r="V2625" s="205" t="s">
        <v>2276</v>
      </c>
      <c r="W2625" s="205" t="s">
        <v>2276</v>
      </c>
      <c r="X2625" s="205" t="s">
        <v>35</v>
      </c>
      <c r="Y2625" s="205" t="s">
        <v>38</v>
      </c>
      <c r="Z2625" s="205" t="s">
        <v>64</v>
      </c>
      <c r="AA2625" s="205" t="s">
        <v>7699</v>
      </c>
      <c r="AB2625" s="205"/>
    </row>
    <row r="2626" spans="1:28" ht="33.5" customHeight="1">
      <c r="A2626" s="156" t="str">
        <f>'Reported burning'!A2632</f>
        <v>305m</v>
      </c>
      <c r="B2626" s="156" t="str">
        <f>'Reported burning'!B2632</f>
        <v>305m.5</v>
      </c>
      <c r="C2626" s="156" t="str">
        <f>'Reported burning'!C2632</f>
        <v>Human, deliberate</v>
      </c>
      <c r="D2626" s="156" t="str">
        <f>'Reported burning'!D2632</f>
        <v>Pyrome management</v>
      </c>
      <c r="E2626" s="156" t="str">
        <f>'Reported burning'!E2632</f>
        <v>Fire suppression agent</v>
      </c>
      <c r="F2626" s="156" t="str">
        <f>'Reported burning'!F2632</f>
        <v>ND</v>
      </c>
      <c r="G2626" s="156" t="str">
        <f>'Reported burning'!G2632</f>
        <v>ND</v>
      </c>
      <c r="H2626" s="156" t="str">
        <f>'Reported burning'!H2632</f>
        <v>Presence</v>
      </c>
      <c r="I2626" s="5">
        <f>'Reported burning'!I2632</f>
        <v>2005</v>
      </c>
      <c r="J2626" s="205" t="s">
        <v>2276</v>
      </c>
      <c r="K2626" s="205" t="s">
        <v>2276</v>
      </c>
      <c r="L2626" s="205" t="s">
        <v>2276</v>
      </c>
      <c r="M2626" s="205" t="s">
        <v>2276</v>
      </c>
      <c r="N2626" s="205" t="s">
        <v>2276</v>
      </c>
      <c r="O2626" s="205" t="s">
        <v>2276</v>
      </c>
      <c r="P2626" s="205" t="s">
        <v>2276</v>
      </c>
      <c r="Q2626" s="205" t="s">
        <v>2276</v>
      </c>
      <c r="R2626" s="205" t="s">
        <v>2276</v>
      </c>
      <c r="S2626" s="205" t="s">
        <v>2276</v>
      </c>
      <c r="T2626" s="205" t="s">
        <v>2276</v>
      </c>
      <c r="U2626" s="205" t="s">
        <v>2276</v>
      </c>
      <c r="V2626" s="205" t="s">
        <v>2276</v>
      </c>
      <c r="W2626" s="205" t="s">
        <v>2276</v>
      </c>
      <c r="X2626" s="205" t="s">
        <v>35</v>
      </c>
      <c r="Y2626" s="205" t="s">
        <v>38</v>
      </c>
      <c r="Z2626" s="205" t="s">
        <v>64</v>
      </c>
      <c r="AA2626" s="205" t="s">
        <v>7699</v>
      </c>
      <c r="AB2626" s="205"/>
    </row>
    <row r="2627" spans="1:28" ht="33.5" customHeight="1">
      <c r="A2627" s="156" t="str">
        <f>'Reported burning'!A2633</f>
        <v>305i</v>
      </c>
      <c r="B2627" s="156" t="str">
        <f>'Reported burning'!B2633</f>
        <v>305i.6</v>
      </c>
      <c r="C2627" s="156" t="str">
        <f>'Reported burning'!C2633</f>
        <v>Human, deliberate</v>
      </c>
      <c r="D2627" s="156" t="str">
        <f>'Reported burning'!D2633</f>
        <v>Pyrome management</v>
      </c>
      <c r="E2627" s="156" t="str">
        <f>'Reported burning'!E2633</f>
        <v>Fire suppression agent</v>
      </c>
      <c r="F2627" s="156" t="str">
        <f>'Reported burning'!F2633</f>
        <v>ND</v>
      </c>
      <c r="G2627" s="156" t="str">
        <f>'Reported burning'!G2633</f>
        <v>ND</v>
      </c>
      <c r="H2627" s="156" t="str">
        <f>'Reported burning'!H2633</f>
        <v>Presence</v>
      </c>
      <c r="I2627" s="5">
        <f>'Reported burning'!I2633</f>
        <v>2006</v>
      </c>
      <c r="J2627" s="205" t="s">
        <v>2276</v>
      </c>
      <c r="K2627" s="205" t="s">
        <v>2276</v>
      </c>
      <c r="L2627" s="205" t="s">
        <v>2276</v>
      </c>
      <c r="M2627" s="205" t="s">
        <v>2276</v>
      </c>
      <c r="N2627" s="205" t="s">
        <v>2276</v>
      </c>
      <c r="O2627" s="205" t="s">
        <v>2276</v>
      </c>
      <c r="P2627" s="205" t="s">
        <v>2276</v>
      </c>
      <c r="Q2627" s="205" t="s">
        <v>2276</v>
      </c>
      <c r="R2627" s="205" t="s">
        <v>2276</v>
      </c>
      <c r="S2627" s="205" t="s">
        <v>2276</v>
      </c>
      <c r="T2627" s="205" t="s">
        <v>2276</v>
      </c>
      <c r="U2627" s="205" t="s">
        <v>2276</v>
      </c>
      <c r="V2627" s="205" t="s">
        <v>2276</v>
      </c>
      <c r="W2627" s="205" t="s">
        <v>2276</v>
      </c>
      <c r="X2627" s="205" t="s">
        <v>35</v>
      </c>
      <c r="Y2627" s="205" t="s">
        <v>38</v>
      </c>
      <c r="Z2627" s="205" t="s">
        <v>64</v>
      </c>
      <c r="AA2627" s="205" t="s">
        <v>7699</v>
      </c>
      <c r="AB2627" s="205"/>
    </row>
    <row r="2628" spans="1:28" ht="33.5" customHeight="1">
      <c r="A2628" s="156" t="str">
        <f>'Reported burning'!A2634</f>
        <v>305j</v>
      </c>
      <c r="B2628" s="156" t="str">
        <f>'Reported burning'!B2634</f>
        <v>305j.6</v>
      </c>
      <c r="C2628" s="156" t="str">
        <f>'Reported burning'!C2634</f>
        <v>Human, deliberate</v>
      </c>
      <c r="D2628" s="156" t="str">
        <f>'Reported burning'!D2634</f>
        <v>Pyrome management</v>
      </c>
      <c r="E2628" s="156" t="str">
        <f>'Reported burning'!E2634</f>
        <v>Fire suppression agent</v>
      </c>
      <c r="F2628" s="156" t="str">
        <f>'Reported burning'!F2634</f>
        <v>ND</v>
      </c>
      <c r="G2628" s="156" t="str">
        <f>'Reported burning'!G2634</f>
        <v>ND</v>
      </c>
      <c r="H2628" s="156" t="str">
        <f>'Reported burning'!H2634</f>
        <v>Presence</v>
      </c>
      <c r="I2628" s="5">
        <f>'Reported burning'!I2634</f>
        <v>2006</v>
      </c>
      <c r="J2628" s="205" t="s">
        <v>2276</v>
      </c>
      <c r="K2628" s="205" t="s">
        <v>2276</v>
      </c>
      <c r="L2628" s="205" t="s">
        <v>2276</v>
      </c>
      <c r="M2628" s="205" t="s">
        <v>2276</v>
      </c>
      <c r="N2628" s="205" t="s">
        <v>2276</v>
      </c>
      <c r="O2628" s="205" t="s">
        <v>2276</v>
      </c>
      <c r="P2628" s="205" t="s">
        <v>2276</v>
      </c>
      <c r="Q2628" s="205" t="s">
        <v>2276</v>
      </c>
      <c r="R2628" s="205" t="s">
        <v>2276</v>
      </c>
      <c r="S2628" s="205" t="s">
        <v>2276</v>
      </c>
      <c r="T2628" s="205" t="s">
        <v>2276</v>
      </c>
      <c r="U2628" s="205" t="s">
        <v>2276</v>
      </c>
      <c r="V2628" s="205" t="s">
        <v>2276</v>
      </c>
      <c r="W2628" s="205" t="s">
        <v>2276</v>
      </c>
      <c r="X2628" s="205" t="s">
        <v>35</v>
      </c>
      <c r="Y2628" s="205" t="s">
        <v>38</v>
      </c>
      <c r="Z2628" s="205" t="s">
        <v>64</v>
      </c>
      <c r="AA2628" s="205" t="s">
        <v>7699</v>
      </c>
      <c r="AB2628" s="205"/>
    </row>
    <row r="2629" spans="1:28" ht="33.5" customHeight="1">
      <c r="A2629" s="156" t="str">
        <f>'Reported burning'!A2635</f>
        <v>305k</v>
      </c>
      <c r="B2629" s="156" t="str">
        <f>'Reported burning'!B2635</f>
        <v>305k.6</v>
      </c>
      <c r="C2629" s="156" t="str">
        <f>'Reported burning'!C2635</f>
        <v>Human, deliberate</v>
      </c>
      <c r="D2629" s="156" t="str">
        <f>'Reported burning'!D2635</f>
        <v>Pyrome management</v>
      </c>
      <c r="E2629" s="156" t="str">
        <f>'Reported burning'!E2635</f>
        <v>Fire suppression agent</v>
      </c>
      <c r="F2629" s="156" t="str">
        <f>'Reported burning'!F2635</f>
        <v>ND</v>
      </c>
      <c r="G2629" s="156" t="str">
        <f>'Reported burning'!G2635</f>
        <v>ND</v>
      </c>
      <c r="H2629" s="156" t="str">
        <f>'Reported burning'!H2635</f>
        <v>Presence</v>
      </c>
      <c r="I2629" s="5">
        <f>'Reported burning'!I2635</f>
        <v>2006</v>
      </c>
      <c r="J2629" s="205" t="s">
        <v>2276</v>
      </c>
      <c r="K2629" s="205" t="s">
        <v>2276</v>
      </c>
      <c r="L2629" s="205" t="s">
        <v>2276</v>
      </c>
      <c r="M2629" s="205" t="s">
        <v>2276</v>
      </c>
      <c r="N2629" s="205" t="s">
        <v>2276</v>
      </c>
      <c r="O2629" s="205" t="s">
        <v>2276</v>
      </c>
      <c r="P2629" s="205" t="s">
        <v>2276</v>
      </c>
      <c r="Q2629" s="205" t="s">
        <v>2276</v>
      </c>
      <c r="R2629" s="205" t="s">
        <v>2276</v>
      </c>
      <c r="S2629" s="205" t="s">
        <v>2276</v>
      </c>
      <c r="T2629" s="205" t="s">
        <v>2276</v>
      </c>
      <c r="U2629" s="205" t="s">
        <v>2276</v>
      </c>
      <c r="V2629" s="205" t="s">
        <v>2276</v>
      </c>
      <c r="W2629" s="205" t="s">
        <v>2276</v>
      </c>
      <c r="X2629" s="205" t="s">
        <v>35</v>
      </c>
      <c r="Y2629" s="205" t="s">
        <v>38</v>
      </c>
      <c r="Z2629" s="205" t="s">
        <v>64</v>
      </c>
      <c r="AA2629" s="205" t="s">
        <v>7699</v>
      </c>
      <c r="AB2629" s="205"/>
    </row>
    <row r="2630" spans="1:28" ht="33.5" customHeight="1">
      <c r="A2630" s="156" t="str">
        <f>'Reported burning'!A2636</f>
        <v>305l</v>
      </c>
      <c r="B2630" s="156" t="str">
        <f>'Reported burning'!B2636</f>
        <v>305l.6</v>
      </c>
      <c r="C2630" s="156" t="str">
        <f>'Reported burning'!C2636</f>
        <v>Human, deliberate</v>
      </c>
      <c r="D2630" s="156" t="str">
        <f>'Reported burning'!D2636</f>
        <v>Pyrome management</v>
      </c>
      <c r="E2630" s="156" t="str">
        <f>'Reported burning'!E2636</f>
        <v>Fire suppression agent</v>
      </c>
      <c r="F2630" s="156" t="str">
        <f>'Reported burning'!F2636</f>
        <v>ND</v>
      </c>
      <c r="G2630" s="156" t="str">
        <f>'Reported burning'!G2636</f>
        <v>ND</v>
      </c>
      <c r="H2630" s="156" t="str">
        <f>'Reported burning'!H2636</f>
        <v>Presence</v>
      </c>
      <c r="I2630" s="5">
        <f>'Reported burning'!I2636</f>
        <v>2006</v>
      </c>
      <c r="J2630" s="205" t="s">
        <v>2276</v>
      </c>
      <c r="K2630" s="205" t="s">
        <v>2276</v>
      </c>
      <c r="L2630" s="205" t="s">
        <v>2276</v>
      </c>
      <c r="M2630" s="205" t="s">
        <v>2276</v>
      </c>
      <c r="N2630" s="205" t="s">
        <v>2276</v>
      </c>
      <c r="O2630" s="205" t="s">
        <v>2276</v>
      </c>
      <c r="P2630" s="205" t="s">
        <v>2276</v>
      </c>
      <c r="Q2630" s="205" t="s">
        <v>2276</v>
      </c>
      <c r="R2630" s="205" t="s">
        <v>2276</v>
      </c>
      <c r="S2630" s="205" t="s">
        <v>2276</v>
      </c>
      <c r="T2630" s="205" t="s">
        <v>2276</v>
      </c>
      <c r="U2630" s="205" t="s">
        <v>2276</v>
      </c>
      <c r="V2630" s="205" t="s">
        <v>2276</v>
      </c>
      <c r="W2630" s="205" t="s">
        <v>2276</v>
      </c>
      <c r="X2630" s="205" t="s">
        <v>35</v>
      </c>
      <c r="Y2630" s="205" t="s">
        <v>38</v>
      </c>
      <c r="Z2630" s="205" t="s">
        <v>64</v>
      </c>
      <c r="AA2630" s="205" t="s">
        <v>7699</v>
      </c>
      <c r="AB2630" s="205"/>
    </row>
    <row r="2631" spans="1:28" ht="33.5" customHeight="1">
      <c r="A2631" s="156" t="str">
        <f>'Reported burning'!A2637</f>
        <v>305m</v>
      </c>
      <c r="B2631" s="156" t="str">
        <f>'Reported burning'!B2637</f>
        <v>305m.6</v>
      </c>
      <c r="C2631" s="156" t="str">
        <f>'Reported burning'!C2637</f>
        <v>Human, deliberate</v>
      </c>
      <c r="D2631" s="156" t="str">
        <f>'Reported burning'!D2637</f>
        <v>Pyrome management</v>
      </c>
      <c r="E2631" s="156" t="str">
        <f>'Reported burning'!E2637</f>
        <v>Fire suppression agent</v>
      </c>
      <c r="F2631" s="156" t="str">
        <f>'Reported burning'!F2637</f>
        <v>ND</v>
      </c>
      <c r="G2631" s="156" t="str">
        <f>'Reported burning'!G2637</f>
        <v>ND</v>
      </c>
      <c r="H2631" s="156" t="str">
        <f>'Reported burning'!H2637</f>
        <v>Presence</v>
      </c>
      <c r="I2631" s="5">
        <f>'Reported burning'!I2637</f>
        <v>2006</v>
      </c>
      <c r="J2631" s="205" t="s">
        <v>2276</v>
      </c>
      <c r="K2631" s="205" t="s">
        <v>2276</v>
      </c>
      <c r="L2631" s="205" t="s">
        <v>2276</v>
      </c>
      <c r="M2631" s="205" t="s">
        <v>2276</v>
      </c>
      <c r="N2631" s="205" t="s">
        <v>2276</v>
      </c>
      <c r="O2631" s="205" t="s">
        <v>2276</v>
      </c>
      <c r="P2631" s="205" t="s">
        <v>2276</v>
      </c>
      <c r="Q2631" s="205" t="s">
        <v>2276</v>
      </c>
      <c r="R2631" s="205" t="s">
        <v>2276</v>
      </c>
      <c r="S2631" s="205" t="s">
        <v>2276</v>
      </c>
      <c r="T2631" s="205" t="s">
        <v>2276</v>
      </c>
      <c r="U2631" s="205" t="s">
        <v>2276</v>
      </c>
      <c r="V2631" s="205" t="s">
        <v>2276</v>
      </c>
      <c r="W2631" s="205" t="s">
        <v>2276</v>
      </c>
      <c r="X2631" s="205" t="s">
        <v>35</v>
      </c>
      <c r="Y2631" s="205" t="s">
        <v>38</v>
      </c>
      <c r="Z2631" s="205" t="s">
        <v>64</v>
      </c>
      <c r="AA2631" s="205" t="s">
        <v>7699</v>
      </c>
      <c r="AB2631" s="205"/>
    </row>
    <row r="2632" spans="1:28" ht="33.5" customHeight="1">
      <c r="A2632" s="156" t="str">
        <f>'Reported burning'!A2638</f>
        <v>305i</v>
      </c>
      <c r="B2632" s="156" t="str">
        <f>'Reported burning'!B2638</f>
        <v>305i.7</v>
      </c>
      <c r="C2632" s="156" t="str">
        <f>'Reported burning'!C2638</f>
        <v>Human, deliberate</v>
      </c>
      <c r="D2632" s="156" t="str">
        <f>'Reported burning'!D2638</f>
        <v>Pyrome management</v>
      </c>
      <c r="E2632" s="156" t="str">
        <f>'Reported burning'!E2638</f>
        <v>Fire suppression agent</v>
      </c>
      <c r="F2632" s="156" t="str">
        <f>'Reported burning'!F2638</f>
        <v>ND</v>
      </c>
      <c r="G2632" s="156" t="str">
        <f>'Reported burning'!G2638</f>
        <v>ND</v>
      </c>
      <c r="H2632" s="156" t="str">
        <f>'Reported burning'!H2638</f>
        <v>Presence</v>
      </c>
      <c r="I2632" s="5">
        <f>'Reported burning'!I2638</f>
        <v>2007</v>
      </c>
      <c r="J2632" s="205" t="s">
        <v>2276</v>
      </c>
      <c r="K2632" s="205" t="s">
        <v>2276</v>
      </c>
      <c r="L2632" s="205" t="s">
        <v>2276</v>
      </c>
      <c r="M2632" s="205" t="s">
        <v>2276</v>
      </c>
      <c r="N2632" s="205" t="s">
        <v>2276</v>
      </c>
      <c r="O2632" s="205" t="s">
        <v>2276</v>
      </c>
      <c r="P2632" s="205" t="s">
        <v>2276</v>
      </c>
      <c r="Q2632" s="205" t="s">
        <v>2276</v>
      </c>
      <c r="R2632" s="205" t="s">
        <v>2276</v>
      </c>
      <c r="S2632" s="205" t="s">
        <v>2276</v>
      </c>
      <c r="T2632" s="205" t="s">
        <v>2276</v>
      </c>
      <c r="U2632" s="205" t="s">
        <v>2276</v>
      </c>
      <c r="V2632" s="205" t="s">
        <v>2276</v>
      </c>
      <c r="W2632" s="205" t="s">
        <v>2276</v>
      </c>
      <c r="X2632" s="205" t="s">
        <v>35</v>
      </c>
      <c r="Y2632" s="205" t="s">
        <v>38</v>
      </c>
      <c r="Z2632" s="205" t="s">
        <v>64</v>
      </c>
      <c r="AA2632" s="205" t="s">
        <v>7699</v>
      </c>
      <c r="AB2632" s="205"/>
    </row>
    <row r="2633" spans="1:28" ht="33.5" customHeight="1">
      <c r="A2633" s="156" t="str">
        <f>'Reported burning'!A2639</f>
        <v>305j</v>
      </c>
      <c r="B2633" s="156" t="str">
        <f>'Reported burning'!B2639</f>
        <v>305j.7</v>
      </c>
      <c r="C2633" s="156" t="str">
        <f>'Reported burning'!C2639</f>
        <v>Human, deliberate</v>
      </c>
      <c r="D2633" s="156" t="str">
        <f>'Reported burning'!D2639</f>
        <v>Pyrome management</v>
      </c>
      <c r="E2633" s="156" t="str">
        <f>'Reported burning'!E2639</f>
        <v>Fire suppression agent</v>
      </c>
      <c r="F2633" s="156" t="str">
        <f>'Reported burning'!F2639</f>
        <v>ND</v>
      </c>
      <c r="G2633" s="156" t="str">
        <f>'Reported burning'!G2639</f>
        <v>ND</v>
      </c>
      <c r="H2633" s="156" t="str">
        <f>'Reported burning'!H2639</f>
        <v>Presence</v>
      </c>
      <c r="I2633" s="5">
        <f>'Reported burning'!I2639</f>
        <v>2007</v>
      </c>
      <c r="J2633" s="205" t="s">
        <v>2276</v>
      </c>
      <c r="K2633" s="205" t="s">
        <v>2276</v>
      </c>
      <c r="L2633" s="205" t="s">
        <v>2276</v>
      </c>
      <c r="M2633" s="205" t="s">
        <v>2276</v>
      </c>
      <c r="N2633" s="205" t="s">
        <v>2276</v>
      </c>
      <c r="O2633" s="205" t="s">
        <v>2276</v>
      </c>
      <c r="P2633" s="205" t="s">
        <v>2276</v>
      </c>
      <c r="Q2633" s="205" t="s">
        <v>2276</v>
      </c>
      <c r="R2633" s="205" t="s">
        <v>2276</v>
      </c>
      <c r="S2633" s="205" t="s">
        <v>2276</v>
      </c>
      <c r="T2633" s="205" t="s">
        <v>2276</v>
      </c>
      <c r="U2633" s="205" t="s">
        <v>2276</v>
      </c>
      <c r="V2633" s="205" t="s">
        <v>2276</v>
      </c>
      <c r="W2633" s="205" t="s">
        <v>2276</v>
      </c>
      <c r="X2633" s="205" t="s">
        <v>35</v>
      </c>
      <c r="Y2633" s="205" t="s">
        <v>38</v>
      </c>
      <c r="Z2633" s="205" t="s">
        <v>64</v>
      </c>
      <c r="AA2633" s="205" t="s">
        <v>7699</v>
      </c>
      <c r="AB2633" s="205"/>
    </row>
    <row r="2634" spans="1:28" ht="33.5" customHeight="1">
      <c r="A2634" s="156" t="str">
        <f>'Reported burning'!A2640</f>
        <v>305k</v>
      </c>
      <c r="B2634" s="156" t="str">
        <f>'Reported burning'!B2640</f>
        <v>305k.7</v>
      </c>
      <c r="C2634" s="156" t="str">
        <f>'Reported burning'!C2640</f>
        <v>Human, deliberate</v>
      </c>
      <c r="D2634" s="156" t="str">
        <f>'Reported burning'!D2640</f>
        <v>Pyrome management</v>
      </c>
      <c r="E2634" s="156" t="str">
        <f>'Reported burning'!E2640</f>
        <v>Fire suppression agent</v>
      </c>
      <c r="F2634" s="156" t="str">
        <f>'Reported burning'!F2640</f>
        <v>ND</v>
      </c>
      <c r="G2634" s="156" t="str">
        <f>'Reported burning'!G2640</f>
        <v>ND</v>
      </c>
      <c r="H2634" s="156" t="str">
        <f>'Reported burning'!H2640</f>
        <v>Presence</v>
      </c>
      <c r="I2634" s="5">
        <f>'Reported burning'!I2640</f>
        <v>2007</v>
      </c>
      <c r="J2634" s="205" t="s">
        <v>2276</v>
      </c>
      <c r="K2634" s="205" t="s">
        <v>2276</v>
      </c>
      <c r="L2634" s="205" t="s">
        <v>2276</v>
      </c>
      <c r="M2634" s="205" t="s">
        <v>2276</v>
      </c>
      <c r="N2634" s="205" t="s">
        <v>2276</v>
      </c>
      <c r="O2634" s="205" t="s">
        <v>2276</v>
      </c>
      <c r="P2634" s="205" t="s">
        <v>2276</v>
      </c>
      <c r="Q2634" s="205" t="s">
        <v>2276</v>
      </c>
      <c r="R2634" s="205" t="s">
        <v>2276</v>
      </c>
      <c r="S2634" s="205" t="s">
        <v>2276</v>
      </c>
      <c r="T2634" s="205" t="s">
        <v>2276</v>
      </c>
      <c r="U2634" s="205" t="s">
        <v>2276</v>
      </c>
      <c r="V2634" s="205" t="s">
        <v>2276</v>
      </c>
      <c r="W2634" s="205" t="s">
        <v>2276</v>
      </c>
      <c r="X2634" s="205" t="s">
        <v>35</v>
      </c>
      <c r="Y2634" s="205" t="s">
        <v>38</v>
      </c>
      <c r="Z2634" s="205" t="s">
        <v>64</v>
      </c>
      <c r="AA2634" s="205" t="s">
        <v>7699</v>
      </c>
      <c r="AB2634" s="205"/>
    </row>
    <row r="2635" spans="1:28" ht="33.5" customHeight="1">
      <c r="A2635" s="156" t="str">
        <f>'Reported burning'!A2641</f>
        <v>305l</v>
      </c>
      <c r="B2635" s="156" t="str">
        <f>'Reported burning'!B2641</f>
        <v>305l.7</v>
      </c>
      <c r="C2635" s="156" t="str">
        <f>'Reported burning'!C2641</f>
        <v>Human, deliberate</v>
      </c>
      <c r="D2635" s="156" t="str">
        <f>'Reported burning'!D2641</f>
        <v>Pyrome management</v>
      </c>
      <c r="E2635" s="156" t="str">
        <f>'Reported burning'!E2641</f>
        <v>Fire suppression agent</v>
      </c>
      <c r="F2635" s="156" t="str">
        <f>'Reported burning'!F2641</f>
        <v>ND</v>
      </c>
      <c r="G2635" s="156" t="str">
        <f>'Reported burning'!G2641</f>
        <v>ND</v>
      </c>
      <c r="H2635" s="156" t="str">
        <f>'Reported burning'!H2641</f>
        <v>Presence</v>
      </c>
      <c r="I2635" s="5">
        <f>'Reported burning'!I2641</f>
        <v>2007</v>
      </c>
      <c r="J2635" s="205" t="s">
        <v>2276</v>
      </c>
      <c r="K2635" s="205" t="s">
        <v>2276</v>
      </c>
      <c r="L2635" s="205" t="s">
        <v>2276</v>
      </c>
      <c r="M2635" s="205" t="s">
        <v>2276</v>
      </c>
      <c r="N2635" s="205" t="s">
        <v>2276</v>
      </c>
      <c r="O2635" s="205" t="s">
        <v>2276</v>
      </c>
      <c r="P2635" s="205" t="s">
        <v>2276</v>
      </c>
      <c r="Q2635" s="205" t="s">
        <v>2276</v>
      </c>
      <c r="R2635" s="205" t="s">
        <v>2276</v>
      </c>
      <c r="S2635" s="205" t="s">
        <v>2276</v>
      </c>
      <c r="T2635" s="205" t="s">
        <v>2276</v>
      </c>
      <c r="U2635" s="205" t="s">
        <v>2276</v>
      </c>
      <c r="V2635" s="205" t="s">
        <v>2276</v>
      </c>
      <c r="W2635" s="205" t="s">
        <v>2276</v>
      </c>
      <c r="X2635" s="205" t="s">
        <v>35</v>
      </c>
      <c r="Y2635" s="205" t="s">
        <v>38</v>
      </c>
      <c r="Z2635" s="205" t="s">
        <v>64</v>
      </c>
      <c r="AA2635" s="205" t="s">
        <v>7699</v>
      </c>
      <c r="AB2635" s="205"/>
    </row>
    <row r="2636" spans="1:28" ht="33.5" customHeight="1">
      <c r="A2636" s="156" t="str">
        <f>'Reported burning'!A2642</f>
        <v>305m</v>
      </c>
      <c r="B2636" s="156" t="str">
        <f>'Reported burning'!B2642</f>
        <v>305m.7</v>
      </c>
      <c r="C2636" s="156" t="str">
        <f>'Reported burning'!C2642</f>
        <v>Human, deliberate</v>
      </c>
      <c r="D2636" s="156" t="str">
        <f>'Reported burning'!D2642</f>
        <v>Pyrome management</v>
      </c>
      <c r="E2636" s="156" t="str">
        <f>'Reported burning'!E2642</f>
        <v>Fire suppression agent</v>
      </c>
      <c r="F2636" s="156" t="str">
        <f>'Reported burning'!F2642</f>
        <v>ND</v>
      </c>
      <c r="G2636" s="156" t="str">
        <f>'Reported burning'!G2642</f>
        <v>ND</v>
      </c>
      <c r="H2636" s="156" t="str">
        <f>'Reported burning'!H2642</f>
        <v>Presence</v>
      </c>
      <c r="I2636" s="5">
        <f>'Reported burning'!I2642</f>
        <v>2007</v>
      </c>
      <c r="J2636" s="205" t="s">
        <v>2276</v>
      </c>
      <c r="K2636" s="205" t="s">
        <v>2276</v>
      </c>
      <c r="L2636" s="205" t="s">
        <v>2276</v>
      </c>
      <c r="M2636" s="205" t="s">
        <v>2276</v>
      </c>
      <c r="N2636" s="205" t="s">
        <v>2276</v>
      </c>
      <c r="O2636" s="205" t="s">
        <v>2276</v>
      </c>
      <c r="P2636" s="205" t="s">
        <v>2276</v>
      </c>
      <c r="Q2636" s="205" t="s">
        <v>2276</v>
      </c>
      <c r="R2636" s="205" t="s">
        <v>2276</v>
      </c>
      <c r="S2636" s="205" t="s">
        <v>2276</v>
      </c>
      <c r="T2636" s="205" t="s">
        <v>2276</v>
      </c>
      <c r="U2636" s="205" t="s">
        <v>2276</v>
      </c>
      <c r="V2636" s="205" t="s">
        <v>2276</v>
      </c>
      <c r="W2636" s="205" t="s">
        <v>2276</v>
      </c>
      <c r="X2636" s="205" t="s">
        <v>35</v>
      </c>
      <c r="Y2636" s="205" t="s">
        <v>38</v>
      </c>
      <c r="Z2636" s="205" t="s">
        <v>64</v>
      </c>
      <c r="AA2636" s="205" t="s">
        <v>7699</v>
      </c>
      <c r="AB2636" s="205"/>
    </row>
    <row r="2637" spans="1:28" ht="33.5" customHeight="1">
      <c r="A2637" s="156" t="str">
        <f>'Reported burning'!A2643</f>
        <v>305i</v>
      </c>
      <c r="B2637" s="156" t="str">
        <f>'Reported burning'!B2643</f>
        <v>305i.8</v>
      </c>
      <c r="C2637" s="156" t="str">
        <f>'Reported burning'!C2643</f>
        <v>Human, deliberate</v>
      </c>
      <c r="D2637" s="156" t="str">
        <f>'Reported burning'!D2643</f>
        <v>Pyrome management</v>
      </c>
      <c r="E2637" s="156" t="str">
        <f>'Reported burning'!E2643</f>
        <v>Fire suppression agent</v>
      </c>
      <c r="F2637" s="156" t="str">
        <f>'Reported burning'!F2643</f>
        <v>ND</v>
      </c>
      <c r="G2637" s="156" t="str">
        <f>'Reported burning'!G2643</f>
        <v>ND</v>
      </c>
      <c r="H2637" s="156" t="str">
        <f>'Reported burning'!H2643</f>
        <v>Presence</v>
      </c>
      <c r="I2637" s="5">
        <f>'Reported burning'!I2643</f>
        <v>2008</v>
      </c>
      <c r="J2637" s="205" t="s">
        <v>2276</v>
      </c>
      <c r="K2637" s="205" t="s">
        <v>2276</v>
      </c>
      <c r="L2637" s="205" t="s">
        <v>2276</v>
      </c>
      <c r="M2637" s="205" t="s">
        <v>2276</v>
      </c>
      <c r="N2637" s="205" t="s">
        <v>2276</v>
      </c>
      <c r="O2637" s="205" t="s">
        <v>2276</v>
      </c>
      <c r="P2637" s="205" t="s">
        <v>2276</v>
      </c>
      <c r="Q2637" s="205" t="s">
        <v>2276</v>
      </c>
      <c r="R2637" s="205" t="s">
        <v>2276</v>
      </c>
      <c r="S2637" s="205" t="s">
        <v>2276</v>
      </c>
      <c r="T2637" s="205" t="s">
        <v>2276</v>
      </c>
      <c r="U2637" s="205" t="s">
        <v>2276</v>
      </c>
      <c r="V2637" s="205" t="s">
        <v>2276</v>
      </c>
      <c r="W2637" s="205" t="s">
        <v>2276</v>
      </c>
      <c r="X2637" s="205" t="s">
        <v>35</v>
      </c>
      <c r="Y2637" s="205" t="s">
        <v>38</v>
      </c>
      <c r="Z2637" s="205" t="s">
        <v>64</v>
      </c>
      <c r="AA2637" s="205" t="s">
        <v>7699</v>
      </c>
      <c r="AB2637" s="205"/>
    </row>
    <row r="2638" spans="1:28" ht="33.5" customHeight="1">
      <c r="A2638" s="156" t="str">
        <f>'Reported burning'!A2644</f>
        <v>305j</v>
      </c>
      <c r="B2638" s="156" t="str">
        <f>'Reported burning'!B2644</f>
        <v>305j.8</v>
      </c>
      <c r="C2638" s="156" t="str">
        <f>'Reported burning'!C2644</f>
        <v>Human, deliberate</v>
      </c>
      <c r="D2638" s="156" t="str">
        <f>'Reported burning'!D2644</f>
        <v>Pyrome management</v>
      </c>
      <c r="E2638" s="156" t="str">
        <f>'Reported burning'!E2644</f>
        <v>Fire suppression agent</v>
      </c>
      <c r="F2638" s="156" t="str">
        <f>'Reported burning'!F2644</f>
        <v>ND</v>
      </c>
      <c r="G2638" s="156" t="str">
        <f>'Reported burning'!G2644</f>
        <v>ND</v>
      </c>
      <c r="H2638" s="156" t="str">
        <f>'Reported burning'!H2644</f>
        <v>Presence</v>
      </c>
      <c r="I2638" s="5">
        <f>'Reported burning'!I2644</f>
        <v>2008</v>
      </c>
      <c r="J2638" s="205" t="s">
        <v>2276</v>
      </c>
      <c r="K2638" s="205" t="s">
        <v>2276</v>
      </c>
      <c r="L2638" s="205" t="s">
        <v>2276</v>
      </c>
      <c r="M2638" s="205" t="s">
        <v>2276</v>
      </c>
      <c r="N2638" s="205" t="s">
        <v>2276</v>
      </c>
      <c r="O2638" s="205" t="s">
        <v>2276</v>
      </c>
      <c r="P2638" s="205" t="s">
        <v>2276</v>
      </c>
      <c r="Q2638" s="205" t="s">
        <v>2276</v>
      </c>
      <c r="R2638" s="205" t="s">
        <v>2276</v>
      </c>
      <c r="S2638" s="205" t="s">
        <v>2276</v>
      </c>
      <c r="T2638" s="205" t="s">
        <v>2276</v>
      </c>
      <c r="U2638" s="205" t="s">
        <v>2276</v>
      </c>
      <c r="V2638" s="205" t="s">
        <v>2276</v>
      </c>
      <c r="W2638" s="205" t="s">
        <v>2276</v>
      </c>
      <c r="X2638" s="205" t="s">
        <v>35</v>
      </c>
      <c r="Y2638" s="205" t="s">
        <v>38</v>
      </c>
      <c r="Z2638" s="205" t="s">
        <v>64</v>
      </c>
      <c r="AA2638" s="205" t="s">
        <v>7699</v>
      </c>
      <c r="AB2638" s="205"/>
    </row>
    <row r="2639" spans="1:28" ht="33.5" customHeight="1">
      <c r="A2639" s="156" t="str">
        <f>'Reported burning'!A2645</f>
        <v>305k</v>
      </c>
      <c r="B2639" s="156" t="str">
        <f>'Reported burning'!B2645</f>
        <v>305k.8</v>
      </c>
      <c r="C2639" s="156" t="str">
        <f>'Reported burning'!C2645</f>
        <v>Human, deliberate</v>
      </c>
      <c r="D2639" s="156" t="str">
        <f>'Reported burning'!D2645</f>
        <v>Pyrome management</v>
      </c>
      <c r="E2639" s="156" t="str">
        <f>'Reported burning'!E2645</f>
        <v>Fire suppression agent</v>
      </c>
      <c r="F2639" s="156" t="str">
        <f>'Reported burning'!F2645</f>
        <v>ND</v>
      </c>
      <c r="G2639" s="156" t="str">
        <f>'Reported burning'!G2645</f>
        <v>ND</v>
      </c>
      <c r="H2639" s="156" t="str">
        <f>'Reported burning'!H2645</f>
        <v>Presence</v>
      </c>
      <c r="I2639" s="5">
        <f>'Reported burning'!I2645</f>
        <v>2008</v>
      </c>
      <c r="J2639" s="205" t="s">
        <v>2276</v>
      </c>
      <c r="K2639" s="205" t="s">
        <v>2276</v>
      </c>
      <c r="L2639" s="205" t="s">
        <v>2276</v>
      </c>
      <c r="M2639" s="205" t="s">
        <v>2276</v>
      </c>
      <c r="N2639" s="205" t="s">
        <v>2276</v>
      </c>
      <c r="O2639" s="205" t="s">
        <v>2276</v>
      </c>
      <c r="P2639" s="205" t="s">
        <v>2276</v>
      </c>
      <c r="Q2639" s="205" t="s">
        <v>2276</v>
      </c>
      <c r="R2639" s="205" t="s">
        <v>2276</v>
      </c>
      <c r="S2639" s="205" t="s">
        <v>2276</v>
      </c>
      <c r="T2639" s="205" t="s">
        <v>2276</v>
      </c>
      <c r="U2639" s="205" t="s">
        <v>2276</v>
      </c>
      <c r="V2639" s="205" t="s">
        <v>2276</v>
      </c>
      <c r="W2639" s="205" t="s">
        <v>2276</v>
      </c>
      <c r="X2639" s="205" t="s">
        <v>35</v>
      </c>
      <c r="Y2639" s="205" t="s">
        <v>38</v>
      </c>
      <c r="Z2639" s="205" t="s">
        <v>64</v>
      </c>
      <c r="AA2639" s="205" t="s">
        <v>7699</v>
      </c>
      <c r="AB2639" s="205"/>
    </row>
    <row r="2640" spans="1:28" ht="33.5" customHeight="1">
      <c r="A2640" s="156" t="str">
        <f>'Reported burning'!A2646</f>
        <v>305l</v>
      </c>
      <c r="B2640" s="156" t="str">
        <f>'Reported burning'!B2646</f>
        <v>305l.8</v>
      </c>
      <c r="C2640" s="156" t="str">
        <f>'Reported burning'!C2646</f>
        <v>Human, deliberate</v>
      </c>
      <c r="D2640" s="156" t="str">
        <f>'Reported burning'!D2646</f>
        <v>Pyrome management</v>
      </c>
      <c r="E2640" s="156" t="str">
        <f>'Reported burning'!E2646</f>
        <v>Fire suppression agent</v>
      </c>
      <c r="F2640" s="156" t="str">
        <f>'Reported burning'!F2646</f>
        <v>ND</v>
      </c>
      <c r="G2640" s="156" t="str">
        <f>'Reported burning'!G2646</f>
        <v>ND</v>
      </c>
      <c r="H2640" s="156" t="str">
        <f>'Reported burning'!H2646</f>
        <v>Presence</v>
      </c>
      <c r="I2640" s="5">
        <f>'Reported burning'!I2646</f>
        <v>2008</v>
      </c>
      <c r="J2640" s="205" t="s">
        <v>2276</v>
      </c>
      <c r="K2640" s="205" t="s">
        <v>2276</v>
      </c>
      <c r="L2640" s="205" t="s">
        <v>2276</v>
      </c>
      <c r="M2640" s="205" t="s">
        <v>2276</v>
      </c>
      <c r="N2640" s="205" t="s">
        <v>2276</v>
      </c>
      <c r="O2640" s="205" t="s">
        <v>2276</v>
      </c>
      <c r="P2640" s="205" t="s">
        <v>2276</v>
      </c>
      <c r="Q2640" s="205" t="s">
        <v>2276</v>
      </c>
      <c r="R2640" s="205" t="s">
        <v>2276</v>
      </c>
      <c r="S2640" s="205" t="s">
        <v>2276</v>
      </c>
      <c r="T2640" s="205" t="s">
        <v>2276</v>
      </c>
      <c r="U2640" s="205" t="s">
        <v>2276</v>
      </c>
      <c r="V2640" s="205" t="s">
        <v>2276</v>
      </c>
      <c r="W2640" s="205" t="s">
        <v>2276</v>
      </c>
      <c r="X2640" s="205" t="s">
        <v>35</v>
      </c>
      <c r="Y2640" s="205" t="s">
        <v>38</v>
      </c>
      <c r="Z2640" s="205" t="s">
        <v>64</v>
      </c>
      <c r="AA2640" s="205" t="s">
        <v>7699</v>
      </c>
      <c r="AB2640" s="205"/>
    </row>
    <row r="2641" spans="1:28" ht="33.5" customHeight="1">
      <c r="A2641" s="156" t="str">
        <f>'Reported burning'!A2647</f>
        <v>305m</v>
      </c>
      <c r="B2641" s="156" t="str">
        <f>'Reported burning'!B2647</f>
        <v>305m.8</v>
      </c>
      <c r="C2641" s="156" t="str">
        <f>'Reported burning'!C2647</f>
        <v>Human, deliberate</v>
      </c>
      <c r="D2641" s="156" t="str">
        <f>'Reported burning'!D2647</f>
        <v>Pyrome management</v>
      </c>
      <c r="E2641" s="156" t="str">
        <f>'Reported burning'!E2647</f>
        <v>Fire suppression agent</v>
      </c>
      <c r="F2641" s="156" t="str">
        <f>'Reported burning'!F2647</f>
        <v>ND</v>
      </c>
      <c r="G2641" s="156" t="str">
        <f>'Reported burning'!G2647</f>
        <v>ND</v>
      </c>
      <c r="H2641" s="156" t="str">
        <f>'Reported burning'!H2647</f>
        <v>Presence</v>
      </c>
      <c r="I2641" s="5">
        <f>'Reported burning'!I2647</f>
        <v>2008</v>
      </c>
      <c r="J2641" s="205" t="s">
        <v>2276</v>
      </c>
      <c r="K2641" s="205" t="s">
        <v>2276</v>
      </c>
      <c r="L2641" s="205" t="s">
        <v>2276</v>
      </c>
      <c r="M2641" s="205" t="s">
        <v>2276</v>
      </c>
      <c r="N2641" s="205" t="s">
        <v>2276</v>
      </c>
      <c r="O2641" s="205" t="s">
        <v>2276</v>
      </c>
      <c r="P2641" s="205" t="s">
        <v>2276</v>
      </c>
      <c r="Q2641" s="205" t="s">
        <v>2276</v>
      </c>
      <c r="R2641" s="205" t="s">
        <v>2276</v>
      </c>
      <c r="S2641" s="205" t="s">
        <v>2276</v>
      </c>
      <c r="T2641" s="205" t="s">
        <v>2276</v>
      </c>
      <c r="U2641" s="205" t="s">
        <v>2276</v>
      </c>
      <c r="V2641" s="205" t="s">
        <v>2276</v>
      </c>
      <c r="W2641" s="205" t="s">
        <v>2276</v>
      </c>
      <c r="X2641" s="205" t="s">
        <v>35</v>
      </c>
      <c r="Y2641" s="205" t="s">
        <v>38</v>
      </c>
      <c r="Z2641" s="205" t="s">
        <v>64</v>
      </c>
      <c r="AA2641" s="205" t="s">
        <v>7699</v>
      </c>
      <c r="AB2641" s="205"/>
    </row>
    <row r="2642" spans="1:28" ht="33.5" customHeight="1">
      <c r="A2642" s="156" t="str">
        <f>'Reported burning'!A2648</f>
        <v>305i</v>
      </c>
      <c r="B2642" s="156" t="str">
        <f>'Reported burning'!B2648</f>
        <v>305i.9</v>
      </c>
      <c r="C2642" s="156" t="str">
        <f>'Reported burning'!C2648</f>
        <v>Human, deliberate</v>
      </c>
      <c r="D2642" s="156" t="str">
        <f>'Reported burning'!D2648</f>
        <v>Pyrome management</v>
      </c>
      <c r="E2642" s="156" t="str">
        <f>'Reported burning'!E2648</f>
        <v>Fire suppression agent</v>
      </c>
      <c r="F2642" s="156" t="str">
        <f>'Reported burning'!F2648</f>
        <v>ND</v>
      </c>
      <c r="G2642" s="156" t="str">
        <f>'Reported burning'!G2648</f>
        <v>ND</v>
      </c>
      <c r="H2642" s="156" t="str">
        <f>'Reported burning'!H2648</f>
        <v>Presence</v>
      </c>
      <c r="I2642" s="5">
        <f>'Reported burning'!I2648</f>
        <v>2009</v>
      </c>
      <c r="J2642" s="205" t="s">
        <v>2276</v>
      </c>
      <c r="K2642" s="205" t="s">
        <v>2276</v>
      </c>
      <c r="L2642" s="205" t="s">
        <v>2276</v>
      </c>
      <c r="M2642" s="205" t="s">
        <v>2276</v>
      </c>
      <c r="N2642" s="205" t="s">
        <v>2276</v>
      </c>
      <c r="O2642" s="205" t="s">
        <v>2276</v>
      </c>
      <c r="P2642" s="205" t="s">
        <v>2276</v>
      </c>
      <c r="Q2642" s="205" t="s">
        <v>2276</v>
      </c>
      <c r="R2642" s="205" t="s">
        <v>2276</v>
      </c>
      <c r="S2642" s="205" t="s">
        <v>2276</v>
      </c>
      <c r="T2642" s="205" t="s">
        <v>2276</v>
      </c>
      <c r="U2642" s="205" t="s">
        <v>2276</v>
      </c>
      <c r="V2642" s="205" t="s">
        <v>2276</v>
      </c>
      <c r="W2642" s="205" t="s">
        <v>2276</v>
      </c>
      <c r="X2642" s="205" t="s">
        <v>35</v>
      </c>
      <c r="Y2642" s="205" t="s">
        <v>38</v>
      </c>
      <c r="Z2642" s="205" t="s">
        <v>64</v>
      </c>
      <c r="AA2642" s="205" t="s">
        <v>7699</v>
      </c>
      <c r="AB2642" s="205"/>
    </row>
    <row r="2643" spans="1:28" ht="33.5" customHeight="1">
      <c r="A2643" s="156" t="str">
        <f>'Reported burning'!A2649</f>
        <v>305j</v>
      </c>
      <c r="B2643" s="156" t="str">
        <f>'Reported burning'!B2649</f>
        <v>305j.9</v>
      </c>
      <c r="C2643" s="156" t="str">
        <f>'Reported burning'!C2649</f>
        <v>Human, deliberate</v>
      </c>
      <c r="D2643" s="156" t="str">
        <f>'Reported burning'!D2649</f>
        <v>Pyrome management</v>
      </c>
      <c r="E2643" s="156" t="str">
        <f>'Reported burning'!E2649</f>
        <v>Fire suppression agent</v>
      </c>
      <c r="F2643" s="156" t="str">
        <f>'Reported burning'!F2649</f>
        <v>ND</v>
      </c>
      <c r="G2643" s="156" t="str">
        <f>'Reported burning'!G2649</f>
        <v>ND</v>
      </c>
      <c r="H2643" s="156" t="str">
        <f>'Reported burning'!H2649</f>
        <v>Presence</v>
      </c>
      <c r="I2643" s="5">
        <f>'Reported burning'!I2649</f>
        <v>2009</v>
      </c>
      <c r="J2643" s="205" t="s">
        <v>2276</v>
      </c>
      <c r="K2643" s="205" t="s">
        <v>2276</v>
      </c>
      <c r="L2643" s="205" t="s">
        <v>2276</v>
      </c>
      <c r="M2643" s="205" t="s">
        <v>2276</v>
      </c>
      <c r="N2643" s="205" t="s">
        <v>2276</v>
      </c>
      <c r="O2643" s="205" t="s">
        <v>2276</v>
      </c>
      <c r="P2643" s="205" t="s">
        <v>2276</v>
      </c>
      <c r="Q2643" s="205" t="s">
        <v>2276</v>
      </c>
      <c r="R2643" s="205" t="s">
        <v>2276</v>
      </c>
      <c r="S2643" s="205" t="s">
        <v>2276</v>
      </c>
      <c r="T2643" s="205" t="s">
        <v>2276</v>
      </c>
      <c r="U2643" s="205" t="s">
        <v>2276</v>
      </c>
      <c r="V2643" s="205" t="s">
        <v>2276</v>
      </c>
      <c r="W2643" s="205" t="s">
        <v>2276</v>
      </c>
      <c r="X2643" s="205" t="s">
        <v>35</v>
      </c>
      <c r="Y2643" s="205" t="s">
        <v>38</v>
      </c>
      <c r="Z2643" s="205" t="s">
        <v>64</v>
      </c>
      <c r="AA2643" s="205" t="s">
        <v>7699</v>
      </c>
      <c r="AB2643" s="205"/>
    </row>
    <row r="2644" spans="1:28" ht="33.5" customHeight="1">
      <c r="A2644" s="156" t="str">
        <f>'Reported burning'!A2650</f>
        <v>305k</v>
      </c>
      <c r="B2644" s="156" t="str">
        <f>'Reported burning'!B2650</f>
        <v>305k.9</v>
      </c>
      <c r="C2644" s="156" t="str">
        <f>'Reported burning'!C2650</f>
        <v>Human, deliberate</v>
      </c>
      <c r="D2644" s="156" t="str">
        <f>'Reported burning'!D2650</f>
        <v>Pyrome management</v>
      </c>
      <c r="E2644" s="156" t="str">
        <f>'Reported burning'!E2650</f>
        <v>Fire suppression agent</v>
      </c>
      <c r="F2644" s="156" t="str">
        <f>'Reported burning'!F2650</f>
        <v>ND</v>
      </c>
      <c r="G2644" s="156" t="str">
        <f>'Reported burning'!G2650</f>
        <v>ND</v>
      </c>
      <c r="H2644" s="156" t="str">
        <f>'Reported burning'!H2650</f>
        <v>Presence</v>
      </c>
      <c r="I2644" s="5">
        <f>'Reported burning'!I2650</f>
        <v>2009</v>
      </c>
      <c r="J2644" s="205" t="s">
        <v>2276</v>
      </c>
      <c r="K2644" s="205" t="s">
        <v>2276</v>
      </c>
      <c r="L2644" s="205" t="s">
        <v>2276</v>
      </c>
      <c r="M2644" s="205" t="s">
        <v>2276</v>
      </c>
      <c r="N2644" s="205" t="s">
        <v>2276</v>
      </c>
      <c r="O2644" s="205" t="s">
        <v>2276</v>
      </c>
      <c r="P2644" s="205" t="s">
        <v>2276</v>
      </c>
      <c r="Q2644" s="205" t="s">
        <v>2276</v>
      </c>
      <c r="R2644" s="205" t="s">
        <v>2276</v>
      </c>
      <c r="S2644" s="205" t="s">
        <v>2276</v>
      </c>
      <c r="T2644" s="205" t="s">
        <v>2276</v>
      </c>
      <c r="U2644" s="205" t="s">
        <v>2276</v>
      </c>
      <c r="V2644" s="205" t="s">
        <v>2276</v>
      </c>
      <c r="W2644" s="205" t="s">
        <v>2276</v>
      </c>
      <c r="X2644" s="205" t="s">
        <v>35</v>
      </c>
      <c r="Y2644" s="205" t="s">
        <v>38</v>
      </c>
      <c r="Z2644" s="205" t="s">
        <v>64</v>
      </c>
      <c r="AA2644" s="205" t="s">
        <v>7699</v>
      </c>
      <c r="AB2644" s="205"/>
    </row>
    <row r="2645" spans="1:28" ht="33.5" customHeight="1">
      <c r="A2645" s="156" t="str">
        <f>'Reported burning'!A2651</f>
        <v>305l</v>
      </c>
      <c r="B2645" s="156" t="str">
        <f>'Reported burning'!B2651</f>
        <v>305l.9</v>
      </c>
      <c r="C2645" s="156" t="str">
        <f>'Reported burning'!C2651</f>
        <v>Human, deliberate</v>
      </c>
      <c r="D2645" s="156" t="str">
        <f>'Reported burning'!D2651</f>
        <v>Pyrome management</v>
      </c>
      <c r="E2645" s="156" t="str">
        <f>'Reported burning'!E2651</f>
        <v>Fire suppression agent</v>
      </c>
      <c r="F2645" s="156" t="str">
        <f>'Reported burning'!F2651</f>
        <v>ND</v>
      </c>
      <c r="G2645" s="156" t="str">
        <f>'Reported burning'!G2651</f>
        <v>ND</v>
      </c>
      <c r="H2645" s="156" t="str">
        <f>'Reported burning'!H2651</f>
        <v>Presence</v>
      </c>
      <c r="I2645" s="5">
        <f>'Reported burning'!I2651</f>
        <v>2009</v>
      </c>
      <c r="J2645" s="205" t="s">
        <v>2276</v>
      </c>
      <c r="K2645" s="205" t="s">
        <v>2276</v>
      </c>
      <c r="L2645" s="205" t="s">
        <v>2276</v>
      </c>
      <c r="M2645" s="205" t="s">
        <v>2276</v>
      </c>
      <c r="N2645" s="205" t="s">
        <v>2276</v>
      </c>
      <c r="O2645" s="205" t="s">
        <v>2276</v>
      </c>
      <c r="P2645" s="205" t="s">
        <v>2276</v>
      </c>
      <c r="Q2645" s="205" t="s">
        <v>2276</v>
      </c>
      <c r="R2645" s="205" t="s">
        <v>2276</v>
      </c>
      <c r="S2645" s="205" t="s">
        <v>2276</v>
      </c>
      <c r="T2645" s="205" t="s">
        <v>2276</v>
      </c>
      <c r="U2645" s="205" t="s">
        <v>2276</v>
      </c>
      <c r="V2645" s="205" t="s">
        <v>2276</v>
      </c>
      <c r="W2645" s="205" t="s">
        <v>2276</v>
      </c>
      <c r="X2645" s="205" t="s">
        <v>35</v>
      </c>
      <c r="Y2645" s="205" t="s">
        <v>38</v>
      </c>
      <c r="Z2645" s="205" t="s">
        <v>64</v>
      </c>
      <c r="AA2645" s="205" t="s">
        <v>7699</v>
      </c>
      <c r="AB2645" s="205"/>
    </row>
    <row r="2646" spans="1:28" ht="33.5" customHeight="1">
      <c r="A2646" s="156" t="str">
        <f>'Reported burning'!A2652</f>
        <v>305m</v>
      </c>
      <c r="B2646" s="156" t="str">
        <f>'Reported burning'!B2652</f>
        <v>305m.9</v>
      </c>
      <c r="C2646" s="156" t="str">
        <f>'Reported burning'!C2652</f>
        <v>Human, deliberate</v>
      </c>
      <c r="D2646" s="156" t="str">
        <f>'Reported burning'!D2652</f>
        <v>Pyrome management</v>
      </c>
      <c r="E2646" s="156" t="str">
        <f>'Reported burning'!E2652</f>
        <v>Fire suppression agent</v>
      </c>
      <c r="F2646" s="156" t="str">
        <f>'Reported burning'!F2652</f>
        <v>ND</v>
      </c>
      <c r="G2646" s="156" t="str">
        <f>'Reported burning'!G2652</f>
        <v>ND</v>
      </c>
      <c r="H2646" s="156" t="str">
        <f>'Reported burning'!H2652</f>
        <v>Presence</v>
      </c>
      <c r="I2646" s="5">
        <f>'Reported burning'!I2652</f>
        <v>2009</v>
      </c>
      <c r="J2646" s="205" t="s">
        <v>2276</v>
      </c>
      <c r="K2646" s="205" t="s">
        <v>2276</v>
      </c>
      <c r="L2646" s="205" t="s">
        <v>2276</v>
      </c>
      <c r="M2646" s="205" t="s">
        <v>2276</v>
      </c>
      <c r="N2646" s="205" t="s">
        <v>2276</v>
      </c>
      <c r="O2646" s="205" t="s">
        <v>2276</v>
      </c>
      <c r="P2646" s="205" t="s">
        <v>2276</v>
      </c>
      <c r="Q2646" s="205" t="s">
        <v>2276</v>
      </c>
      <c r="R2646" s="205" t="s">
        <v>2276</v>
      </c>
      <c r="S2646" s="205" t="s">
        <v>2276</v>
      </c>
      <c r="T2646" s="205" t="s">
        <v>2276</v>
      </c>
      <c r="U2646" s="205" t="s">
        <v>2276</v>
      </c>
      <c r="V2646" s="205" t="s">
        <v>2276</v>
      </c>
      <c r="W2646" s="205" t="s">
        <v>2276</v>
      </c>
      <c r="X2646" s="205" t="s">
        <v>35</v>
      </c>
      <c r="Y2646" s="205" t="s">
        <v>38</v>
      </c>
      <c r="Z2646" s="205" t="s">
        <v>64</v>
      </c>
      <c r="AA2646" s="205" t="s">
        <v>7699</v>
      </c>
      <c r="AB2646" s="205"/>
    </row>
    <row r="2647" spans="1:28" ht="33.5" customHeight="1">
      <c r="A2647" s="156" t="str">
        <f>'Reported burning'!A2653</f>
        <v>305i</v>
      </c>
      <c r="B2647" s="156" t="str">
        <f>'Reported burning'!B2653</f>
        <v>305i.10</v>
      </c>
      <c r="C2647" s="156" t="str">
        <f>'Reported burning'!C2653</f>
        <v>Human, deliberate</v>
      </c>
      <c r="D2647" s="156" t="str">
        <f>'Reported burning'!D2653</f>
        <v>Pyrome management</v>
      </c>
      <c r="E2647" s="156" t="str">
        <f>'Reported burning'!E2653</f>
        <v>Fire suppression agent</v>
      </c>
      <c r="F2647" s="156" t="str">
        <f>'Reported burning'!F2653</f>
        <v>ND</v>
      </c>
      <c r="G2647" s="156" t="str">
        <f>'Reported burning'!G2653</f>
        <v>ND</v>
      </c>
      <c r="H2647" s="156" t="str">
        <f>'Reported burning'!H2653</f>
        <v>Presence</v>
      </c>
      <c r="I2647" s="5">
        <f>'Reported burning'!I2653</f>
        <v>2010</v>
      </c>
      <c r="J2647" s="205" t="s">
        <v>2276</v>
      </c>
      <c r="K2647" s="205" t="s">
        <v>2276</v>
      </c>
      <c r="L2647" s="205" t="s">
        <v>2276</v>
      </c>
      <c r="M2647" s="205" t="s">
        <v>2276</v>
      </c>
      <c r="N2647" s="205" t="s">
        <v>2276</v>
      </c>
      <c r="O2647" s="205" t="s">
        <v>2276</v>
      </c>
      <c r="P2647" s="205" t="s">
        <v>2276</v>
      </c>
      <c r="Q2647" s="205" t="s">
        <v>2276</v>
      </c>
      <c r="R2647" s="205" t="s">
        <v>2276</v>
      </c>
      <c r="S2647" s="205" t="s">
        <v>2276</v>
      </c>
      <c r="T2647" s="205" t="s">
        <v>2276</v>
      </c>
      <c r="U2647" s="205" t="s">
        <v>2276</v>
      </c>
      <c r="V2647" s="205" t="s">
        <v>2276</v>
      </c>
      <c r="W2647" s="205" t="s">
        <v>2276</v>
      </c>
      <c r="X2647" s="205" t="s">
        <v>35</v>
      </c>
      <c r="Y2647" s="205" t="s">
        <v>38</v>
      </c>
      <c r="Z2647" s="205" t="s">
        <v>64</v>
      </c>
      <c r="AA2647" s="205" t="s">
        <v>7699</v>
      </c>
      <c r="AB2647" s="205"/>
    </row>
    <row r="2648" spans="1:28" ht="33.5" customHeight="1">
      <c r="A2648" s="156" t="str">
        <f>'Reported burning'!A2654</f>
        <v>305j</v>
      </c>
      <c r="B2648" s="156" t="str">
        <f>'Reported burning'!B2654</f>
        <v>305j.10</v>
      </c>
      <c r="C2648" s="156" t="str">
        <f>'Reported burning'!C2654</f>
        <v>Human, deliberate</v>
      </c>
      <c r="D2648" s="156" t="str">
        <f>'Reported burning'!D2654</f>
        <v>Pyrome management</v>
      </c>
      <c r="E2648" s="156" t="str">
        <f>'Reported burning'!E2654</f>
        <v>Fire suppression agent</v>
      </c>
      <c r="F2648" s="156" t="str">
        <f>'Reported burning'!F2654</f>
        <v>ND</v>
      </c>
      <c r="G2648" s="156" t="str">
        <f>'Reported burning'!G2654</f>
        <v>ND</v>
      </c>
      <c r="H2648" s="156" t="str">
        <f>'Reported burning'!H2654</f>
        <v>Presence</v>
      </c>
      <c r="I2648" s="5">
        <f>'Reported burning'!I2654</f>
        <v>2010</v>
      </c>
      <c r="J2648" s="205" t="s">
        <v>2276</v>
      </c>
      <c r="K2648" s="205" t="s">
        <v>2276</v>
      </c>
      <c r="L2648" s="205" t="s">
        <v>2276</v>
      </c>
      <c r="M2648" s="205" t="s">
        <v>2276</v>
      </c>
      <c r="N2648" s="205" t="s">
        <v>2276</v>
      </c>
      <c r="O2648" s="205" t="s">
        <v>2276</v>
      </c>
      <c r="P2648" s="205" t="s">
        <v>2276</v>
      </c>
      <c r="Q2648" s="205" t="s">
        <v>2276</v>
      </c>
      <c r="R2648" s="205" t="s">
        <v>2276</v>
      </c>
      <c r="S2648" s="205" t="s">
        <v>2276</v>
      </c>
      <c r="T2648" s="205" t="s">
        <v>2276</v>
      </c>
      <c r="U2648" s="205" t="s">
        <v>2276</v>
      </c>
      <c r="V2648" s="205" t="s">
        <v>2276</v>
      </c>
      <c r="W2648" s="205" t="s">
        <v>2276</v>
      </c>
      <c r="X2648" s="205" t="s">
        <v>35</v>
      </c>
      <c r="Y2648" s="205" t="s">
        <v>38</v>
      </c>
      <c r="Z2648" s="205" t="s">
        <v>64</v>
      </c>
      <c r="AA2648" s="205" t="s">
        <v>7699</v>
      </c>
      <c r="AB2648" s="205"/>
    </row>
    <row r="2649" spans="1:28" ht="33.5" customHeight="1">
      <c r="A2649" s="156" t="str">
        <f>'Reported burning'!A2655</f>
        <v>305k</v>
      </c>
      <c r="B2649" s="156" t="str">
        <f>'Reported burning'!B2655</f>
        <v>305k.10</v>
      </c>
      <c r="C2649" s="156" t="str">
        <f>'Reported burning'!C2655</f>
        <v>Human, deliberate</v>
      </c>
      <c r="D2649" s="156" t="str">
        <f>'Reported burning'!D2655</f>
        <v>Pyrome management</v>
      </c>
      <c r="E2649" s="156" t="str">
        <f>'Reported burning'!E2655</f>
        <v>Fire suppression agent</v>
      </c>
      <c r="F2649" s="156" t="str">
        <f>'Reported burning'!F2655</f>
        <v>ND</v>
      </c>
      <c r="G2649" s="156" t="str">
        <f>'Reported burning'!G2655</f>
        <v>ND</v>
      </c>
      <c r="H2649" s="156" t="str">
        <f>'Reported burning'!H2655</f>
        <v>Presence</v>
      </c>
      <c r="I2649" s="5">
        <f>'Reported burning'!I2655</f>
        <v>2010</v>
      </c>
      <c r="J2649" s="205" t="s">
        <v>2276</v>
      </c>
      <c r="K2649" s="205" t="s">
        <v>2276</v>
      </c>
      <c r="L2649" s="205" t="s">
        <v>2276</v>
      </c>
      <c r="M2649" s="205" t="s">
        <v>2276</v>
      </c>
      <c r="N2649" s="205" t="s">
        <v>2276</v>
      </c>
      <c r="O2649" s="205" t="s">
        <v>2276</v>
      </c>
      <c r="P2649" s="205" t="s">
        <v>2276</v>
      </c>
      <c r="Q2649" s="205" t="s">
        <v>2276</v>
      </c>
      <c r="R2649" s="205" t="s">
        <v>2276</v>
      </c>
      <c r="S2649" s="205" t="s">
        <v>2276</v>
      </c>
      <c r="T2649" s="205" t="s">
        <v>2276</v>
      </c>
      <c r="U2649" s="205" t="s">
        <v>2276</v>
      </c>
      <c r="V2649" s="205" t="s">
        <v>2276</v>
      </c>
      <c r="W2649" s="205" t="s">
        <v>2276</v>
      </c>
      <c r="X2649" s="205" t="s">
        <v>35</v>
      </c>
      <c r="Y2649" s="205" t="s">
        <v>38</v>
      </c>
      <c r="Z2649" s="205" t="s">
        <v>64</v>
      </c>
      <c r="AA2649" s="205" t="s">
        <v>7699</v>
      </c>
      <c r="AB2649" s="205"/>
    </row>
    <row r="2650" spans="1:28" ht="33.5" customHeight="1">
      <c r="A2650" s="156" t="str">
        <f>'Reported burning'!A2656</f>
        <v>305l</v>
      </c>
      <c r="B2650" s="156" t="str">
        <f>'Reported burning'!B2656</f>
        <v>305l.10</v>
      </c>
      <c r="C2650" s="156" t="str">
        <f>'Reported burning'!C2656</f>
        <v>Human, deliberate</v>
      </c>
      <c r="D2650" s="156" t="str">
        <f>'Reported burning'!D2656</f>
        <v>Pyrome management</v>
      </c>
      <c r="E2650" s="156" t="str">
        <f>'Reported burning'!E2656</f>
        <v>Fire suppression agent</v>
      </c>
      <c r="F2650" s="156" t="str">
        <f>'Reported burning'!F2656</f>
        <v>ND</v>
      </c>
      <c r="G2650" s="156" t="str">
        <f>'Reported burning'!G2656</f>
        <v>ND</v>
      </c>
      <c r="H2650" s="156" t="str">
        <f>'Reported burning'!H2656</f>
        <v>Presence</v>
      </c>
      <c r="I2650" s="5">
        <f>'Reported burning'!I2656</f>
        <v>2010</v>
      </c>
      <c r="J2650" s="205" t="s">
        <v>2276</v>
      </c>
      <c r="K2650" s="205" t="s">
        <v>2276</v>
      </c>
      <c r="L2650" s="205" t="s">
        <v>2276</v>
      </c>
      <c r="M2650" s="205" t="s">
        <v>2276</v>
      </c>
      <c r="N2650" s="205" t="s">
        <v>2276</v>
      </c>
      <c r="O2650" s="205" t="s">
        <v>2276</v>
      </c>
      <c r="P2650" s="205" t="s">
        <v>2276</v>
      </c>
      <c r="Q2650" s="205" t="s">
        <v>2276</v>
      </c>
      <c r="R2650" s="205" t="s">
        <v>2276</v>
      </c>
      <c r="S2650" s="205" t="s">
        <v>2276</v>
      </c>
      <c r="T2650" s="205" t="s">
        <v>2276</v>
      </c>
      <c r="U2650" s="205" t="s">
        <v>2276</v>
      </c>
      <c r="V2650" s="205" t="s">
        <v>2276</v>
      </c>
      <c r="W2650" s="205" t="s">
        <v>2276</v>
      </c>
      <c r="X2650" s="205" t="s">
        <v>35</v>
      </c>
      <c r="Y2650" s="205" t="s">
        <v>38</v>
      </c>
      <c r="Z2650" s="205" t="s">
        <v>64</v>
      </c>
      <c r="AA2650" s="205" t="s">
        <v>7699</v>
      </c>
      <c r="AB2650" s="205"/>
    </row>
    <row r="2651" spans="1:28" ht="33.5" customHeight="1">
      <c r="A2651" s="156" t="str">
        <f>'Reported burning'!A2657</f>
        <v>305m</v>
      </c>
      <c r="B2651" s="156" t="str">
        <f>'Reported burning'!B2657</f>
        <v>305m.10</v>
      </c>
      <c r="C2651" s="156" t="str">
        <f>'Reported burning'!C2657</f>
        <v>Human, deliberate</v>
      </c>
      <c r="D2651" s="156" t="str">
        <f>'Reported burning'!D2657</f>
        <v>Pyrome management</v>
      </c>
      <c r="E2651" s="156" t="str">
        <f>'Reported burning'!E2657</f>
        <v>Fire suppression agent</v>
      </c>
      <c r="F2651" s="156" t="str">
        <f>'Reported burning'!F2657</f>
        <v>ND</v>
      </c>
      <c r="G2651" s="156" t="str">
        <f>'Reported burning'!G2657</f>
        <v>ND</v>
      </c>
      <c r="H2651" s="156" t="str">
        <f>'Reported burning'!H2657</f>
        <v>Presence</v>
      </c>
      <c r="I2651" s="5">
        <f>'Reported burning'!I2657</f>
        <v>2010</v>
      </c>
      <c r="J2651" s="205" t="s">
        <v>2276</v>
      </c>
      <c r="K2651" s="205" t="s">
        <v>2276</v>
      </c>
      <c r="L2651" s="205" t="s">
        <v>2276</v>
      </c>
      <c r="M2651" s="205" t="s">
        <v>2276</v>
      </c>
      <c r="N2651" s="205" t="s">
        <v>2276</v>
      </c>
      <c r="O2651" s="205" t="s">
        <v>2276</v>
      </c>
      <c r="P2651" s="205" t="s">
        <v>2276</v>
      </c>
      <c r="Q2651" s="205" t="s">
        <v>2276</v>
      </c>
      <c r="R2651" s="205" t="s">
        <v>2276</v>
      </c>
      <c r="S2651" s="205" t="s">
        <v>2276</v>
      </c>
      <c r="T2651" s="205" t="s">
        <v>2276</v>
      </c>
      <c r="U2651" s="205" t="s">
        <v>2276</v>
      </c>
      <c r="V2651" s="205" t="s">
        <v>2276</v>
      </c>
      <c r="W2651" s="205" t="s">
        <v>2276</v>
      </c>
      <c r="X2651" s="205" t="s">
        <v>35</v>
      </c>
      <c r="Y2651" s="205" t="s">
        <v>38</v>
      </c>
      <c r="Z2651" s="205" t="s">
        <v>64</v>
      </c>
      <c r="AA2651" s="205" t="s">
        <v>7699</v>
      </c>
      <c r="AB2651" s="205"/>
    </row>
    <row r="2652" spans="1:28" ht="33.5" customHeight="1">
      <c r="A2652" s="156" t="str">
        <f>'Reported burning'!A2658</f>
        <v>305i</v>
      </c>
      <c r="B2652" s="156" t="str">
        <f>'Reported burning'!B2658</f>
        <v>305i.11</v>
      </c>
      <c r="C2652" s="156" t="str">
        <f>'Reported burning'!C2658</f>
        <v>Human, deliberate</v>
      </c>
      <c r="D2652" s="156" t="str">
        <f>'Reported burning'!D2658</f>
        <v>Pyrome management</v>
      </c>
      <c r="E2652" s="156" t="str">
        <f>'Reported burning'!E2658</f>
        <v>Fire suppression agent</v>
      </c>
      <c r="F2652" s="156" t="str">
        <f>'Reported burning'!F2658</f>
        <v>ND</v>
      </c>
      <c r="G2652" s="156" t="str">
        <f>'Reported burning'!G2658</f>
        <v>ND</v>
      </c>
      <c r="H2652" s="156" t="str">
        <f>'Reported burning'!H2658</f>
        <v>Presence</v>
      </c>
      <c r="I2652" s="5">
        <f>'Reported burning'!I2658</f>
        <v>2011</v>
      </c>
      <c r="J2652" s="205" t="s">
        <v>2276</v>
      </c>
      <c r="K2652" s="205" t="s">
        <v>2276</v>
      </c>
      <c r="L2652" s="205" t="s">
        <v>2276</v>
      </c>
      <c r="M2652" s="205" t="s">
        <v>2276</v>
      </c>
      <c r="N2652" s="205" t="s">
        <v>2276</v>
      </c>
      <c r="O2652" s="205" t="s">
        <v>2276</v>
      </c>
      <c r="P2652" s="205" t="s">
        <v>2276</v>
      </c>
      <c r="Q2652" s="205" t="s">
        <v>2276</v>
      </c>
      <c r="R2652" s="205" t="s">
        <v>2276</v>
      </c>
      <c r="S2652" s="205" t="s">
        <v>2276</v>
      </c>
      <c r="T2652" s="205" t="s">
        <v>2276</v>
      </c>
      <c r="U2652" s="205" t="s">
        <v>2276</v>
      </c>
      <c r="V2652" s="205" t="s">
        <v>2276</v>
      </c>
      <c r="W2652" s="205" t="s">
        <v>2276</v>
      </c>
      <c r="X2652" s="205" t="s">
        <v>35</v>
      </c>
      <c r="Y2652" s="205" t="s">
        <v>38</v>
      </c>
      <c r="Z2652" s="205" t="s">
        <v>64</v>
      </c>
      <c r="AA2652" s="205" t="s">
        <v>7699</v>
      </c>
      <c r="AB2652" s="205"/>
    </row>
    <row r="2653" spans="1:28" ht="33.5" customHeight="1">
      <c r="A2653" s="156" t="str">
        <f>'Reported burning'!A2659</f>
        <v>305j</v>
      </c>
      <c r="B2653" s="156" t="str">
        <f>'Reported burning'!B2659</f>
        <v>305j.11</v>
      </c>
      <c r="C2653" s="156" t="str">
        <f>'Reported burning'!C2659</f>
        <v>Human, deliberate</v>
      </c>
      <c r="D2653" s="156" t="str">
        <f>'Reported burning'!D2659</f>
        <v>Pyrome management</v>
      </c>
      <c r="E2653" s="156" t="str">
        <f>'Reported burning'!E2659</f>
        <v>Fire suppression agent</v>
      </c>
      <c r="F2653" s="156" t="str">
        <f>'Reported burning'!F2659</f>
        <v>ND</v>
      </c>
      <c r="G2653" s="156" t="str">
        <f>'Reported burning'!G2659</f>
        <v>ND</v>
      </c>
      <c r="H2653" s="156" t="str">
        <f>'Reported burning'!H2659</f>
        <v>Presence</v>
      </c>
      <c r="I2653" s="5">
        <f>'Reported burning'!I2659</f>
        <v>2011</v>
      </c>
      <c r="J2653" s="205" t="s">
        <v>2276</v>
      </c>
      <c r="K2653" s="205" t="s">
        <v>2276</v>
      </c>
      <c r="L2653" s="205" t="s">
        <v>2276</v>
      </c>
      <c r="M2653" s="205" t="s">
        <v>2276</v>
      </c>
      <c r="N2653" s="205" t="s">
        <v>2276</v>
      </c>
      <c r="O2653" s="205" t="s">
        <v>2276</v>
      </c>
      <c r="P2653" s="205" t="s">
        <v>2276</v>
      </c>
      <c r="Q2653" s="205" t="s">
        <v>2276</v>
      </c>
      <c r="R2653" s="205" t="s">
        <v>2276</v>
      </c>
      <c r="S2653" s="205" t="s">
        <v>2276</v>
      </c>
      <c r="T2653" s="205" t="s">
        <v>2276</v>
      </c>
      <c r="U2653" s="205" t="s">
        <v>2276</v>
      </c>
      <c r="V2653" s="205" t="s">
        <v>2276</v>
      </c>
      <c r="W2653" s="205" t="s">
        <v>2276</v>
      </c>
      <c r="X2653" s="205" t="s">
        <v>35</v>
      </c>
      <c r="Y2653" s="205" t="s">
        <v>38</v>
      </c>
      <c r="Z2653" s="205" t="s">
        <v>64</v>
      </c>
      <c r="AA2653" s="205" t="s">
        <v>7699</v>
      </c>
      <c r="AB2653" s="205"/>
    </row>
    <row r="2654" spans="1:28" ht="33.5" customHeight="1">
      <c r="A2654" s="156" t="str">
        <f>'Reported burning'!A2660</f>
        <v>305k</v>
      </c>
      <c r="B2654" s="156" t="str">
        <f>'Reported burning'!B2660</f>
        <v>305k.11</v>
      </c>
      <c r="C2654" s="156" t="str">
        <f>'Reported burning'!C2660</f>
        <v>Human, deliberate</v>
      </c>
      <c r="D2654" s="156" t="str">
        <f>'Reported burning'!D2660</f>
        <v>Pyrome management</v>
      </c>
      <c r="E2654" s="156" t="str">
        <f>'Reported burning'!E2660</f>
        <v>Fire suppression agent</v>
      </c>
      <c r="F2654" s="156" t="str">
        <f>'Reported burning'!F2660</f>
        <v>ND</v>
      </c>
      <c r="G2654" s="156" t="str">
        <f>'Reported burning'!G2660</f>
        <v>ND</v>
      </c>
      <c r="H2654" s="156" t="str">
        <f>'Reported burning'!H2660</f>
        <v>Presence</v>
      </c>
      <c r="I2654" s="5">
        <f>'Reported burning'!I2660</f>
        <v>2011</v>
      </c>
      <c r="J2654" s="205" t="s">
        <v>2276</v>
      </c>
      <c r="K2654" s="205" t="s">
        <v>2276</v>
      </c>
      <c r="L2654" s="205" t="s">
        <v>2276</v>
      </c>
      <c r="M2654" s="205" t="s">
        <v>2276</v>
      </c>
      <c r="N2654" s="205" t="s">
        <v>2276</v>
      </c>
      <c r="O2654" s="205" t="s">
        <v>2276</v>
      </c>
      <c r="P2654" s="205" t="s">
        <v>2276</v>
      </c>
      <c r="Q2654" s="205" t="s">
        <v>2276</v>
      </c>
      <c r="R2654" s="205" t="s">
        <v>2276</v>
      </c>
      <c r="S2654" s="205" t="s">
        <v>2276</v>
      </c>
      <c r="T2654" s="205" t="s">
        <v>2276</v>
      </c>
      <c r="U2654" s="205" t="s">
        <v>2276</v>
      </c>
      <c r="V2654" s="205" t="s">
        <v>2276</v>
      </c>
      <c r="W2654" s="205" t="s">
        <v>2276</v>
      </c>
      <c r="X2654" s="205" t="s">
        <v>35</v>
      </c>
      <c r="Y2654" s="205" t="s">
        <v>38</v>
      </c>
      <c r="Z2654" s="205" t="s">
        <v>64</v>
      </c>
      <c r="AA2654" s="205" t="s">
        <v>7699</v>
      </c>
      <c r="AB2654" s="205"/>
    </row>
    <row r="2655" spans="1:28" ht="33.5" customHeight="1">
      <c r="A2655" s="156" t="str">
        <f>'Reported burning'!A2661</f>
        <v>305l</v>
      </c>
      <c r="B2655" s="156" t="str">
        <f>'Reported burning'!B2661</f>
        <v>305l.11</v>
      </c>
      <c r="C2655" s="156" t="str">
        <f>'Reported burning'!C2661</f>
        <v>Human, deliberate</v>
      </c>
      <c r="D2655" s="156" t="str">
        <f>'Reported burning'!D2661</f>
        <v>Pyrome management</v>
      </c>
      <c r="E2655" s="156" t="str">
        <f>'Reported burning'!E2661</f>
        <v>Fire suppression agent</v>
      </c>
      <c r="F2655" s="156" t="str">
        <f>'Reported burning'!F2661</f>
        <v>ND</v>
      </c>
      <c r="G2655" s="156" t="str">
        <f>'Reported burning'!G2661</f>
        <v>ND</v>
      </c>
      <c r="H2655" s="156" t="str">
        <f>'Reported burning'!H2661</f>
        <v>Presence</v>
      </c>
      <c r="I2655" s="5">
        <f>'Reported burning'!I2661</f>
        <v>2011</v>
      </c>
      <c r="J2655" s="205" t="s">
        <v>2276</v>
      </c>
      <c r="K2655" s="205" t="s">
        <v>2276</v>
      </c>
      <c r="L2655" s="205" t="s">
        <v>2276</v>
      </c>
      <c r="M2655" s="205" t="s">
        <v>2276</v>
      </c>
      <c r="N2655" s="205" t="s">
        <v>2276</v>
      </c>
      <c r="O2655" s="205" t="s">
        <v>2276</v>
      </c>
      <c r="P2655" s="205" t="s">
        <v>2276</v>
      </c>
      <c r="Q2655" s="205" t="s">
        <v>2276</v>
      </c>
      <c r="R2655" s="205" t="s">
        <v>2276</v>
      </c>
      <c r="S2655" s="205" t="s">
        <v>2276</v>
      </c>
      <c r="T2655" s="205" t="s">
        <v>2276</v>
      </c>
      <c r="U2655" s="205" t="s">
        <v>2276</v>
      </c>
      <c r="V2655" s="205" t="s">
        <v>2276</v>
      </c>
      <c r="W2655" s="205" t="s">
        <v>2276</v>
      </c>
      <c r="X2655" s="205" t="s">
        <v>35</v>
      </c>
      <c r="Y2655" s="205" t="s">
        <v>38</v>
      </c>
      <c r="Z2655" s="205" t="s">
        <v>64</v>
      </c>
      <c r="AA2655" s="205" t="s">
        <v>7699</v>
      </c>
      <c r="AB2655" s="205"/>
    </row>
    <row r="2656" spans="1:28" ht="33.5" customHeight="1">
      <c r="A2656" s="156" t="str">
        <f>'Reported burning'!A2662</f>
        <v>305m</v>
      </c>
      <c r="B2656" s="156" t="str">
        <f>'Reported burning'!B2662</f>
        <v>305m.11</v>
      </c>
      <c r="C2656" s="156" t="str">
        <f>'Reported burning'!C2662</f>
        <v>Human, deliberate</v>
      </c>
      <c r="D2656" s="156" t="str">
        <f>'Reported burning'!D2662</f>
        <v>Pyrome management</v>
      </c>
      <c r="E2656" s="156" t="str">
        <f>'Reported burning'!E2662</f>
        <v>Fire suppression agent</v>
      </c>
      <c r="F2656" s="156" t="str">
        <f>'Reported burning'!F2662</f>
        <v>ND</v>
      </c>
      <c r="G2656" s="156" t="str">
        <f>'Reported burning'!G2662</f>
        <v>ND</v>
      </c>
      <c r="H2656" s="156" t="str">
        <f>'Reported burning'!H2662</f>
        <v>Presence</v>
      </c>
      <c r="I2656" s="5">
        <f>'Reported burning'!I2662</f>
        <v>2011</v>
      </c>
      <c r="J2656" s="205" t="s">
        <v>2276</v>
      </c>
      <c r="K2656" s="205" t="s">
        <v>2276</v>
      </c>
      <c r="L2656" s="205" t="s">
        <v>2276</v>
      </c>
      <c r="M2656" s="205" t="s">
        <v>2276</v>
      </c>
      <c r="N2656" s="205" t="s">
        <v>2276</v>
      </c>
      <c r="O2656" s="205" t="s">
        <v>2276</v>
      </c>
      <c r="P2656" s="205" t="s">
        <v>2276</v>
      </c>
      <c r="Q2656" s="205" t="s">
        <v>2276</v>
      </c>
      <c r="R2656" s="205" t="s">
        <v>2276</v>
      </c>
      <c r="S2656" s="205" t="s">
        <v>2276</v>
      </c>
      <c r="T2656" s="205" t="s">
        <v>2276</v>
      </c>
      <c r="U2656" s="205" t="s">
        <v>2276</v>
      </c>
      <c r="V2656" s="205" t="s">
        <v>2276</v>
      </c>
      <c r="W2656" s="205" t="s">
        <v>2276</v>
      </c>
      <c r="X2656" s="205" t="s">
        <v>35</v>
      </c>
      <c r="Y2656" s="205" t="s">
        <v>38</v>
      </c>
      <c r="Z2656" s="205" t="s">
        <v>64</v>
      </c>
      <c r="AA2656" s="205" t="s">
        <v>7699</v>
      </c>
      <c r="AB2656" s="205"/>
    </row>
    <row r="2657" spans="1:28" ht="33.5" customHeight="1">
      <c r="A2657" s="156" t="str">
        <f>'Reported burning'!A2663</f>
        <v>305i</v>
      </c>
      <c r="B2657" s="156" t="str">
        <f>'Reported burning'!B2663</f>
        <v>305i.12</v>
      </c>
      <c r="C2657" s="156" t="str">
        <f>'Reported burning'!C2663</f>
        <v>Human, deliberate</v>
      </c>
      <c r="D2657" s="156" t="str">
        <f>'Reported burning'!D2663</f>
        <v>Pyrome management</v>
      </c>
      <c r="E2657" s="156" t="str">
        <f>'Reported burning'!E2663</f>
        <v>Fire suppression agent</v>
      </c>
      <c r="F2657" s="156" t="str">
        <f>'Reported burning'!F2663</f>
        <v>ND</v>
      </c>
      <c r="G2657" s="156" t="str">
        <f>'Reported burning'!G2663</f>
        <v>ND</v>
      </c>
      <c r="H2657" s="156" t="str">
        <f>'Reported burning'!H2663</f>
        <v>Presence</v>
      </c>
      <c r="I2657" s="5">
        <f>'Reported burning'!I2663</f>
        <v>2012</v>
      </c>
      <c r="J2657" s="205" t="s">
        <v>2276</v>
      </c>
      <c r="K2657" s="205" t="s">
        <v>2276</v>
      </c>
      <c r="L2657" s="205" t="s">
        <v>2276</v>
      </c>
      <c r="M2657" s="205" t="s">
        <v>2276</v>
      </c>
      <c r="N2657" s="205" t="s">
        <v>2276</v>
      </c>
      <c r="O2657" s="205" t="s">
        <v>2276</v>
      </c>
      <c r="P2657" s="205" t="s">
        <v>2276</v>
      </c>
      <c r="Q2657" s="205" t="s">
        <v>2276</v>
      </c>
      <c r="R2657" s="205" t="s">
        <v>2276</v>
      </c>
      <c r="S2657" s="205" t="s">
        <v>2276</v>
      </c>
      <c r="T2657" s="205" t="s">
        <v>2276</v>
      </c>
      <c r="U2657" s="205" t="s">
        <v>2276</v>
      </c>
      <c r="V2657" s="205" t="s">
        <v>2276</v>
      </c>
      <c r="W2657" s="205" t="s">
        <v>2276</v>
      </c>
      <c r="X2657" s="205" t="s">
        <v>35</v>
      </c>
      <c r="Y2657" s="205" t="s">
        <v>38</v>
      </c>
      <c r="Z2657" s="205" t="s">
        <v>64</v>
      </c>
      <c r="AA2657" s="205" t="s">
        <v>7699</v>
      </c>
      <c r="AB2657" s="205"/>
    </row>
    <row r="2658" spans="1:28" ht="33.5" customHeight="1">
      <c r="A2658" s="156" t="str">
        <f>'Reported burning'!A2664</f>
        <v>305j</v>
      </c>
      <c r="B2658" s="156" t="str">
        <f>'Reported burning'!B2664</f>
        <v>305j.12</v>
      </c>
      <c r="C2658" s="156" t="str">
        <f>'Reported burning'!C2664</f>
        <v>Human, deliberate</v>
      </c>
      <c r="D2658" s="156" t="str">
        <f>'Reported burning'!D2664</f>
        <v>Pyrome management</v>
      </c>
      <c r="E2658" s="156" t="str">
        <f>'Reported burning'!E2664</f>
        <v>Fire suppression agent</v>
      </c>
      <c r="F2658" s="156" t="str">
        <f>'Reported burning'!F2664</f>
        <v>ND</v>
      </c>
      <c r="G2658" s="156" t="str">
        <f>'Reported burning'!G2664</f>
        <v>ND</v>
      </c>
      <c r="H2658" s="156" t="str">
        <f>'Reported burning'!H2664</f>
        <v>Presence</v>
      </c>
      <c r="I2658" s="5">
        <f>'Reported burning'!I2664</f>
        <v>2012</v>
      </c>
      <c r="J2658" s="205" t="s">
        <v>2276</v>
      </c>
      <c r="K2658" s="205" t="s">
        <v>2276</v>
      </c>
      <c r="L2658" s="205" t="s">
        <v>2276</v>
      </c>
      <c r="M2658" s="205" t="s">
        <v>2276</v>
      </c>
      <c r="N2658" s="205" t="s">
        <v>2276</v>
      </c>
      <c r="O2658" s="205" t="s">
        <v>2276</v>
      </c>
      <c r="P2658" s="205" t="s">
        <v>2276</v>
      </c>
      <c r="Q2658" s="205" t="s">
        <v>2276</v>
      </c>
      <c r="R2658" s="205" t="s">
        <v>2276</v>
      </c>
      <c r="S2658" s="205" t="s">
        <v>2276</v>
      </c>
      <c r="T2658" s="205" t="s">
        <v>2276</v>
      </c>
      <c r="U2658" s="205" t="s">
        <v>2276</v>
      </c>
      <c r="V2658" s="205" t="s">
        <v>2276</v>
      </c>
      <c r="W2658" s="205" t="s">
        <v>2276</v>
      </c>
      <c r="X2658" s="205" t="s">
        <v>35</v>
      </c>
      <c r="Y2658" s="205" t="s">
        <v>38</v>
      </c>
      <c r="Z2658" s="205" t="s">
        <v>64</v>
      </c>
      <c r="AA2658" s="205" t="s">
        <v>7699</v>
      </c>
      <c r="AB2658" s="205"/>
    </row>
    <row r="2659" spans="1:28" ht="33.5" customHeight="1">
      <c r="A2659" s="156" t="str">
        <f>'Reported burning'!A2665</f>
        <v>305k</v>
      </c>
      <c r="B2659" s="156" t="str">
        <f>'Reported burning'!B2665</f>
        <v>305k.12</v>
      </c>
      <c r="C2659" s="156" t="str">
        <f>'Reported burning'!C2665</f>
        <v>Human, deliberate</v>
      </c>
      <c r="D2659" s="156" t="str">
        <f>'Reported burning'!D2665</f>
        <v>Pyrome management</v>
      </c>
      <c r="E2659" s="156" t="str">
        <f>'Reported burning'!E2665</f>
        <v>Fire suppression agent</v>
      </c>
      <c r="F2659" s="156" t="str">
        <f>'Reported burning'!F2665</f>
        <v>ND</v>
      </c>
      <c r="G2659" s="156" t="str">
        <f>'Reported burning'!G2665</f>
        <v>ND</v>
      </c>
      <c r="H2659" s="156" t="str">
        <f>'Reported burning'!H2665</f>
        <v>Presence</v>
      </c>
      <c r="I2659" s="5">
        <f>'Reported burning'!I2665</f>
        <v>2012</v>
      </c>
      <c r="J2659" s="205" t="s">
        <v>2276</v>
      </c>
      <c r="K2659" s="205" t="s">
        <v>2276</v>
      </c>
      <c r="L2659" s="205" t="s">
        <v>2276</v>
      </c>
      <c r="M2659" s="205" t="s">
        <v>2276</v>
      </c>
      <c r="N2659" s="205" t="s">
        <v>2276</v>
      </c>
      <c r="O2659" s="205" t="s">
        <v>2276</v>
      </c>
      <c r="P2659" s="205" t="s">
        <v>2276</v>
      </c>
      <c r="Q2659" s="205" t="s">
        <v>2276</v>
      </c>
      <c r="R2659" s="205" t="s">
        <v>2276</v>
      </c>
      <c r="S2659" s="205" t="s">
        <v>2276</v>
      </c>
      <c r="T2659" s="205" t="s">
        <v>2276</v>
      </c>
      <c r="U2659" s="205" t="s">
        <v>2276</v>
      </c>
      <c r="V2659" s="205" t="s">
        <v>2276</v>
      </c>
      <c r="W2659" s="205" t="s">
        <v>2276</v>
      </c>
      <c r="X2659" s="205" t="s">
        <v>35</v>
      </c>
      <c r="Y2659" s="205" t="s">
        <v>38</v>
      </c>
      <c r="Z2659" s="205" t="s">
        <v>64</v>
      </c>
      <c r="AA2659" s="205" t="s">
        <v>7699</v>
      </c>
      <c r="AB2659" s="205"/>
    </row>
    <row r="2660" spans="1:28" ht="33.5" customHeight="1">
      <c r="A2660" s="156" t="str">
        <f>'Reported burning'!A2666</f>
        <v>305l</v>
      </c>
      <c r="B2660" s="156" t="str">
        <f>'Reported burning'!B2666</f>
        <v>305l.12</v>
      </c>
      <c r="C2660" s="156" t="str">
        <f>'Reported burning'!C2666</f>
        <v>Human, deliberate</v>
      </c>
      <c r="D2660" s="156" t="str">
        <f>'Reported burning'!D2666</f>
        <v>Pyrome management</v>
      </c>
      <c r="E2660" s="156" t="str">
        <f>'Reported burning'!E2666</f>
        <v>Fire suppression agent</v>
      </c>
      <c r="F2660" s="156" t="str">
        <f>'Reported burning'!F2666</f>
        <v>ND</v>
      </c>
      <c r="G2660" s="156" t="str">
        <f>'Reported burning'!G2666</f>
        <v>ND</v>
      </c>
      <c r="H2660" s="156" t="str">
        <f>'Reported burning'!H2666</f>
        <v>Presence</v>
      </c>
      <c r="I2660" s="5">
        <f>'Reported burning'!I2666</f>
        <v>2012</v>
      </c>
      <c r="J2660" s="205" t="s">
        <v>2276</v>
      </c>
      <c r="K2660" s="205" t="s">
        <v>2276</v>
      </c>
      <c r="L2660" s="205" t="s">
        <v>2276</v>
      </c>
      <c r="M2660" s="205" t="s">
        <v>2276</v>
      </c>
      <c r="N2660" s="205" t="s">
        <v>2276</v>
      </c>
      <c r="O2660" s="205" t="s">
        <v>2276</v>
      </c>
      <c r="P2660" s="205" t="s">
        <v>2276</v>
      </c>
      <c r="Q2660" s="205" t="s">
        <v>2276</v>
      </c>
      <c r="R2660" s="205" t="s">
        <v>2276</v>
      </c>
      <c r="S2660" s="205" t="s">
        <v>2276</v>
      </c>
      <c r="T2660" s="205" t="s">
        <v>2276</v>
      </c>
      <c r="U2660" s="205" t="s">
        <v>2276</v>
      </c>
      <c r="V2660" s="205" t="s">
        <v>2276</v>
      </c>
      <c r="W2660" s="205" t="s">
        <v>2276</v>
      </c>
      <c r="X2660" s="205" t="s">
        <v>35</v>
      </c>
      <c r="Y2660" s="205" t="s">
        <v>38</v>
      </c>
      <c r="Z2660" s="205" t="s">
        <v>64</v>
      </c>
      <c r="AA2660" s="205" t="s">
        <v>7699</v>
      </c>
      <c r="AB2660" s="205"/>
    </row>
    <row r="2661" spans="1:28" ht="33.5" customHeight="1">
      <c r="A2661" s="156" t="str">
        <f>'Reported burning'!A2667</f>
        <v>305m</v>
      </c>
      <c r="B2661" s="156" t="str">
        <f>'Reported burning'!B2667</f>
        <v>305m.12</v>
      </c>
      <c r="C2661" s="156" t="str">
        <f>'Reported burning'!C2667</f>
        <v>Human, deliberate</v>
      </c>
      <c r="D2661" s="156" t="str">
        <f>'Reported burning'!D2667</f>
        <v>Pyrome management</v>
      </c>
      <c r="E2661" s="156" t="str">
        <f>'Reported burning'!E2667</f>
        <v>Fire suppression agent</v>
      </c>
      <c r="F2661" s="156" t="str">
        <f>'Reported burning'!F2667</f>
        <v>ND</v>
      </c>
      <c r="G2661" s="156" t="str">
        <f>'Reported burning'!G2667</f>
        <v>ND</v>
      </c>
      <c r="H2661" s="156" t="str">
        <f>'Reported burning'!H2667</f>
        <v>Presence</v>
      </c>
      <c r="I2661" s="5">
        <f>'Reported burning'!I2667</f>
        <v>2012</v>
      </c>
      <c r="J2661" s="205" t="s">
        <v>2276</v>
      </c>
      <c r="K2661" s="205" t="s">
        <v>2276</v>
      </c>
      <c r="L2661" s="205" t="s">
        <v>2276</v>
      </c>
      <c r="M2661" s="205" t="s">
        <v>2276</v>
      </c>
      <c r="N2661" s="205" t="s">
        <v>2276</v>
      </c>
      <c r="O2661" s="205" t="s">
        <v>2276</v>
      </c>
      <c r="P2661" s="205" t="s">
        <v>2276</v>
      </c>
      <c r="Q2661" s="205" t="s">
        <v>2276</v>
      </c>
      <c r="R2661" s="205" t="s">
        <v>2276</v>
      </c>
      <c r="S2661" s="205" t="s">
        <v>2276</v>
      </c>
      <c r="T2661" s="205" t="s">
        <v>2276</v>
      </c>
      <c r="U2661" s="205" t="s">
        <v>2276</v>
      </c>
      <c r="V2661" s="205" t="s">
        <v>2276</v>
      </c>
      <c r="W2661" s="205" t="s">
        <v>2276</v>
      </c>
      <c r="X2661" s="205" t="s">
        <v>35</v>
      </c>
      <c r="Y2661" s="205" t="s">
        <v>38</v>
      </c>
      <c r="Z2661" s="205" t="s">
        <v>64</v>
      </c>
      <c r="AA2661" s="205" t="s">
        <v>7699</v>
      </c>
      <c r="AB2661" s="205"/>
    </row>
    <row r="2662" spans="1:28" ht="33.5" customHeight="1">
      <c r="A2662" s="156" t="str">
        <f>'Reported burning'!A2668</f>
        <v>305i</v>
      </c>
      <c r="B2662" s="156" t="str">
        <f>'Reported burning'!B2668</f>
        <v>305i.13</v>
      </c>
      <c r="C2662" s="156" t="str">
        <f>'Reported burning'!C2668</f>
        <v>Human, deliberate</v>
      </c>
      <c r="D2662" s="156" t="str">
        <f>'Reported burning'!D2668</f>
        <v>Pyrome management</v>
      </c>
      <c r="E2662" s="156" t="str">
        <f>'Reported burning'!E2668</f>
        <v>Fire suppression agent</v>
      </c>
      <c r="F2662" s="156" t="str">
        <f>'Reported burning'!F2668</f>
        <v>ND</v>
      </c>
      <c r="G2662" s="156" t="str">
        <f>'Reported burning'!G2668</f>
        <v>ND</v>
      </c>
      <c r="H2662" s="156" t="str">
        <f>'Reported burning'!H2668</f>
        <v>Presence</v>
      </c>
      <c r="I2662" s="5">
        <f>'Reported burning'!I2668</f>
        <v>2013</v>
      </c>
      <c r="J2662" s="205" t="s">
        <v>2276</v>
      </c>
      <c r="K2662" s="205" t="s">
        <v>2276</v>
      </c>
      <c r="L2662" s="205" t="s">
        <v>2276</v>
      </c>
      <c r="M2662" s="205" t="s">
        <v>2276</v>
      </c>
      <c r="N2662" s="205" t="s">
        <v>2276</v>
      </c>
      <c r="O2662" s="205" t="s">
        <v>2276</v>
      </c>
      <c r="P2662" s="205" t="s">
        <v>2276</v>
      </c>
      <c r="Q2662" s="205" t="s">
        <v>2276</v>
      </c>
      <c r="R2662" s="205" t="s">
        <v>2276</v>
      </c>
      <c r="S2662" s="205" t="s">
        <v>2276</v>
      </c>
      <c r="T2662" s="205" t="s">
        <v>2276</v>
      </c>
      <c r="U2662" s="205" t="s">
        <v>2276</v>
      </c>
      <c r="V2662" s="205" t="s">
        <v>2276</v>
      </c>
      <c r="W2662" s="205" t="s">
        <v>2276</v>
      </c>
      <c r="X2662" s="205" t="s">
        <v>35</v>
      </c>
      <c r="Y2662" s="205" t="s">
        <v>38</v>
      </c>
      <c r="Z2662" s="205" t="s">
        <v>64</v>
      </c>
      <c r="AA2662" s="205" t="s">
        <v>7699</v>
      </c>
      <c r="AB2662" s="205"/>
    </row>
    <row r="2663" spans="1:28" ht="33.5" customHeight="1">
      <c r="A2663" s="156" t="str">
        <f>'Reported burning'!A2669</f>
        <v>305j</v>
      </c>
      <c r="B2663" s="156" t="str">
        <f>'Reported burning'!B2669</f>
        <v>305j.13</v>
      </c>
      <c r="C2663" s="156" t="str">
        <f>'Reported burning'!C2669</f>
        <v>Human, deliberate</v>
      </c>
      <c r="D2663" s="156" t="str">
        <f>'Reported burning'!D2669</f>
        <v>Pyrome management</v>
      </c>
      <c r="E2663" s="156" t="str">
        <f>'Reported burning'!E2669</f>
        <v>Fire suppression agent</v>
      </c>
      <c r="F2663" s="156" t="str">
        <f>'Reported burning'!F2669</f>
        <v>ND</v>
      </c>
      <c r="G2663" s="156" t="str">
        <f>'Reported burning'!G2669</f>
        <v>ND</v>
      </c>
      <c r="H2663" s="156" t="str">
        <f>'Reported burning'!H2669</f>
        <v>Presence</v>
      </c>
      <c r="I2663" s="5">
        <f>'Reported burning'!I2669</f>
        <v>2013</v>
      </c>
      <c r="J2663" s="205" t="s">
        <v>2276</v>
      </c>
      <c r="K2663" s="205" t="s">
        <v>2276</v>
      </c>
      <c r="L2663" s="205" t="s">
        <v>2276</v>
      </c>
      <c r="M2663" s="205" t="s">
        <v>2276</v>
      </c>
      <c r="N2663" s="205" t="s">
        <v>2276</v>
      </c>
      <c r="O2663" s="205" t="s">
        <v>2276</v>
      </c>
      <c r="P2663" s="205" t="s">
        <v>2276</v>
      </c>
      <c r="Q2663" s="205" t="s">
        <v>2276</v>
      </c>
      <c r="R2663" s="205" t="s">
        <v>2276</v>
      </c>
      <c r="S2663" s="205" t="s">
        <v>2276</v>
      </c>
      <c r="T2663" s="205" t="s">
        <v>2276</v>
      </c>
      <c r="U2663" s="205" t="s">
        <v>2276</v>
      </c>
      <c r="V2663" s="205" t="s">
        <v>2276</v>
      </c>
      <c r="W2663" s="205" t="s">
        <v>2276</v>
      </c>
      <c r="X2663" s="205" t="s">
        <v>35</v>
      </c>
      <c r="Y2663" s="205" t="s">
        <v>38</v>
      </c>
      <c r="Z2663" s="205" t="s">
        <v>64</v>
      </c>
      <c r="AA2663" s="205" t="s">
        <v>7699</v>
      </c>
      <c r="AB2663" s="205"/>
    </row>
    <row r="2664" spans="1:28" ht="33.5" customHeight="1">
      <c r="A2664" s="156" t="str">
        <f>'Reported burning'!A2670</f>
        <v>305k</v>
      </c>
      <c r="B2664" s="156" t="str">
        <f>'Reported burning'!B2670</f>
        <v>305k.13</v>
      </c>
      <c r="C2664" s="156" t="str">
        <f>'Reported burning'!C2670</f>
        <v>Human, deliberate</v>
      </c>
      <c r="D2664" s="156" t="str">
        <f>'Reported burning'!D2670</f>
        <v>Pyrome management</v>
      </c>
      <c r="E2664" s="156" t="str">
        <f>'Reported burning'!E2670</f>
        <v>Fire suppression agent</v>
      </c>
      <c r="F2664" s="156" t="str">
        <f>'Reported burning'!F2670</f>
        <v>ND</v>
      </c>
      <c r="G2664" s="156" t="str">
        <f>'Reported burning'!G2670</f>
        <v>ND</v>
      </c>
      <c r="H2664" s="156" t="str">
        <f>'Reported burning'!H2670</f>
        <v>Presence</v>
      </c>
      <c r="I2664" s="5">
        <f>'Reported burning'!I2670</f>
        <v>2013</v>
      </c>
      <c r="J2664" s="205" t="s">
        <v>2276</v>
      </c>
      <c r="K2664" s="205" t="s">
        <v>2276</v>
      </c>
      <c r="L2664" s="205" t="s">
        <v>2276</v>
      </c>
      <c r="M2664" s="205" t="s">
        <v>2276</v>
      </c>
      <c r="N2664" s="205" t="s">
        <v>2276</v>
      </c>
      <c r="O2664" s="205" t="s">
        <v>2276</v>
      </c>
      <c r="P2664" s="205" t="s">
        <v>2276</v>
      </c>
      <c r="Q2664" s="205" t="s">
        <v>2276</v>
      </c>
      <c r="R2664" s="205" t="s">
        <v>2276</v>
      </c>
      <c r="S2664" s="205" t="s">
        <v>2276</v>
      </c>
      <c r="T2664" s="205" t="s">
        <v>2276</v>
      </c>
      <c r="U2664" s="205" t="s">
        <v>2276</v>
      </c>
      <c r="V2664" s="205" t="s">
        <v>2276</v>
      </c>
      <c r="W2664" s="205" t="s">
        <v>2276</v>
      </c>
      <c r="X2664" s="205" t="s">
        <v>35</v>
      </c>
      <c r="Y2664" s="205" t="s">
        <v>38</v>
      </c>
      <c r="Z2664" s="205" t="s">
        <v>64</v>
      </c>
      <c r="AA2664" s="205" t="s">
        <v>7699</v>
      </c>
      <c r="AB2664" s="205"/>
    </row>
    <row r="2665" spans="1:28" ht="33.5" customHeight="1">
      <c r="A2665" s="156" t="str">
        <f>'Reported burning'!A2671</f>
        <v>305l</v>
      </c>
      <c r="B2665" s="156" t="str">
        <f>'Reported burning'!B2671</f>
        <v>305l.13</v>
      </c>
      <c r="C2665" s="156" t="str">
        <f>'Reported burning'!C2671</f>
        <v>Human, deliberate</v>
      </c>
      <c r="D2665" s="156" t="str">
        <f>'Reported burning'!D2671</f>
        <v>Pyrome management</v>
      </c>
      <c r="E2665" s="156" t="str">
        <f>'Reported burning'!E2671</f>
        <v>Fire suppression agent</v>
      </c>
      <c r="F2665" s="156" t="str">
        <f>'Reported burning'!F2671</f>
        <v>ND</v>
      </c>
      <c r="G2665" s="156" t="str">
        <f>'Reported burning'!G2671</f>
        <v>ND</v>
      </c>
      <c r="H2665" s="156" t="str">
        <f>'Reported burning'!H2671</f>
        <v>Presence</v>
      </c>
      <c r="I2665" s="5">
        <f>'Reported burning'!I2671</f>
        <v>2013</v>
      </c>
      <c r="J2665" s="205" t="s">
        <v>2276</v>
      </c>
      <c r="K2665" s="205" t="s">
        <v>2276</v>
      </c>
      <c r="L2665" s="205" t="s">
        <v>2276</v>
      </c>
      <c r="M2665" s="205" t="s">
        <v>2276</v>
      </c>
      <c r="N2665" s="205" t="s">
        <v>2276</v>
      </c>
      <c r="O2665" s="205" t="s">
        <v>2276</v>
      </c>
      <c r="P2665" s="205" t="s">
        <v>2276</v>
      </c>
      <c r="Q2665" s="205" t="s">
        <v>2276</v>
      </c>
      <c r="R2665" s="205" t="s">
        <v>2276</v>
      </c>
      <c r="S2665" s="205" t="s">
        <v>2276</v>
      </c>
      <c r="T2665" s="205" t="s">
        <v>2276</v>
      </c>
      <c r="U2665" s="205" t="s">
        <v>2276</v>
      </c>
      <c r="V2665" s="205" t="s">
        <v>2276</v>
      </c>
      <c r="W2665" s="205" t="s">
        <v>2276</v>
      </c>
      <c r="X2665" s="205" t="s">
        <v>35</v>
      </c>
      <c r="Y2665" s="205" t="s">
        <v>38</v>
      </c>
      <c r="Z2665" s="205" t="s">
        <v>64</v>
      </c>
      <c r="AA2665" s="205" t="s">
        <v>7699</v>
      </c>
      <c r="AB2665" s="205"/>
    </row>
    <row r="2666" spans="1:28" ht="33.5" customHeight="1">
      <c r="A2666" s="156" t="str">
        <f>'Reported burning'!A2672</f>
        <v>305m</v>
      </c>
      <c r="B2666" s="156" t="str">
        <f>'Reported burning'!B2672</f>
        <v>305m.13</v>
      </c>
      <c r="C2666" s="156" t="str">
        <f>'Reported burning'!C2672</f>
        <v>Human, deliberate</v>
      </c>
      <c r="D2666" s="156" t="str">
        <f>'Reported burning'!D2672</f>
        <v>Pyrome management</v>
      </c>
      <c r="E2666" s="156" t="str">
        <f>'Reported burning'!E2672</f>
        <v>Fire suppression agent</v>
      </c>
      <c r="F2666" s="156" t="str">
        <f>'Reported burning'!F2672</f>
        <v>ND</v>
      </c>
      <c r="G2666" s="156" t="str">
        <f>'Reported burning'!G2672</f>
        <v>ND</v>
      </c>
      <c r="H2666" s="156" t="str">
        <f>'Reported burning'!H2672</f>
        <v>Presence</v>
      </c>
      <c r="I2666" s="5">
        <f>'Reported burning'!I2672</f>
        <v>2013</v>
      </c>
      <c r="J2666" s="205" t="s">
        <v>2276</v>
      </c>
      <c r="K2666" s="205" t="s">
        <v>2276</v>
      </c>
      <c r="L2666" s="205" t="s">
        <v>2276</v>
      </c>
      <c r="M2666" s="205" t="s">
        <v>2276</v>
      </c>
      <c r="N2666" s="205" t="s">
        <v>2276</v>
      </c>
      <c r="O2666" s="205" t="s">
        <v>2276</v>
      </c>
      <c r="P2666" s="205" t="s">
        <v>2276</v>
      </c>
      <c r="Q2666" s="205" t="s">
        <v>2276</v>
      </c>
      <c r="R2666" s="205" t="s">
        <v>2276</v>
      </c>
      <c r="S2666" s="205" t="s">
        <v>2276</v>
      </c>
      <c r="T2666" s="205" t="s">
        <v>2276</v>
      </c>
      <c r="U2666" s="205" t="s">
        <v>2276</v>
      </c>
      <c r="V2666" s="205" t="s">
        <v>2276</v>
      </c>
      <c r="W2666" s="205" t="s">
        <v>2276</v>
      </c>
      <c r="X2666" s="205" t="s">
        <v>35</v>
      </c>
      <c r="Y2666" s="205" t="s">
        <v>38</v>
      </c>
      <c r="Z2666" s="205" t="s">
        <v>64</v>
      </c>
      <c r="AA2666" s="205" t="s">
        <v>7699</v>
      </c>
      <c r="AB2666" s="205"/>
    </row>
    <row r="2667" spans="1:28" ht="33.5" customHeight="1">
      <c r="A2667" s="156" t="str">
        <f>'Reported burning'!A2673</f>
        <v>305i</v>
      </c>
      <c r="B2667" s="156" t="str">
        <f>'Reported burning'!B2673</f>
        <v>305i.14</v>
      </c>
      <c r="C2667" s="156" t="str">
        <f>'Reported burning'!C2673</f>
        <v>Human, deliberate</v>
      </c>
      <c r="D2667" s="156" t="str">
        <f>'Reported burning'!D2673</f>
        <v>Pyrome management</v>
      </c>
      <c r="E2667" s="156" t="str">
        <f>'Reported burning'!E2673</f>
        <v>Fire suppression agent</v>
      </c>
      <c r="F2667" s="156" t="str">
        <f>'Reported burning'!F2673</f>
        <v>ND</v>
      </c>
      <c r="G2667" s="156" t="str">
        <f>'Reported burning'!G2673</f>
        <v>ND</v>
      </c>
      <c r="H2667" s="156" t="str">
        <f>'Reported burning'!H2673</f>
        <v>Presence</v>
      </c>
      <c r="I2667" s="5">
        <f>'Reported burning'!I2673</f>
        <v>2014</v>
      </c>
      <c r="J2667" s="205" t="s">
        <v>2276</v>
      </c>
      <c r="K2667" s="205" t="s">
        <v>2276</v>
      </c>
      <c r="L2667" s="205" t="s">
        <v>2276</v>
      </c>
      <c r="M2667" s="205" t="s">
        <v>2276</v>
      </c>
      <c r="N2667" s="205" t="s">
        <v>2276</v>
      </c>
      <c r="O2667" s="205" t="s">
        <v>2276</v>
      </c>
      <c r="P2667" s="205" t="s">
        <v>2276</v>
      </c>
      <c r="Q2667" s="205" t="s">
        <v>2276</v>
      </c>
      <c r="R2667" s="205" t="s">
        <v>2276</v>
      </c>
      <c r="S2667" s="205" t="s">
        <v>2276</v>
      </c>
      <c r="T2667" s="205" t="s">
        <v>2276</v>
      </c>
      <c r="U2667" s="205" t="s">
        <v>2276</v>
      </c>
      <c r="V2667" s="205" t="s">
        <v>2276</v>
      </c>
      <c r="W2667" s="205" t="s">
        <v>2276</v>
      </c>
      <c r="X2667" s="205" t="s">
        <v>35</v>
      </c>
      <c r="Y2667" s="205" t="s">
        <v>38</v>
      </c>
      <c r="Z2667" s="205" t="s">
        <v>64</v>
      </c>
      <c r="AA2667" s="205" t="s">
        <v>7699</v>
      </c>
      <c r="AB2667" s="205"/>
    </row>
    <row r="2668" spans="1:28" ht="33.5" customHeight="1">
      <c r="A2668" s="156" t="str">
        <f>'Reported burning'!A2674</f>
        <v>305j</v>
      </c>
      <c r="B2668" s="156" t="str">
        <f>'Reported burning'!B2674</f>
        <v>305j.14</v>
      </c>
      <c r="C2668" s="156" t="str">
        <f>'Reported burning'!C2674</f>
        <v>Human, deliberate</v>
      </c>
      <c r="D2668" s="156" t="str">
        <f>'Reported burning'!D2674</f>
        <v>Pyrome management</v>
      </c>
      <c r="E2668" s="156" t="str">
        <f>'Reported burning'!E2674</f>
        <v>Fire suppression agent</v>
      </c>
      <c r="F2668" s="156" t="str">
        <f>'Reported burning'!F2674</f>
        <v>ND</v>
      </c>
      <c r="G2668" s="156" t="str">
        <f>'Reported burning'!G2674</f>
        <v>ND</v>
      </c>
      <c r="H2668" s="156" t="str">
        <f>'Reported burning'!H2674</f>
        <v>Presence</v>
      </c>
      <c r="I2668" s="5">
        <f>'Reported burning'!I2674</f>
        <v>2014</v>
      </c>
      <c r="J2668" s="205" t="s">
        <v>2276</v>
      </c>
      <c r="K2668" s="205" t="s">
        <v>2276</v>
      </c>
      <c r="L2668" s="205" t="s">
        <v>2276</v>
      </c>
      <c r="M2668" s="205" t="s">
        <v>2276</v>
      </c>
      <c r="N2668" s="205" t="s">
        <v>2276</v>
      </c>
      <c r="O2668" s="205" t="s">
        <v>2276</v>
      </c>
      <c r="P2668" s="205" t="s">
        <v>2276</v>
      </c>
      <c r="Q2668" s="205" t="s">
        <v>2276</v>
      </c>
      <c r="R2668" s="205" t="s">
        <v>2276</v>
      </c>
      <c r="S2668" s="205" t="s">
        <v>2276</v>
      </c>
      <c r="T2668" s="205" t="s">
        <v>2276</v>
      </c>
      <c r="U2668" s="205" t="s">
        <v>2276</v>
      </c>
      <c r="V2668" s="205" t="s">
        <v>2276</v>
      </c>
      <c r="W2668" s="205" t="s">
        <v>2276</v>
      </c>
      <c r="X2668" s="205" t="s">
        <v>35</v>
      </c>
      <c r="Y2668" s="205" t="s">
        <v>38</v>
      </c>
      <c r="Z2668" s="205" t="s">
        <v>64</v>
      </c>
      <c r="AA2668" s="205" t="s">
        <v>7699</v>
      </c>
      <c r="AB2668" s="205"/>
    </row>
    <row r="2669" spans="1:28" ht="33.5" customHeight="1">
      <c r="A2669" s="156" t="str">
        <f>'Reported burning'!A2675</f>
        <v>305k</v>
      </c>
      <c r="B2669" s="156" t="str">
        <f>'Reported burning'!B2675</f>
        <v>305k.14</v>
      </c>
      <c r="C2669" s="156" t="str">
        <f>'Reported burning'!C2675</f>
        <v>Human, deliberate</v>
      </c>
      <c r="D2669" s="156" t="str">
        <f>'Reported burning'!D2675</f>
        <v>Pyrome management</v>
      </c>
      <c r="E2669" s="156" t="str">
        <f>'Reported burning'!E2675</f>
        <v>Fire suppression agent</v>
      </c>
      <c r="F2669" s="156" t="str">
        <f>'Reported burning'!F2675</f>
        <v>ND</v>
      </c>
      <c r="G2669" s="156" t="str">
        <f>'Reported burning'!G2675</f>
        <v>ND</v>
      </c>
      <c r="H2669" s="156" t="str">
        <f>'Reported burning'!H2675</f>
        <v>Presence</v>
      </c>
      <c r="I2669" s="5">
        <f>'Reported burning'!I2675</f>
        <v>2014</v>
      </c>
      <c r="J2669" s="205" t="s">
        <v>2276</v>
      </c>
      <c r="K2669" s="205" t="s">
        <v>2276</v>
      </c>
      <c r="L2669" s="205" t="s">
        <v>2276</v>
      </c>
      <c r="M2669" s="205" t="s">
        <v>2276</v>
      </c>
      <c r="N2669" s="205" t="s">
        <v>2276</v>
      </c>
      <c r="O2669" s="205" t="s">
        <v>2276</v>
      </c>
      <c r="P2669" s="205" t="s">
        <v>2276</v>
      </c>
      <c r="Q2669" s="205" t="s">
        <v>2276</v>
      </c>
      <c r="R2669" s="205" t="s">
        <v>2276</v>
      </c>
      <c r="S2669" s="205" t="s">
        <v>2276</v>
      </c>
      <c r="T2669" s="205" t="s">
        <v>2276</v>
      </c>
      <c r="U2669" s="205" t="s">
        <v>2276</v>
      </c>
      <c r="V2669" s="205" t="s">
        <v>2276</v>
      </c>
      <c r="W2669" s="205" t="s">
        <v>2276</v>
      </c>
      <c r="X2669" s="205" t="s">
        <v>35</v>
      </c>
      <c r="Y2669" s="205" t="s">
        <v>38</v>
      </c>
      <c r="Z2669" s="205" t="s">
        <v>64</v>
      </c>
      <c r="AA2669" s="205" t="s">
        <v>7699</v>
      </c>
      <c r="AB2669" s="205"/>
    </row>
    <row r="2670" spans="1:28" ht="33.5" customHeight="1">
      <c r="A2670" s="156" t="str">
        <f>'Reported burning'!A2676</f>
        <v>305l</v>
      </c>
      <c r="B2670" s="156" t="str">
        <f>'Reported burning'!B2676</f>
        <v>305l.14</v>
      </c>
      <c r="C2670" s="156" t="str">
        <f>'Reported burning'!C2676</f>
        <v>Human, deliberate</v>
      </c>
      <c r="D2670" s="156" t="str">
        <f>'Reported burning'!D2676</f>
        <v>Pyrome management</v>
      </c>
      <c r="E2670" s="156" t="str">
        <f>'Reported burning'!E2676</f>
        <v>Fire suppression agent</v>
      </c>
      <c r="F2670" s="156" t="str">
        <f>'Reported burning'!F2676</f>
        <v>ND</v>
      </c>
      <c r="G2670" s="156" t="str">
        <f>'Reported burning'!G2676</f>
        <v>ND</v>
      </c>
      <c r="H2670" s="156" t="str">
        <f>'Reported burning'!H2676</f>
        <v>Presence</v>
      </c>
      <c r="I2670" s="5">
        <f>'Reported burning'!I2676</f>
        <v>2014</v>
      </c>
      <c r="J2670" s="205" t="s">
        <v>2276</v>
      </c>
      <c r="K2670" s="205" t="s">
        <v>2276</v>
      </c>
      <c r="L2670" s="205" t="s">
        <v>2276</v>
      </c>
      <c r="M2670" s="205" t="s">
        <v>2276</v>
      </c>
      <c r="N2670" s="205" t="s">
        <v>2276</v>
      </c>
      <c r="O2670" s="205" t="s">
        <v>2276</v>
      </c>
      <c r="P2670" s="205" t="s">
        <v>2276</v>
      </c>
      <c r="Q2670" s="205" t="s">
        <v>2276</v>
      </c>
      <c r="R2670" s="205" t="s">
        <v>2276</v>
      </c>
      <c r="S2670" s="205" t="s">
        <v>2276</v>
      </c>
      <c r="T2670" s="205" t="s">
        <v>2276</v>
      </c>
      <c r="U2670" s="205" t="s">
        <v>2276</v>
      </c>
      <c r="V2670" s="205" t="s">
        <v>2276</v>
      </c>
      <c r="W2670" s="205" t="s">
        <v>2276</v>
      </c>
      <c r="X2670" s="205" t="s">
        <v>35</v>
      </c>
      <c r="Y2670" s="205" t="s">
        <v>38</v>
      </c>
      <c r="Z2670" s="205" t="s">
        <v>64</v>
      </c>
      <c r="AA2670" s="205" t="s">
        <v>7699</v>
      </c>
      <c r="AB2670" s="205"/>
    </row>
    <row r="2671" spans="1:28" ht="33.5" customHeight="1">
      <c r="A2671" s="156" t="str">
        <f>'Reported burning'!A2677</f>
        <v>305m</v>
      </c>
      <c r="B2671" s="156" t="str">
        <f>'Reported burning'!B2677</f>
        <v>305m.14</v>
      </c>
      <c r="C2671" s="156" t="str">
        <f>'Reported burning'!C2677</f>
        <v>Human, deliberate</v>
      </c>
      <c r="D2671" s="156" t="str">
        <f>'Reported burning'!D2677</f>
        <v>Pyrome management</v>
      </c>
      <c r="E2671" s="156" t="str">
        <f>'Reported burning'!E2677</f>
        <v>Fire suppression agent</v>
      </c>
      <c r="F2671" s="156" t="str">
        <f>'Reported burning'!F2677</f>
        <v>ND</v>
      </c>
      <c r="G2671" s="156" t="str">
        <f>'Reported burning'!G2677</f>
        <v>ND</v>
      </c>
      <c r="H2671" s="156" t="str">
        <f>'Reported burning'!H2677</f>
        <v>Presence</v>
      </c>
      <c r="I2671" s="5">
        <f>'Reported burning'!I2677</f>
        <v>2014</v>
      </c>
      <c r="J2671" s="205" t="s">
        <v>2276</v>
      </c>
      <c r="K2671" s="205" t="s">
        <v>2276</v>
      </c>
      <c r="L2671" s="205" t="s">
        <v>2276</v>
      </c>
      <c r="M2671" s="205" t="s">
        <v>2276</v>
      </c>
      <c r="N2671" s="205" t="s">
        <v>2276</v>
      </c>
      <c r="O2671" s="205" t="s">
        <v>2276</v>
      </c>
      <c r="P2671" s="205" t="s">
        <v>2276</v>
      </c>
      <c r="Q2671" s="205" t="s">
        <v>2276</v>
      </c>
      <c r="R2671" s="205" t="s">
        <v>2276</v>
      </c>
      <c r="S2671" s="205" t="s">
        <v>2276</v>
      </c>
      <c r="T2671" s="205" t="s">
        <v>2276</v>
      </c>
      <c r="U2671" s="205" t="s">
        <v>2276</v>
      </c>
      <c r="V2671" s="205" t="s">
        <v>2276</v>
      </c>
      <c r="W2671" s="205" t="s">
        <v>2276</v>
      </c>
      <c r="X2671" s="205" t="s">
        <v>35</v>
      </c>
      <c r="Y2671" s="205" t="s">
        <v>38</v>
      </c>
      <c r="Z2671" s="205" t="s">
        <v>64</v>
      </c>
      <c r="AA2671" s="205" t="s">
        <v>7699</v>
      </c>
      <c r="AB2671" s="205"/>
    </row>
    <row r="2672" spans="1:28" ht="33.5" customHeight="1">
      <c r="A2672" s="156" t="str">
        <f>'Reported burning'!A2678</f>
        <v>305i</v>
      </c>
      <c r="B2672" s="156" t="str">
        <f>'Reported burning'!B2678</f>
        <v>305i.15</v>
      </c>
      <c r="C2672" s="156" t="str">
        <f>'Reported burning'!C2678</f>
        <v>Human, deliberate</v>
      </c>
      <c r="D2672" s="156" t="str">
        <f>'Reported burning'!D2678</f>
        <v>Pyrome management</v>
      </c>
      <c r="E2672" s="156" t="str">
        <f>'Reported burning'!E2678</f>
        <v>Fire suppression agent</v>
      </c>
      <c r="F2672" s="156" t="str">
        <f>'Reported burning'!F2678</f>
        <v>ND</v>
      </c>
      <c r="G2672" s="156" t="str">
        <f>'Reported burning'!G2678</f>
        <v>ND</v>
      </c>
      <c r="H2672" s="156" t="str">
        <f>'Reported burning'!H2678</f>
        <v>Presence</v>
      </c>
      <c r="I2672" s="5">
        <f>'Reported burning'!I2678</f>
        <v>2015</v>
      </c>
      <c r="J2672" s="205" t="s">
        <v>2276</v>
      </c>
      <c r="K2672" s="205" t="s">
        <v>2276</v>
      </c>
      <c r="L2672" s="205" t="s">
        <v>2276</v>
      </c>
      <c r="M2672" s="205" t="s">
        <v>2276</v>
      </c>
      <c r="N2672" s="205" t="s">
        <v>2276</v>
      </c>
      <c r="O2672" s="205" t="s">
        <v>2276</v>
      </c>
      <c r="P2672" s="205" t="s">
        <v>2276</v>
      </c>
      <c r="Q2672" s="205" t="s">
        <v>2276</v>
      </c>
      <c r="R2672" s="205" t="s">
        <v>2276</v>
      </c>
      <c r="S2672" s="205" t="s">
        <v>2276</v>
      </c>
      <c r="T2672" s="205" t="s">
        <v>2276</v>
      </c>
      <c r="U2672" s="205" t="s">
        <v>2276</v>
      </c>
      <c r="V2672" s="205" t="s">
        <v>2276</v>
      </c>
      <c r="W2672" s="205" t="s">
        <v>2276</v>
      </c>
      <c r="X2672" s="205" t="s">
        <v>35</v>
      </c>
      <c r="Y2672" s="205" t="s">
        <v>38</v>
      </c>
      <c r="Z2672" s="205" t="s">
        <v>64</v>
      </c>
      <c r="AA2672" s="205" t="s">
        <v>7699</v>
      </c>
      <c r="AB2672" s="205"/>
    </row>
    <row r="2673" spans="1:28" ht="33.5" customHeight="1">
      <c r="A2673" s="156" t="str">
        <f>'Reported burning'!A2679</f>
        <v>305j</v>
      </c>
      <c r="B2673" s="156" t="str">
        <f>'Reported burning'!B2679</f>
        <v>305j.15</v>
      </c>
      <c r="C2673" s="156" t="str">
        <f>'Reported burning'!C2679</f>
        <v>Human, deliberate</v>
      </c>
      <c r="D2673" s="156" t="str">
        <f>'Reported burning'!D2679</f>
        <v>Pyrome management</v>
      </c>
      <c r="E2673" s="156" t="str">
        <f>'Reported burning'!E2679</f>
        <v>Fire suppression agent</v>
      </c>
      <c r="F2673" s="156" t="str">
        <f>'Reported burning'!F2679</f>
        <v>ND</v>
      </c>
      <c r="G2673" s="156" t="str">
        <f>'Reported burning'!G2679</f>
        <v>ND</v>
      </c>
      <c r="H2673" s="156" t="str">
        <f>'Reported burning'!H2679</f>
        <v>Presence</v>
      </c>
      <c r="I2673" s="5">
        <f>'Reported burning'!I2679</f>
        <v>2015</v>
      </c>
      <c r="J2673" s="205" t="s">
        <v>2276</v>
      </c>
      <c r="K2673" s="205" t="s">
        <v>2276</v>
      </c>
      <c r="L2673" s="205" t="s">
        <v>2276</v>
      </c>
      <c r="M2673" s="205" t="s">
        <v>2276</v>
      </c>
      <c r="N2673" s="205" t="s">
        <v>2276</v>
      </c>
      <c r="O2673" s="205" t="s">
        <v>2276</v>
      </c>
      <c r="P2673" s="205" t="s">
        <v>2276</v>
      </c>
      <c r="Q2673" s="205" t="s">
        <v>2276</v>
      </c>
      <c r="R2673" s="205" t="s">
        <v>2276</v>
      </c>
      <c r="S2673" s="205" t="s">
        <v>2276</v>
      </c>
      <c r="T2673" s="205" t="s">
        <v>2276</v>
      </c>
      <c r="U2673" s="205" t="s">
        <v>2276</v>
      </c>
      <c r="V2673" s="205" t="s">
        <v>2276</v>
      </c>
      <c r="W2673" s="205" t="s">
        <v>2276</v>
      </c>
      <c r="X2673" s="205" t="s">
        <v>35</v>
      </c>
      <c r="Y2673" s="205" t="s">
        <v>38</v>
      </c>
      <c r="Z2673" s="205" t="s">
        <v>64</v>
      </c>
      <c r="AA2673" s="205" t="s">
        <v>7699</v>
      </c>
      <c r="AB2673" s="205"/>
    </row>
    <row r="2674" spans="1:28" ht="33.5" customHeight="1">
      <c r="A2674" s="156" t="str">
        <f>'Reported burning'!A2680</f>
        <v>305k</v>
      </c>
      <c r="B2674" s="156" t="str">
        <f>'Reported burning'!B2680</f>
        <v>305k.15</v>
      </c>
      <c r="C2674" s="156" t="str">
        <f>'Reported burning'!C2680</f>
        <v>Human, deliberate</v>
      </c>
      <c r="D2674" s="156" t="str">
        <f>'Reported burning'!D2680</f>
        <v>Pyrome management</v>
      </c>
      <c r="E2674" s="156" t="str">
        <f>'Reported burning'!E2680</f>
        <v>Fire suppression agent</v>
      </c>
      <c r="F2674" s="156" t="str">
        <f>'Reported burning'!F2680</f>
        <v>ND</v>
      </c>
      <c r="G2674" s="156" t="str">
        <f>'Reported burning'!G2680</f>
        <v>ND</v>
      </c>
      <c r="H2674" s="156" t="str">
        <f>'Reported burning'!H2680</f>
        <v>Presence</v>
      </c>
      <c r="I2674" s="5">
        <f>'Reported burning'!I2680</f>
        <v>2015</v>
      </c>
      <c r="J2674" s="205" t="s">
        <v>2276</v>
      </c>
      <c r="K2674" s="205" t="s">
        <v>2276</v>
      </c>
      <c r="L2674" s="205" t="s">
        <v>2276</v>
      </c>
      <c r="M2674" s="205" t="s">
        <v>2276</v>
      </c>
      <c r="N2674" s="205" t="s">
        <v>2276</v>
      </c>
      <c r="O2674" s="205" t="s">
        <v>2276</v>
      </c>
      <c r="P2674" s="205" t="s">
        <v>2276</v>
      </c>
      <c r="Q2674" s="205" t="s">
        <v>2276</v>
      </c>
      <c r="R2674" s="205" t="s">
        <v>2276</v>
      </c>
      <c r="S2674" s="205" t="s">
        <v>2276</v>
      </c>
      <c r="T2674" s="205" t="s">
        <v>2276</v>
      </c>
      <c r="U2674" s="205" t="s">
        <v>2276</v>
      </c>
      <c r="V2674" s="205" t="s">
        <v>2276</v>
      </c>
      <c r="W2674" s="205" t="s">
        <v>2276</v>
      </c>
      <c r="X2674" s="205" t="s">
        <v>35</v>
      </c>
      <c r="Y2674" s="205" t="s">
        <v>38</v>
      </c>
      <c r="Z2674" s="205" t="s">
        <v>64</v>
      </c>
      <c r="AA2674" s="205" t="s">
        <v>7699</v>
      </c>
      <c r="AB2674" s="205"/>
    </row>
    <row r="2675" spans="1:28" ht="33.5" customHeight="1">
      <c r="A2675" s="156" t="str">
        <f>'Reported burning'!A2681</f>
        <v>305l</v>
      </c>
      <c r="B2675" s="156" t="str">
        <f>'Reported burning'!B2681</f>
        <v>305l.15</v>
      </c>
      <c r="C2675" s="156" t="str">
        <f>'Reported burning'!C2681</f>
        <v>Human, deliberate</v>
      </c>
      <c r="D2675" s="156" t="str">
        <f>'Reported burning'!D2681</f>
        <v>Pyrome management</v>
      </c>
      <c r="E2675" s="156" t="str">
        <f>'Reported burning'!E2681</f>
        <v>Fire suppression agent</v>
      </c>
      <c r="F2675" s="156" t="str">
        <f>'Reported burning'!F2681</f>
        <v>ND</v>
      </c>
      <c r="G2675" s="156" t="str">
        <f>'Reported burning'!G2681</f>
        <v>ND</v>
      </c>
      <c r="H2675" s="156" t="str">
        <f>'Reported burning'!H2681</f>
        <v>Presence</v>
      </c>
      <c r="I2675" s="5">
        <f>'Reported burning'!I2681</f>
        <v>2015</v>
      </c>
      <c r="J2675" s="205" t="s">
        <v>2276</v>
      </c>
      <c r="K2675" s="205" t="s">
        <v>2276</v>
      </c>
      <c r="L2675" s="205" t="s">
        <v>2276</v>
      </c>
      <c r="M2675" s="205" t="s">
        <v>2276</v>
      </c>
      <c r="N2675" s="205" t="s">
        <v>2276</v>
      </c>
      <c r="O2675" s="205" t="s">
        <v>2276</v>
      </c>
      <c r="P2675" s="205" t="s">
        <v>2276</v>
      </c>
      <c r="Q2675" s="205" t="s">
        <v>2276</v>
      </c>
      <c r="R2675" s="205" t="s">
        <v>2276</v>
      </c>
      <c r="S2675" s="205" t="s">
        <v>2276</v>
      </c>
      <c r="T2675" s="205" t="s">
        <v>2276</v>
      </c>
      <c r="U2675" s="205" t="s">
        <v>2276</v>
      </c>
      <c r="V2675" s="205" t="s">
        <v>2276</v>
      </c>
      <c r="W2675" s="205" t="s">
        <v>2276</v>
      </c>
      <c r="X2675" s="205" t="s">
        <v>35</v>
      </c>
      <c r="Y2675" s="205" t="s">
        <v>38</v>
      </c>
      <c r="Z2675" s="205" t="s">
        <v>64</v>
      </c>
      <c r="AA2675" s="205" t="s">
        <v>7699</v>
      </c>
      <c r="AB2675" s="205"/>
    </row>
    <row r="2676" spans="1:28" ht="33.5" customHeight="1">
      <c r="A2676" s="156" t="str">
        <f>'Reported burning'!A2682</f>
        <v>305m</v>
      </c>
      <c r="B2676" s="156" t="str">
        <f>'Reported burning'!B2682</f>
        <v>305m.15</v>
      </c>
      <c r="C2676" s="156" t="str">
        <f>'Reported burning'!C2682</f>
        <v>Human, deliberate</v>
      </c>
      <c r="D2676" s="156" t="str">
        <f>'Reported burning'!D2682</f>
        <v>Pyrome management</v>
      </c>
      <c r="E2676" s="156" t="str">
        <f>'Reported burning'!E2682</f>
        <v>Fire suppression agent</v>
      </c>
      <c r="F2676" s="156" t="str">
        <f>'Reported burning'!F2682</f>
        <v>ND</v>
      </c>
      <c r="G2676" s="156" t="str">
        <f>'Reported burning'!G2682</f>
        <v>ND</v>
      </c>
      <c r="H2676" s="156" t="str">
        <f>'Reported burning'!H2682</f>
        <v>Presence</v>
      </c>
      <c r="I2676" s="5">
        <f>'Reported burning'!I2682</f>
        <v>2015</v>
      </c>
      <c r="J2676" s="205" t="s">
        <v>2276</v>
      </c>
      <c r="K2676" s="205" t="s">
        <v>2276</v>
      </c>
      <c r="L2676" s="205" t="s">
        <v>2276</v>
      </c>
      <c r="M2676" s="205" t="s">
        <v>2276</v>
      </c>
      <c r="N2676" s="205" t="s">
        <v>2276</v>
      </c>
      <c r="O2676" s="205" t="s">
        <v>2276</v>
      </c>
      <c r="P2676" s="205" t="s">
        <v>2276</v>
      </c>
      <c r="Q2676" s="205" t="s">
        <v>2276</v>
      </c>
      <c r="R2676" s="205" t="s">
        <v>2276</v>
      </c>
      <c r="S2676" s="205" t="s">
        <v>2276</v>
      </c>
      <c r="T2676" s="205" t="s">
        <v>2276</v>
      </c>
      <c r="U2676" s="205" t="s">
        <v>2276</v>
      </c>
      <c r="V2676" s="205" t="s">
        <v>2276</v>
      </c>
      <c r="W2676" s="205" t="s">
        <v>2276</v>
      </c>
      <c r="X2676" s="205" t="s">
        <v>35</v>
      </c>
      <c r="Y2676" s="205" t="s">
        <v>38</v>
      </c>
      <c r="Z2676" s="205" t="s">
        <v>64</v>
      </c>
      <c r="AA2676" s="205" t="s">
        <v>7699</v>
      </c>
      <c r="AB2676" s="205"/>
    </row>
    <row r="2677" spans="1:28" ht="34.5" customHeight="1">
      <c r="A2677" s="156" t="str">
        <f>'Reported burning'!A2683</f>
        <v>305n</v>
      </c>
      <c r="B2677" s="156" t="str">
        <f>'Reported burning'!B2683</f>
        <v>305n.1</v>
      </c>
      <c r="C2677" s="156" t="str">
        <f>'Reported burning'!C2683</f>
        <v>Human, deliberate</v>
      </c>
      <c r="D2677" s="156" t="str">
        <f>'Reported burning'!D2683</f>
        <v>Pyrome management</v>
      </c>
      <c r="E2677" s="156" t="str">
        <f>'Reported burning'!E2683</f>
        <v>Fire suppression agent</v>
      </c>
      <c r="F2677" s="156" t="str">
        <f>'Reported burning'!F2683</f>
        <v>ND</v>
      </c>
      <c r="G2677" s="156" t="str">
        <f>'Reported burning'!G2683</f>
        <v>ND</v>
      </c>
      <c r="H2677" s="156" t="str">
        <f>'Reported burning'!H2683</f>
        <v>Presence</v>
      </c>
      <c r="I2677" s="5"/>
      <c r="J2677" s="205" t="s">
        <v>2276</v>
      </c>
      <c r="K2677" s="205" t="s">
        <v>2276</v>
      </c>
      <c r="L2677" s="205" t="s">
        <v>2276</v>
      </c>
      <c r="M2677" s="205" t="s">
        <v>2276</v>
      </c>
      <c r="N2677" s="205" t="s">
        <v>2276</v>
      </c>
      <c r="O2677" s="205" t="s">
        <v>2276</v>
      </c>
      <c r="P2677" s="205" t="s">
        <v>2276</v>
      </c>
      <c r="Q2677" s="205" t="s">
        <v>2276</v>
      </c>
      <c r="R2677" s="205" t="s">
        <v>2276</v>
      </c>
      <c r="S2677" s="205" t="s">
        <v>2276</v>
      </c>
      <c r="T2677" s="205" t="s">
        <v>2276</v>
      </c>
      <c r="U2677" s="205" t="s">
        <v>2276</v>
      </c>
      <c r="V2677" s="205" t="s">
        <v>2276</v>
      </c>
      <c r="W2677" s="205" t="s">
        <v>2276</v>
      </c>
      <c r="X2677" s="38" t="s">
        <v>68</v>
      </c>
      <c r="Y2677" s="205" t="s">
        <v>86</v>
      </c>
      <c r="Z2677" s="204" t="s">
        <v>76</v>
      </c>
      <c r="AA2677" s="205"/>
      <c r="AB2677" s="205"/>
    </row>
    <row r="2678" spans="1:28" ht="34.5" customHeight="1">
      <c r="A2678" s="156" t="str">
        <f>'Reported burning'!A2684</f>
        <v>305o</v>
      </c>
      <c r="B2678" s="156" t="str">
        <f>'Reported burning'!B2684</f>
        <v>305o.1</v>
      </c>
      <c r="C2678" s="156" t="str">
        <f>'Reported burning'!C2684</f>
        <v>Human, deliberate</v>
      </c>
      <c r="D2678" s="156" t="str">
        <f>'Reported burning'!D2684</f>
        <v>Pyrome management</v>
      </c>
      <c r="E2678" s="156" t="str">
        <f>'Reported burning'!E2684</f>
        <v>Fire suppression agent</v>
      </c>
      <c r="F2678" s="156" t="str">
        <f>'Reported burning'!F2684</f>
        <v>ND</v>
      </c>
      <c r="G2678" s="156" t="str">
        <f>'Reported burning'!G2684</f>
        <v>ND</v>
      </c>
      <c r="H2678" s="156" t="str">
        <f>'Reported burning'!H2684</f>
        <v>Presence</v>
      </c>
      <c r="I2678" s="5"/>
      <c r="J2678" s="205" t="s">
        <v>2276</v>
      </c>
      <c r="K2678" s="205" t="s">
        <v>2276</v>
      </c>
      <c r="L2678" s="205" t="s">
        <v>2276</v>
      </c>
      <c r="M2678" s="205" t="s">
        <v>2276</v>
      </c>
      <c r="N2678" s="205" t="s">
        <v>2276</v>
      </c>
      <c r="O2678" s="205" t="s">
        <v>2276</v>
      </c>
      <c r="P2678" s="205" t="s">
        <v>2276</v>
      </c>
      <c r="Q2678" s="205" t="s">
        <v>2276</v>
      </c>
      <c r="R2678" s="205" t="s">
        <v>2276</v>
      </c>
      <c r="S2678" s="205" t="s">
        <v>2276</v>
      </c>
      <c r="T2678" s="205" t="s">
        <v>2276</v>
      </c>
      <c r="U2678" s="205" t="s">
        <v>2276</v>
      </c>
      <c r="V2678" s="205" t="s">
        <v>2276</v>
      </c>
      <c r="W2678" s="205" t="s">
        <v>2276</v>
      </c>
      <c r="X2678" s="205" t="s">
        <v>68</v>
      </c>
      <c r="Y2678" s="205" t="s">
        <v>86</v>
      </c>
      <c r="Z2678" s="205" t="s">
        <v>76</v>
      </c>
      <c r="AA2678" s="205"/>
      <c r="AB2678" s="205"/>
    </row>
    <row r="2679" spans="1:28" ht="34.5" customHeight="1">
      <c r="A2679" s="156" t="str">
        <f>'Reported burning'!A2685</f>
        <v>305p</v>
      </c>
      <c r="B2679" s="156" t="str">
        <f>'Reported burning'!B2685</f>
        <v>305p.1</v>
      </c>
      <c r="C2679" s="156" t="str">
        <f>'Reported burning'!C2685</f>
        <v>Human, deliberate</v>
      </c>
      <c r="D2679" s="156" t="str">
        <f>'Reported burning'!D2685</f>
        <v>Pyrome management</v>
      </c>
      <c r="E2679" s="156" t="str">
        <f>'Reported burning'!E2685</f>
        <v>Fire suppression agent</v>
      </c>
      <c r="F2679" s="156" t="str">
        <f>'Reported burning'!F2685</f>
        <v>ND</v>
      </c>
      <c r="G2679" s="156" t="str">
        <f>'Reported burning'!G2685</f>
        <v>ND</v>
      </c>
      <c r="H2679" s="156" t="str">
        <f>'Reported burning'!H2685</f>
        <v>Presence</v>
      </c>
      <c r="I2679" s="5"/>
      <c r="J2679" s="205" t="s">
        <v>2276</v>
      </c>
      <c r="K2679" s="205" t="s">
        <v>2276</v>
      </c>
      <c r="L2679" s="205" t="s">
        <v>2276</v>
      </c>
      <c r="M2679" s="205" t="s">
        <v>2276</v>
      </c>
      <c r="N2679" s="205" t="s">
        <v>2276</v>
      </c>
      <c r="O2679" s="205" t="s">
        <v>2276</v>
      </c>
      <c r="P2679" s="205" t="s">
        <v>2276</v>
      </c>
      <c r="Q2679" s="205" t="s">
        <v>2276</v>
      </c>
      <c r="R2679" s="205" t="s">
        <v>2276</v>
      </c>
      <c r="S2679" s="205" t="s">
        <v>2276</v>
      </c>
      <c r="T2679" s="205" t="s">
        <v>2276</v>
      </c>
      <c r="U2679" s="205" t="s">
        <v>2276</v>
      </c>
      <c r="V2679" s="205" t="s">
        <v>2276</v>
      </c>
      <c r="W2679" s="205" t="s">
        <v>2276</v>
      </c>
      <c r="X2679" s="205" t="s">
        <v>68</v>
      </c>
      <c r="Y2679" s="205" t="s">
        <v>86</v>
      </c>
      <c r="Z2679" s="205" t="s">
        <v>76</v>
      </c>
      <c r="AA2679" s="205"/>
      <c r="AB2679" s="205"/>
    </row>
    <row r="2680" spans="1:28" ht="34.5" customHeight="1">
      <c r="A2680" s="156" t="str">
        <f>'Reported burning'!A2686</f>
        <v>305q</v>
      </c>
      <c r="B2680" s="156" t="str">
        <f>'Reported burning'!B2686</f>
        <v>305q.1</v>
      </c>
      <c r="C2680" s="156" t="str">
        <f>'Reported burning'!C2686</f>
        <v>Human, deliberate</v>
      </c>
      <c r="D2680" s="156" t="str">
        <f>'Reported burning'!D2686</f>
        <v>Pyrome management</v>
      </c>
      <c r="E2680" s="156" t="str">
        <f>'Reported burning'!E2686</f>
        <v>Fire suppression agent</v>
      </c>
      <c r="F2680" s="156" t="str">
        <f>'Reported burning'!F2686</f>
        <v>ND</v>
      </c>
      <c r="G2680" s="156" t="str">
        <f>'Reported burning'!G2686</f>
        <v>ND</v>
      </c>
      <c r="H2680" s="156" t="str">
        <f>'Reported burning'!H2686</f>
        <v>Presence</v>
      </c>
      <c r="I2680" s="5"/>
      <c r="J2680" s="205" t="s">
        <v>2276</v>
      </c>
      <c r="K2680" s="205" t="s">
        <v>2276</v>
      </c>
      <c r="L2680" s="205" t="s">
        <v>2276</v>
      </c>
      <c r="M2680" s="205" t="s">
        <v>2276</v>
      </c>
      <c r="N2680" s="205" t="s">
        <v>2276</v>
      </c>
      <c r="O2680" s="205" t="s">
        <v>2276</v>
      </c>
      <c r="P2680" s="205" t="s">
        <v>2276</v>
      </c>
      <c r="Q2680" s="205" t="s">
        <v>2276</v>
      </c>
      <c r="R2680" s="205" t="s">
        <v>2276</v>
      </c>
      <c r="S2680" s="205" t="s">
        <v>2276</v>
      </c>
      <c r="T2680" s="205" t="s">
        <v>2276</v>
      </c>
      <c r="U2680" s="205" t="s">
        <v>2276</v>
      </c>
      <c r="V2680" s="205" t="s">
        <v>2276</v>
      </c>
      <c r="W2680" s="205" t="s">
        <v>2276</v>
      </c>
      <c r="X2680" s="205" t="s">
        <v>68</v>
      </c>
      <c r="Y2680" s="205" t="s">
        <v>86</v>
      </c>
      <c r="Z2680" s="205" t="s">
        <v>76</v>
      </c>
      <c r="AA2680" s="205"/>
      <c r="AB2680" s="205"/>
    </row>
    <row r="2681" spans="1:28" ht="34.5" customHeight="1">
      <c r="A2681" s="156" t="str">
        <f>'Reported burning'!A2687</f>
        <v>305r</v>
      </c>
      <c r="B2681" s="156" t="str">
        <f>'Reported burning'!B2687</f>
        <v>305r.1</v>
      </c>
      <c r="C2681" s="156" t="str">
        <f>'Reported burning'!C2687</f>
        <v>Human, deliberate</v>
      </c>
      <c r="D2681" s="156" t="str">
        <f>'Reported burning'!D2687</f>
        <v>Pyrome management</v>
      </c>
      <c r="E2681" s="156" t="str">
        <f>'Reported burning'!E2687</f>
        <v>Fire suppression agent</v>
      </c>
      <c r="F2681" s="156" t="str">
        <f>'Reported burning'!F2687</f>
        <v>ND</v>
      </c>
      <c r="G2681" s="156" t="str">
        <f>'Reported burning'!G2687</f>
        <v>ND</v>
      </c>
      <c r="H2681" s="156" t="str">
        <f>'Reported burning'!H2687</f>
        <v>Absence</v>
      </c>
      <c r="I2681" s="5"/>
      <c r="J2681" s="14" t="s">
        <v>2364</v>
      </c>
      <c r="K2681" s="14" t="s">
        <v>2364</v>
      </c>
      <c r="L2681" s="14" t="s">
        <v>2364</v>
      </c>
      <c r="M2681" s="14" t="s">
        <v>2364</v>
      </c>
      <c r="N2681" s="14" t="s">
        <v>2364</v>
      </c>
      <c r="O2681" s="14" t="s">
        <v>2364</v>
      </c>
      <c r="P2681" s="14" t="s">
        <v>2364</v>
      </c>
      <c r="Q2681" s="14" t="s">
        <v>2364</v>
      </c>
      <c r="R2681" s="14" t="s">
        <v>2364</v>
      </c>
      <c r="S2681" s="14" t="s">
        <v>2364</v>
      </c>
      <c r="T2681" s="14" t="s">
        <v>2364</v>
      </c>
      <c r="U2681" s="14" t="s">
        <v>2364</v>
      </c>
      <c r="V2681" s="14" t="s">
        <v>2364</v>
      </c>
      <c r="W2681" s="205" t="s">
        <v>2276</v>
      </c>
      <c r="X2681" s="205" t="s">
        <v>68</v>
      </c>
      <c r="Y2681" s="205" t="s">
        <v>86</v>
      </c>
      <c r="Z2681" s="205" t="s">
        <v>76</v>
      </c>
      <c r="AA2681" s="205"/>
      <c r="AB2681" s="205"/>
    </row>
    <row r="2682" spans="1:28" ht="34.5" customHeight="1">
      <c r="A2682" s="156" t="str">
        <f>'Reported burning'!A2688</f>
        <v>305s</v>
      </c>
      <c r="B2682" s="156" t="str">
        <f>'Reported burning'!B2688</f>
        <v>305s.1</v>
      </c>
      <c r="C2682" s="156" t="str">
        <f>'Reported burning'!C2688</f>
        <v>Human, deliberate</v>
      </c>
      <c r="D2682" s="156" t="str">
        <f>'Reported burning'!D2688</f>
        <v>Pyrome management</v>
      </c>
      <c r="E2682" s="156" t="str">
        <f>'Reported burning'!E2688</f>
        <v>Fire suppression agent</v>
      </c>
      <c r="F2682" s="156" t="str">
        <f>'Reported burning'!F2688</f>
        <v>ND</v>
      </c>
      <c r="G2682" s="156" t="str">
        <f>'Reported burning'!G2688</f>
        <v>ND</v>
      </c>
      <c r="H2682" s="156" t="str">
        <f>'Reported burning'!H2688</f>
        <v>Absence</v>
      </c>
      <c r="I2682" s="5"/>
      <c r="J2682" s="14" t="s">
        <v>2364</v>
      </c>
      <c r="K2682" s="14" t="s">
        <v>2364</v>
      </c>
      <c r="L2682" s="14" t="s">
        <v>2364</v>
      </c>
      <c r="M2682" s="14" t="s">
        <v>2364</v>
      </c>
      <c r="N2682" s="14" t="s">
        <v>2364</v>
      </c>
      <c r="O2682" s="14" t="s">
        <v>2364</v>
      </c>
      <c r="P2682" s="14" t="s">
        <v>2364</v>
      </c>
      <c r="Q2682" s="14" t="s">
        <v>2364</v>
      </c>
      <c r="R2682" s="14" t="s">
        <v>2364</v>
      </c>
      <c r="S2682" s="14" t="s">
        <v>2364</v>
      </c>
      <c r="T2682" s="14" t="s">
        <v>2364</v>
      </c>
      <c r="U2682" s="14" t="s">
        <v>2364</v>
      </c>
      <c r="V2682" s="14" t="s">
        <v>2364</v>
      </c>
      <c r="W2682" s="205" t="s">
        <v>2276</v>
      </c>
      <c r="X2682" s="205" t="s">
        <v>68</v>
      </c>
      <c r="Y2682" s="205" t="s">
        <v>86</v>
      </c>
      <c r="Z2682" s="205" t="s">
        <v>76</v>
      </c>
      <c r="AA2682" s="205"/>
      <c r="AB2682" s="205"/>
    </row>
    <row r="2683" spans="1:28" ht="34.5" customHeight="1">
      <c r="A2683" s="156" t="str">
        <f>'Reported burning'!A2689</f>
        <v>305t</v>
      </c>
      <c r="B2683" s="156" t="str">
        <f>'Reported burning'!B2689</f>
        <v>305t.1</v>
      </c>
      <c r="C2683" s="156" t="str">
        <f>'Reported burning'!C2689</f>
        <v>Human, deliberate</v>
      </c>
      <c r="D2683" s="156" t="str">
        <f>'Reported burning'!D2689</f>
        <v>Pyrome management</v>
      </c>
      <c r="E2683" s="156" t="str">
        <f>'Reported burning'!E2689</f>
        <v>Fire suppression agent</v>
      </c>
      <c r="F2683" s="156" t="str">
        <f>'Reported burning'!F2689</f>
        <v>ND</v>
      </c>
      <c r="G2683" s="156" t="str">
        <f>'Reported burning'!G2689</f>
        <v>ND</v>
      </c>
      <c r="H2683" s="156" t="str">
        <f>'Reported burning'!H2689</f>
        <v>Absence</v>
      </c>
      <c r="I2683" s="5"/>
      <c r="J2683" s="14" t="s">
        <v>2364</v>
      </c>
      <c r="K2683" s="14" t="s">
        <v>2364</v>
      </c>
      <c r="L2683" s="14" t="s">
        <v>2364</v>
      </c>
      <c r="M2683" s="14" t="s">
        <v>2364</v>
      </c>
      <c r="N2683" s="14" t="s">
        <v>2364</v>
      </c>
      <c r="O2683" s="14" t="s">
        <v>2364</v>
      </c>
      <c r="P2683" s="14" t="s">
        <v>2364</v>
      </c>
      <c r="Q2683" s="14" t="s">
        <v>2364</v>
      </c>
      <c r="R2683" s="14" t="s">
        <v>2364</v>
      </c>
      <c r="S2683" s="14" t="s">
        <v>2364</v>
      </c>
      <c r="T2683" s="14" t="s">
        <v>2364</v>
      </c>
      <c r="U2683" s="14" t="s">
        <v>2364</v>
      </c>
      <c r="V2683" s="14" t="s">
        <v>2364</v>
      </c>
      <c r="W2683" s="205" t="s">
        <v>2276</v>
      </c>
      <c r="X2683" s="205" t="s">
        <v>68</v>
      </c>
      <c r="Y2683" s="205" t="s">
        <v>86</v>
      </c>
      <c r="Z2683" s="205" t="s">
        <v>76</v>
      </c>
      <c r="AA2683" s="205"/>
      <c r="AB2683" s="205"/>
    </row>
    <row r="2684" spans="1:28" ht="34.5" customHeight="1">
      <c r="A2684" s="156" t="str">
        <f>'Reported burning'!A2690</f>
        <v>305u</v>
      </c>
      <c r="B2684" s="156" t="str">
        <f>'Reported burning'!B2690</f>
        <v>305u.1</v>
      </c>
      <c r="C2684" s="156" t="str">
        <f>'Reported burning'!C2690</f>
        <v>Human, deliberate</v>
      </c>
      <c r="D2684" s="156" t="str">
        <f>'Reported burning'!D2690</f>
        <v>Pyrome management</v>
      </c>
      <c r="E2684" s="156" t="str">
        <f>'Reported burning'!E2690</f>
        <v>Fire suppression agent</v>
      </c>
      <c r="F2684" s="156" t="str">
        <f>'Reported burning'!F2690</f>
        <v>ND</v>
      </c>
      <c r="G2684" s="156" t="str">
        <f>'Reported burning'!G2690</f>
        <v>ND</v>
      </c>
      <c r="H2684" s="156" t="str">
        <f>'Reported burning'!H2690</f>
        <v>Presence</v>
      </c>
      <c r="I2684" s="5"/>
      <c r="J2684" s="205" t="s">
        <v>2276</v>
      </c>
      <c r="K2684" s="205" t="s">
        <v>2276</v>
      </c>
      <c r="L2684" s="205" t="s">
        <v>2276</v>
      </c>
      <c r="M2684" s="205" t="s">
        <v>2276</v>
      </c>
      <c r="N2684" s="205" t="s">
        <v>2276</v>
      </c>
      <c r="O2684" s="205" t="s">
        <v>2276</v>
      </c>
      <c r="P2684" s="205" t="s">
        <v>2276</v>
      </c>
      <c r="Q2684" s="205" t="s">
        <v>2276</v>
      </c>
      <c r="R2684" s="205" t="s">
        <v>2276</v>
      </c>
      <c r="S2684" s="205" t="s">
        <v>2276</v>
      </c>
      <c r="T2684" s="205" t="s">
        <v>2276</v>
      </c>
      <c r="U2684" s="205" t="s">
        <v>2276</v>
      </c>
      <c r="V2684" s="205" t="s">
        <v>2276</v>
      </c>
      <c r="W2684" s="205" t="s">
        <v>2276</v>
      </c>
      <c r="X2684" s="205" t="s">
        <v>68</v>
      </c>
      <c r="Y2684" s="205" t="s">
        <v>86</v>
      </c>
      <c r="Z2684" s="205" t="s">
        <v>76</v>
      </c>
      <c r="AA2684" s="205"/>
      <c r="AB2684" s="205"/>
    </row>
    <row r="2685" spans="1:28" ht="34.5" customHeight="1">
      <c r="A2685" s="156" t="str">
        <f>'Reported burning'!A2691</f>
        <v>305v</v>
      </c>
      <c r="B2685" s="156" t="str">
        <f>'Reported burning'!B2691</f>
        <v>305v.1</v>
      </c>
      <c r="C2685" s="156" t="str">
        <f>'Reported burning'!C2691</f>
        <v>Human, deliberate</v>
      </c>
      <c r="D2685" s="156" t="str">
        <f>'Reported burning'!D2691</f>
        <v>Pyrome management</v>
      </c>
      <c r="E2685" s="156" t="str">
        <f>'Reported burning'!E2691</f>
        <v>Fire suppression agent</v>
      </c>
      <c r="F2685" s="156" t="str">
        <f>'Reported burning'!F2691</f>
        <v>ND</v>
      </c>
      <c r="G2685" s="156" t="str">
        <f>'Reported burning'!G2691</f>
        <v>ND</v>
      </c>
      <c r="H2685" s="156" t="str">
        <f>'Reported burning'!H2691</f>
        <v>Presence</v>
      </c>
      <c r="I2685" s="5"/>
      <c r="J2685" s="205" t="s">
        <v>2276</v>
      </c>
      <c r="K2685" s="205" t="s">
        <v>2276</v>
      </c>
      <c r="L2685" s="205" t="s">
        <v>2276</v>
      </c>
      <c r="M2685" s="205" t="s">
        <v>2276</v>
      </c>
      <c r="N2685" s="205" t="s">
        <v>2276</v>
      </c>
      <c r="O2685" s="205" t="s">
        <v>2276</v>
      </c>
      <c r="P2685" s="205" t="s">
        <v>2276</v>
      </c>
      <c r="Q2685" s="205" t="s">
        <v>2276</v>
      </c>
      <c r="R2685" s="205" t="s">
        <v>2276</v>
      </c>
      <c r="S2685" s="205" t="s">
        <v>2276</v>
      </c>
      <c r="T2685" s="205" t="s">
        <v>2276</v>
      </c>
      <c r="U2685" s="205" t="s">
        <v>2276</v>
      </c>
      <c r="V2685" s="205" t="s">
        <v>2276</v>
      </c>
      <c r="W2685" s="205" t="s">
        <v>2276</v>
      </c>
      <c r="X2685" s="205" t="s">
        <v>68</v>
      </c>
      <c r="Y2685" s="205" t="s">
        <v>86</v>
      </c>
      <c r="Z2685" s="205" t="s">
        <v>76</v>
      </c>
      <c r="AA2685" s="205"/>
      <c r="AB2685" s="205"/>
    </row>
    <row r="2686" spans="1:28" ht="34.5" customHeight="1">
      <c r="A2686" s="156" t="str">
        <f>'Reported burning'!A2692</f>
        <v>305w</v>
      </c>
      <c r="B2686" s="156" t="str">
        <f>'Reported burning'!B2692</f>
        <v>305w.1</v>
      </c>
      <c r="C2686" s="156" t="str">
        <f>'Reported burning'!C2692</f>
        <v>Human, deliberate</v>
      </c>
      <c r="D2686" s="156" t="str">
        <f>'Reported burning'!D2692</f>
        <v>Pyrome management</v>
      </c>
      <c r="E2686" s="156" t="str">
        <f>'Reported burning'!E2692</f>
        <v>Fire suppression agent</v>
      </c>
      <c r="F2686" s="156" t="str">
        <f>'Reported burning'!F2692</f>
        <v>ND</v>
      </c>
      <c r="G2686" s="156" t="str">
        <f>'Reported burning'!G2692</f>
        <v>ND</v>
      </c>
      <c r="H2686" s="156" t="str">
        <f>'Reported burning'!H2692</f>
        <v>Presence</v>
      </c>
      <c r="I2686" s="5"/>
      <c r="J2686" s="205" t="s">
        <v>2276</v>
      </c>
      <c r="K2686" s="205" t="s">
        <v>2276</v>
      </c>
      <c r="L2686" s="205" t="s">
        <v>2276</v>
      </c>
      <c r="M2686" s="205" t="s">
        <v>2276</v>
      </c>
      <c r="N2686" s="205" t="s">
        <v>2276</v>
      </c>
      <c r="O2686" s="205" t="s">
        <v>2276</v>
      </c>
      <c r="P2686" s="205" t="s">
        <v>2276</v>
      </c>
      <c r="Q2686" s="205" t="s">
        <v>2276</v>
      </c>
      <c r="R2686" s="205" t="s">
        <v>2276</v>
      </c>
      <c r="S2686" s="205" t="s">
        <v>2276</v>
      </c>
      <c r="T2686" s="205" t="s">
        <v>2276</v>
      </c>
      <c r="U2686" s="205" t="s">
        <v>2276</v>
      </c>
      <c r="V2686" s="205" t="s">
        <v>2276</v>
      </c>
      <c r="W2686" s="205" t="s">
        <v>2276</v>
      </c>
      <c r="X2686" s="205" t="s">
        <v>68</v>
      </c>
      <c r="Y2686" s="205" t="s">
        <v>86</v>
      </c>
      <c r="Z2686" s="205" t="s">
        <v>76</v>
      </c>
      <c r="AA2686" s="205"/>
      <c r="AB2686" s="205"/>
    </row>
    <row r="2687" spans="1:28" ht="34.5" customHeight="1">
      <c r="A2687" s="156" t="str">
        <f>'Reported burning'!A2693</f>
        <v>305x</v>
      </c>
      <c r="B2687" s="156" t="str">
        <f>'Reported burning'!B2693</f>
        <v>305x.1</v>
      </c>
      <c r="C2687" s="156" t="str">
        <f>'Reported burning'!C2693</f>
        <v>Human, deliberate</v>
      </c>
      <c r="D2687" s="156" t="str">
        <f>'Reported burning'!D2693</f>
        <v>Pyrome management</v>
      </c>
      <c r="E2687" s="156" t="str">
        <f>'Reported burning'!E2693</f>
        <v>Fire suppression agent</v>
      </c>
      <c r="F2687" s="156" t="str">
        <f>'Reported burning'!F2693</f>
        <v>ND</v>
      </c>
      <c r="G2687" s="156" t="str">
        <f>'Reported burning'!G2693</f>
        <v>ND</v>
      </c>
      <c r="H2687" s="156" t="str">
        <f>'Reported burning'!H2693</f>
        <v>Presence</v>
      </c>
      <c r="I2687" s="5"/>
      <c r="J2687" s="205" t="s">
        <v>2276</v>
      </c>
      <c r="K2687" s="205" t="s">
        <v>2276</v>
      </c>
      <c r="L2687" s="205" t="s">
        <v>2276</v>
      </c>
      <c r="M2687" s="205" t="s">
        <v>2276</v>
      </c>
      <c r="N2687" s="205" t="s">
        <v>2276</v>
      </c>
      <c r="O2687" s="205" t="s">
        <v>2276</v>
      </c>
      <c r="P2687" s="205" t="s">
        <v>2276</v>
      </c>
      <c r="Q2687" s="205" t="s">
        <v>2276</v>
      </c>
      <c r="R2687" s="205" t="s">
        <v>2276</v>
      </c>
      <c r="S2687" s="205" t="s">
        <v>2276</v>
      </c>
      <c r="T2687" s="205" t="s">
        <v>2276</v>
      </c>
      <c r="U2687" s="205" t="s">
        <v>2276</v>
      </c>
      <c r="V2687" s="205" t="s">
        <v>2276</v>
      </c>
      <c r="W2687" s="205" t="s">
        <v>2276</v>
      </c>
      <c r="X2687" s="205" t="s">
        <v>68</v>
      </c>
      <c r="Y2687" s="205" t="s">
        <v>86</v>
      </c>
      <c r="Z2687" s="205" t="s">
        <v>76</v>
      </c>
      <c r="AA2687" s="205"/>
      <c r="AB2687" s="205"/>
    </row>
    <row r="2688" spans="1:28" ht="34.5" customHeight="1">
      <c r="A2688" s="156" t="str">
        <f>'Reported burning'!A2694</f>
        <v>305y</v>
      </c>
      <c r="B2688" s="156" t="str">
        <f>'Reported burning'!B2694</f>
        <v>305y.1</v>
      </c>
      <c r="C2688" s="156" t="str">
        <f>'Reported burning'!C2694</f>
        <v>Human, deliberate</v>
      </c>
      <c r="D2688" s="156" t="str">
        <f>'Reported burning'!D2694</f>
        <v>Pyrome management</v>
      </c>
      <c r="E2688" s="156" t="str">
        <f>'Reported burning'!E2694</f>
        <v>Fire suppression agent</v>
      </c>
      <c r="F2688" s="156" t="str">
        <f>'Reported burning'!F2694</f>
        <v>ND</v>
      </c>
      <c r="G2688" s="156" t="str">
        <f>'Reported burning'!G2694</f>
        <v>ND</v>
      </c>
      <c r="H2688" s="156" t="str">
        <f>'Reported burning'!H2694</f>
        <v>Presence</v>
      </c>
      <c r="I2688" s="5"/>
      <c r="J2688" s="205" t="s">
        <v>2276</v>
      </c>
      <c r="K2688" s="205" t="s">
        <v>2276</v>
      </c>
      <c r="L2688" s="205" t="s">
        <v>2276</v>
      </c>
      <c r="M2688" s="205" t="s">
        <v>2276</v>
      </c>
      <c r="N2688" s="205" t="s">
        <v>2276</v>
      </c>
      <c r="O2688" s="205" t="s">
        <v>2276</v>
      </c>
      <c r="P2688" s="205" t="s">
        <v>2276</v>
      </c>
      <c r="Q2688" s="205" t="s">
        <v>2276</v>
      </c>
      <c r="R2688" s="205" t="s">
        <v>2276</v>
      </c>
      <c r="S2688" s="205" t="s">
        <v>2276</v>
      </c>
      <c r="T2688" s="205" t="s">
        <v>2276</v>
      </c>
      <c r="U2688" s="205" t="s">
        <v>2276</v>
      </c>
      <c r="V2688" s="205" t="s">
        <v>2276</v>
      </c>
      <c r="W2688" s="205" t="s">
        <v>2276</v>
      </c>
      <c r="X2688" s="205" t="s">
        <v>68</v>
      </c>
      <c r="Y2688" s="205" t="s">
        <v>86</v>
      </c>
      <c r="Z2688" s="205" t="s">
        <v>76</v>
      </c>
      <c r="AA2688" s="205"/>
      <c r="AB2688" s="205"/>
    </row>
    <row r="2689" spans="1:28" ht="34.5" customHeight="1">
      <c r="A2689" s="156" t="str">
        <f>'Reported burning'!A2695</f>
        <v>305z</v>
      </c>
      <c r="B2689" s="156" t="str">
        <f>'Reported burning'!B2695</f>
        <v>305z.1</v>
      </c>
      <c r="C2689" s="156" t="str">
        <f>'Reported burning'!C2695</f>
        <v>Human, deliberate</v>
      </c>
      <c r="D2689" s="156" t="str">
        <f>'Reported burning'!D2695</f>
        <v>Pyrome management</v>
      </c>
      <c r="E2689" s="156" t="str">
        <f>'Reported burning'!E2695</f>
        <v>Fire suppression agent</v>
      </c>
      <c r="F2689" s="156" t="str">
        <f>'Reported burning'!F2695</f>
        <v>ND</v>
      </c>
      <c r="G2689" s="156" t="str">
        <f>'Reported burning'!G2695</f>
        <v>ND</v>
      </c>
      <c r="H2689" s="156" t="str">
        <f>'Reported burning'!H2695</f>
        <v>Presence</v>
      </c>
      <c r="I2689" s="5"/>
      <c r="J2689" s="205" t="s">
        <v>2276</v>
      </c>
      <c r="K2689" s="205" t="s">
        <v>2276</v>
      </c>
      <c r="L2689" s="205" t="s">
        <v>2276</v>
      </c>
      <c r="M2689" s="205" t="s">
        <v>2276</v>
      </c>
      <c r="N2689" s="205" t="s">
        <v>2276</v>
      </c>
      <c r="O2689" s="205" t="s">
        <v>2276</v>
      </c>
      <c r="P2689" s="205" t="s">
        <v>2276</v>
      </c>
      <c r="Q2689" s="205" t="s">
        <v>2276</v>
      </c>
      <c r="R2689" s="205" t="s">
        <v>2276</v>
      </c>
      <c r="S2689" s="205" t="s">
        <v>2276</v>
      </c>
      <c r="T2689" s="205" t="s">
        <v>2276</v>
      </c>
      <c r="U2689" s="205" t="s">
        <v>2276</v>
      </c>
      <c r="V2689" s="205" t="s">
        <v>2276</v>
      </c>
      <c r="W2689" s="205" t="s">
        <v>2276</v>
      </c>
      <c r="X2689" s="205" t="s">
        <v>68</v>
      </c>
      <c r="Y2689" s="205" t="s">
        <v>86</v>
      </c>
      <c r="Z2689" s="205" t="s">
        <v>76</v>
      </c>
      <c r="AA2689" s="205"/>
      <c r="AB2689" s="205"/>
    </row>
    <row r="2690" spans="1:28" ht="34.5" customHeight="1">
      <c r="A2690" s="156" t="str">
        <f>'Reported burning'!A2696</f>
        <v>305aa</v>
      </c>
      <c r="B2690" s="156" t="str">
        <f>'Reported burning'!B2696</f>
        <v>305aa.1</v>
      </c>
      <c r="C2690" s="156" t="str">
        <f>'Reported burning'!C2696</f>
        <v>Human, deliberate</v>
      </c>
      <c r="D2690" s="156" t="str">
        <f>'Reported burning'!D2696</f>
        <v>Pyrome management</v>
      </c>
      <c r="E2690" s="156" t="str">
        <f>'Reported burning'!E2696</f>
        <v>Fire suppression agent</v>
      </c>
      <c r="F2690" s="156" t="str">
        <f>'Reported burning'!F2696</f>
        <v>ND</v>
      </c>
      <c r="G2690" s="156" t="str">
        <f>'Reported burning'!G2696</f>
        <v>ND</v>
      </c>
      <c r="H2690" s="156" t="str">
        <f>'Reported burning'!H2696</f>
        <v>Presence</v>
      </c>
      <c r="I2690" s="5"/>
      <c r="J2690" s="205" t="s">
        <v>2276</v>
      </c>
      <c r="K2690" s="205" t="s">
        <v>2276</v>
      </c>
      <c r="L2690" s="205" t="s">
        <v>2276</v>
      </c>
      <c r="M2690" s="205" t="s">
        <v>2276</v>
      </c>
      <c r="N2690" s="205" t="s">
        <v>2276</v>
      </c>
      <c r="O2690" s="205" t="s">
        <v>2276</v>
      </c>
      <c r="P2690" s="205" t="s">
        <v>2276</v>
      </c>
      <c r="Q2690" s="205" t="s">
        <v>2276</v>
      </c>
      <c r="R2690" s="205" t="s">
        <v>2276</v>
      </c>
      <c r="S2690" s="205" t="s">
        <v>2276</v>
      </c>
      <c r="T2690" s="205" t="s">
        <v>2276</v>
      </c>
      <c r="U2690" s="205" t="s">
        <v>2276</v>
      </c>
      <c r="V2690" s="205" t="s">
        <v>2276</v>
      </c>
      <c r="W2690" s="205" t="s">
        <v>2276</v>
      </c>
      <c r="X2690" s="205" t="s">
        <v>68</v>
      </c>
      <c r="Y2690" s="205" t="s">
        <v>86</v>
      </c>
      <c r="Z2690" s="205" t="s">
        <v>76</v>
      </c>
      <c r="AA2690" s="205"/>
      <c r="AB2690" s="205"/>
    </row>
    <row r="2691" spans="1:28" ht="34.5" customHeight="1">
      <c r="A2691" s="156" t="str">
        <f>'Reported burning'!A2697</f>
        <v>305ab</v>
      </c>
      <c r="B2691" s="156" t="str">
        <f>'Reported burning'!B2697</f>
        <v>305ab.1</v>
      </c>
      <c r="C2691" s="156" t="str">
        <f>'Reported burning'!C2697</f>
        <v>Human, deliberate</v>
      </c>
      <c r="D2691" s="156" t="str">
        <f>'Reported burning'!D2697</f>
        <v>Pyrome management</v>
      </c>
      <c r="E2691" s="156" t="str">
        <f>'Reported burning'!E2697</f>
        <v>Fire suppression agent</v>
      </c>
      <c r="F2691" s="156" t="str">
        <f>'Reported burning'!F2697</f>
        <v>ND</v>
      </c>
      <c r="G2691" s="156" t="str">
        <f>'Reported burning'!G2697</f>
        <v>ND</v>
      </c>
      <c r="H2691" s="156" t="str">
        <f>'Reported burning'!H2697</f>
        <v>Presence</v>
      </c>
      <c r="I2691" s="5"/>
      <c r="J2691" s="205" t="s">
        <v>2276</v>
      </c>
      <c r="K2691" s="205" t="s">
        <v>2276</v>
      </c>
      <c r="L2691" s="205" t="s">
        <v>2276</v>
      </c>
      <c r="M2691" s="205" t="s">
        <v>2276</v>
      </c>
      <c r="N2691" s="205" t="s">
        <v>2276</v>
      </c>
      <c r="O2691" s="205" t="s">
        <v>2276</v>
      </c>
      <c r="P2691" s="205" t="s">
        <v>2276</v>
      </c>
      <c r="Q2691" s="205" t="s">
        <v>2276</v>
      </c>
      <c r="R2691" s="205" t="s">
        <v>2276</v>
      </c>
      <c r="S2691" s="205" t="s">
        <v>2276</v>
      </c>
      <c r="T2691" s="205" t="s">
        <v>2276</v>
      </c>
      <c r="U2691" s="205" t="s">
        <v>2276</v>
      </c>
      <c r="V2691" s="205" t="s">
        <v>2276</v>
      </c>
      <c r="W2691" s="205" t="s">
        <v>2276</v>
      </c>
      <c r="X2691" s="205" t="s">
        <v>68</v>
      </c>
      <c r="Y2691" s="205" t="s">
        <v>86</v>
      </c>
      <c r="Z2691" s="205" t="s">
        <v>76</v>
      </c>
      <c r="AA2691" s="205"/>
      <c r="AB2691" s="205"/>
    </row>
    <row r="2692" spans="1:28" ht="34.5" customHeight="1">
      <c r="A2692" s="156" t="str">
        <f>'Reported burning'!A2698</f>
        <v>305ac</v>
      </c>
      <c r="B2692" s="156" t="str">
        <f>'Reported burning'!B2698</f>
        <v>305ac.1</v>
      </c>
      <c r="C2692" s="156" t="str">
        <f>'Reported burning'!C2698</f>
        <v>Human, deliberate</v>
      </c>
      <c r="D2692" s="156" t="str">
        <f>'Reported burning'!D2698</f>
        <v>Pyrome management</v>
      </c>
      <c r="E2692" s="156" t="str">
        <f>'Reported burning'!E2698</f>
        <v>Fire suppression agent</v>
      </c>
      <c r="F2692" s="156" t="str">
        <f>'Reported burning'!F2698</f>
        <v>ND</v>
      </c>
      <c r="G2692" s="156" t="str">
        <f>'Reported burning'!G2698</f>
        <v>ND</v>
      </c>
      <c r="H2692" s="156" t="str">
        <f>'Reported burning'!H2698</f>
        <v>Presence</v>
      </c>
      <c r="I2692" s="5"/>
      <c r="J2692" s="205" t="s">
        <v>2276</v>
      </c>
      <c r="K2692" s="205" t="s">
        <v>2276</v>
      </c>
      <c r="L2692" s="205" t="s">
        <v>2276</v>
      </c>
      <c r="M2692" s="205" t="s">
        <v>2276</v>
      </c>
      <c r="N2692" s="205" t="s">
        <v>2276</v>
      </c>
      <c r="O2692" s="205" t="s">
        <v>2276</v>
      </c>
      <c r="P2692" s="205" t="s">
        <v>2276</v>
      </c>
      <c r="Q2692" s="205" t="s">
        <v>2276</v>
      </c>
      <c r="R2692" s="205" t="s">
        <v>2276</v>
      </c>
      <c r="S2692" s="205" t="s">
        <v>2276</v>
      </c>
      <c r="T2692" s="205" t="s">
        <v>2276</v>
      </c>
      <c r="U2692" s="205" t="s">
        <v>2276</v>
      </c>
      <c r="V2692" s="205" t="s">
        <v>2276</v>
      </c>
      <c r="W2692" s="205" t="s">
        <v>2276</v>
      </c>
      <c r="X2692" s="205" t="s">
        <v>68</v>
      </c>
      <c r="Y2692" s="205" t="s">
        <v>86</v>
      </c>
      <c r="Z2692" s="205" t="s">
        <v>76</v>
      </c>
      <c r="AA2692" s="205"/>
      <c r="AB2692" s="205"/>
    </row>
    <row r="2693" spans="1:28" ht="34.5" customHeight="1">
      <c r="A2693" s="156" t="str">
        <f>'Reported burning'!A2699</f>
        <v>305ad</v>
      </c>
      <c r="B2693" s="156" t="str">
        <f>'Reported burning'!B2699</f>
        <v>305ad.1</v>
      </c>
      <c r="C2693" s="156" t="str">
        <f>'Reported burning'!C2699</f>
        <v>Human, deliberate</v>
      </c>
      <c r="D2693" s="156" t="str">
        <f>'Reported burning'!D2699</f>
        <v>Pyrome management</v>
      </c>
      <c r="E2693" s="156" t="str">
        <f>'Reported burning'!E2699</f>
        <v>Fire suppression agent</v>
      </c>
      <c r="F2693" s="156" t="str">
        <f>'Reported burning'!F2699</f>
        <v>ND</v>
      </c>
      <c r="G2693" s="156" t="str">
        <f>'Reported burning'!G2699</f>
        <v>ND</v>
      </c>
      <c r="H2693" s="156" t="str">
        <f>'Reported burning'!H2699</f>
        <v>Presence</v>
      </c>
      <c r="I2693" s="5"/>
      <c r="J2693" s="205" t="s">
        <v>2276</v>
      </c>
      <c r="K2693" s="205" t="s">
        <v>2276</v>
      </c>
      <c r="L2693" s="205" t="s">
        <v>2276</v>
      </c>
      <c r="M2693" s="205" t="s">
        <v>2276</v>
      </c>
      <c r="N2693" s="205" t="s">
        <v>2276</v>
      </c>
      <c r="O2693" s="205" t="s">
        <v>2276</v>
      </c>
      <c r="P2693" s="205" t="s">
        <v>2276</v>
      </c>
      <c r="Q2693" s="205" t="s">
        <v>2276</v>
      </c>
      <c r="R2693" s="205" t="s">
        <v>2276</v>
      </c>
      <c r="S2693" s="205" t="s">
        <v>2276</v>
      </c>
      <c r="T2693" s="205" t="s">
        <v>2276</v>
      </c>
      <c r="U2693" s="205" t="s">
        <v>2276</v>
      </c>
      <c r="V2693" s="205" t="s">
        <v>2276</v>
      </c>
      <c r="W2693" s="205" t="s">
        <v>2276</v>
      </c>
      <c r="X2693" s="205" t="s">
        <v>68</v>
      </c>
      <c r="Y2693" s="205" t="s">
        <v>86</v>
      </c>
      <c r="Z2693" s="205" t="s">
        <v>76</v>
      </c>
      <c r="AA2693" s="205"/>
      <c r="AB2693" s="205"/>
    </row>
    <row r="2694" spans="1:28" ht="34.5" customHeight="1">
      <c r="A2694" s="156" t="str">
        <f>'Reported burning'!A2700</f>
        <v>305ae</v>
      </c>
      <c r="B2694" s="156" t="str">
        <f>'Reported burning'!B2700</f>
        <v>305ae.1</v>
      </c>
      <c r="C2694" s="156" t="str">
        <f>'Reported burning'!C2700</f>
        <v>Human, deliberate</v>
      </c>
      <c r="D2694" s="156" t="str">
        <f>'Reported burning'!D2700</f>
        <v>Pyrome management</v>
      </c>
      <c r="E2694" s="156" t="str">
        <f>'Reported burning'!E2700</f>
        <v>Fire suppression agent</v>
      </c>
      <c r="F2694" s="156" t="str">
        <f>'Reported burning'!F2700</f>
        <v>ND</v>
      </c>
      <c r="G2694" s="156" t="str">
        <f>'Reported burning'!G2700</f>
        <v>ND</v>
      </c>
      <c r="H2694" s="156" t="str">
        <f>'Reported burning'!H2700</f>
        <v>Presence</v>
      </c>
      <c r="I2694" s="5"/>
      <c r="J2694" s="205" t="s">
        <v>2276</v>
      </c>
      <c r="K2694" s="205" t="s">
        <v>2276</v>
      </c>
      <c r="L2694" s="205" t="s">
        <v>2276</v>
      </c>
      <c r="M2694" s="205" t="s">
        <v>2276</v>
      </c>
      <c r="N2694" s="205" t="s">
        <v>2276</v>
      </c>
      <c r="O2694" s="205" t="s">
        <v>2276</v>
      </c>
      <c r="P2694" s="205" t="s">
        <v>2276</v>
      </c>
      <c r="Q2694" s="205" t="s">
        <v>2276</v>
      </c>
      <c r="R2694" s="205" t="s">
        <v>2276</v>
      </c>
      <c r="S2694" s="205" t="s">
        <v>2276</v>
      </c>
      <c r="T2694" s="205" t="s">
        <v>2276</v>
      </c>
      <c r="U2694" s="205" t="s">
        <v>2276</v>
      </c>
      <c r="V2694" s="205" t="s">
        <v>2276</v>
      </c>
      <c r="W2694" s="205" t="s">
        <v>2276</v>
      </c>
      <c r="X2694" s="205" t="s">
        <v>68</v>
      </c>
      <c r="Y2694" s="205" t="s">
        <v>86</v>
      </c>
      <c r="Z2694" s="205" t="s">
        <v>76</v>
      </c>
      <c r="AA2694" s="205"/>
      <c r="AB2694" s="205"/>
    </row>
    <row r="2695" spans="1:28" ht="34.5" customHeight="1">
      <c r="A2695" s="156" t="str">
        <f>'Reported burning'!A2701</f>
        <v>305n</v>
      </c>
      <c r="B2695" s="156" t="str">
        <f>'Reported burning'!B2701</f>
        <v>305n.2</v>
      </c>
      <c r="C2695" s="156" t="str">
        <f>'Reported burning'!C2701</f>
        <v>Human, deliberate</v>
      </c>
      <c r="D2695" s="156" t="str">
        <f>'Reported burning'!D2701</f>
        <v>Pyrome management</v>
      </c>
      <c r="E2695" s="156" t="str">
        <f>'Reported burning'!E2701</f>
        <v>Fire suppression agent</v>
      </c>
      <c r="F2695" s="156" t="str">
        <f>'Reported burning'!F2701</f>
        <v>ND</v>
      </c>
      <c r="G2695" s="156" t="str">
        <f>'Reported burning'!G2701</f>
        <v>ND</v>
      </c>
      <c r="H2695" s="156" t="str">
        <f>'Reported burning'!H2701</f>
        <v>Presence</v>
      </c>
      <c r="I2695" s="5"/>
      <c r="J2695" s="205" t="s">
        <v>2276</v>
      </c>
      <c r="K2695" s="205" t="s">
        <v>2276</v>
      </c>
      <c r="L2695" s="205" t="s">
        <v>2276</v>
      </c>
      <c r="M2695" s="205" t="s">
        <v>2276</v>
      </c>
      <c r="N2695" s="205" t="s">
        <v>2276</v>
      </c>
      <c r="O2695" s="205" t="s">
        <v>2276</v>
      </c>
      <c r="P2695" s="205" t="s">
        <v>2276</v>
      </c>
      <c r="Q2695" s="205" t="s">
        <v>2276</v>
      </c>
      <c r="R2695" s="205" t="s">
        <v>2276</v>
      </c>
      <c r="S2695" s="205" t="s">
        <v>2276</v>
      </c>
      <c r="T2695" s="205" t="s">
        <v>2276</v>
      </c>
      <c r="U2695" s="205" t="s">
        <v>2276</v>
      </c>
      <c r="V2695" s="205" t="s">
        <v>2276</v>
      </c>
      <c r="W2695" s="205" t="s">
        <v>2276</v>
      </c>
      <c r="X2695" s="205" t="s">
        <v>68</v>
      </c>
      <c r="Y2695" s="205" t="s">
        <v>86</v>
      </c>
      <c r="Z2695" s="205" t="s">
        <v>76</v>
      </c>
      <c r="AA2695" s="205"/>
      <c r="AB2695" s="205"/>
    </row>
    <row r="2696" spans="1:28" ht="34.5" customHeight="1">
      <c r="A2696" s="156" t="str">
        <f>'Reported burning'!A2702</f>
        <v>305o</v>
      </c>
      <c r="B2696" s="156" t="str">
        <f>'Reported burning'!B2702</f>
        <v>305o.2</v>
      </c>
      <c r="C2696" s="156" t="str">
        <f>'Reported burning'!C2702</f>
        <v>Human, deliberate</v>
      </c>
      <c r="D2696" s="156" t="str">
        <f>'Reported burning'!D2702</f>
        <v>Pyrome management</v>
      </c>
      <c r="E2696" s="156" t="str">
        <f>'Reported burning'!E2702</f>
        <v>Fire suppression agent</v>
      </c>
      <c r="F2696" s="156" t="str">
        <f>'Reported burning'!F2702</f>
        <v>ND</v>
      </c>
      <c r="G2696" s="156" t="str">
        <f>'Reported burning'!G2702</f>
        <v>ND</v>
      </c>
      <c r="H2696" s="156" t="str">
        <f>'Reported burning'!H2702</f>
        <v>Presence</v>
      </c>
      <c r="I2696" s="5"/>
      <c r="J2696" s="205" t="s">
        <v>2276</v>
      </c>
      <c r="K2696" s="205" t="s">
        <v>2276</v>
      </c>
      <c r="L2696" s="205" t="s">
        <v>2276</v>
      </c>
      <c r="M2696" s="205" t="s">
        <v>2276</v>
      </c>
      <c r="N2696" s="205" t="s">
        <v>2276</v>
      </c>
      <c r="O2696" s="205" t="s">
        <v>2276</v>
      </c>
      <c r="P2696" s="205" t="s">
        <v>2276</v>
      </c>
      <c r="Q2696" s="205" t="s">
        <v>2276</v>
      </c>
      <c r="R2696" s="205" t="s">
        <v>2276</v>
      </c>
      <c r="S2696" s="205" t="s">
        <v>2276</v>
      </c>
      <c r="T2696" s="205" t="s">
        <v>2276</v>
      </c>
      <c r="U2696" s="205" t="s">
        <v>2276</v>
      </c>
      <c r="V2696" s="205" t="s">
        <v>2276</v>
      </c>
      <c r="W2696" s="205" t="s">
        <v>2276</v>
      </c>
      <c r="X2696" s="205" t="s">
        <v>68</v>
      </c>
      <c r="Y2696" s="205" t="s">
        <v>86</v>
      </c>
      <c r="Z2696" s="205" t="s">
        <v>76</v>
      </c>
      <c r="AA2696" s="205"/>
      <c r="AB2696" s="205"/>
    </row>
    <row r="2697" spans="1:28" ht="34.5" customHeight="1">
      <c r="A2697" s="156" t="str">
        <f>'Reported burning'!A2703</f>
        <v>305p</v>
      </c>
      <c r="B2697" s="156" t="str">
        <f>'Reported burning'!B2703</f>
        <v>305p.2</v>
      </c>
      <c r="C2697" s="156" t="str">
        <f>'Reported burning'!C2703</f>
        <v>Human, deliberate</v>
      </c>
      <c r="D2697" s="156" t="str">
        <f>'Reported burning'!D2703</f>
        <v>Pyrome management</v>
      </c>
      <c r="E2697" s="156" t="str">
        <f>'Reported burning'!E2703</f>
        <v>Fire suppression agent</v>
      </c>
      <c r="F2697" s="156" t="str">
        <f>'Reported burning'!F2703</f>
        <v>ND</v>
      </c>
      <c r="G2697" s="156" t="str">
        <f>'Reported burning'!G2703</f>
        <v>ND</v>
      </c>
      <c r="H2697" s="156" t="str">
        <f>'Reported burning'!H2703</f>
        <v>Presence</v>
      </c>
      <c r="I2697" s="5"/>
      <c r="J2697" s="205" t="s">
        <v>2276</v>
      </c>
      <c r="K2697" s="205" t="s">
        <v>2276</v>
      </c>
      <c r="L2697" s="205" t="s">
        <v>2276</v>
      </c>
      <c r="M2697" s="205" t="s">
        <v>2276</v>
      </c>
      <c r="N2697" s="205" t="s">
        <v>2276</v>
      </c>
      <c r="O2697" s="205" t="s">
        <v>2276</v>
      </c>
      <c r="P2697" s="205" t="s">
        <v>2276</v>
      </c>
      <c r="Q2697" s="205" t="s">
        <v>2276</v>
      </c>
      <c r="R2697" s="205" t="s">
        <v>2276</v>
      </c>
      <c r="S2697" s="205" t="s">
        <v>2276</v>
      </c>
      <c r="T2697" s="205" t="s">
        <v>2276</v>
      </c>
      <c r="U2697" s="205" t="s">
        <v>2276</v>
      </c>
      <c r="V2697" s="205" t="s">
        <v>2276</v>
      </c>
      <c r="W2697" s="205" t="s">
        <v>2276</v>
      </c>
      <c r="X2697" s="205" t="s">
        <v>68</v>
      </c>
      <c r="Y2697" s="205" t="s">
        <v>86</v>
      </c>
      <c r="Z2697" s="205" t="s">
        <v>76</v>
      </c>
      <c r="AA2697" s="205"/>
      <c r="AB2697" s="205"/>
    </row>
    <row r="2698" spans="1:28" ht="34.5" customHeight="1">
      <c r="A2698" s="156" t="str">
        <f>'Reported burning'!A2704</f>
        <v>305q</v>
      </c>
      <c r="B2698" s="156" t="str">
        <f>'Reported burning'!B2704</f>
        <v>305q.2</v>
      </c>
      <c r="C2698" s="156" t="str">
        <f>'Reported burning'!C2704</f>
        <v>Human, deliberate</v>
      </c>
      <c r="D2698" s="156" t="str">
        <f>'Reported burning'!D2704</f>
        <v>Pyrome management</v>
      </c>
      <c r="E2698" s="156" t="str">
        <f>'Reported burning'!E2704</f>
        <v>Fire suppression agent</v>
      </c>
      <c r="F2698" s="156" t="str">
        <f>'Reported burning'!F2704</f>
        <v>ND</v>
      </c>
      <c r="G2698" s="156" t="str">
        <f>'Reported burning'!G2704</f>
        <v>ND</v>
      </c>
      <c r="H2698" s="156" t="str">
        <f>'Reported burning'!H2704</f>
        <v>Presence</v>
      </c>
      <c r="I2698" s="5"/>
      <c r="J2698" s="205" t="s">
        <v>2276</v>
      </c>
      <c r="K2698" s="205" t="s">
        <v>2276</v>
      </c>
      <c r="L2698" s="205" t="s">
        <v>2276</v>
      </c>
      <c r="M2698" s="205" t="s">
        <v>2276</v>
      </c>
      <c r="N2698" s="205" t="s">
        <v>2276</v>
      </c>
      <c r="O2698" s="205" t="s">
        <v>2276</v>
      </c>
      <c r="P2698" s="205" t="s">
        <v>2276</v>
      </c>
      <c r="Q2698" s="205" t="s">
        <v>2276</v>
      </c>
      <c r="R2698" s="205" t="s">
        <v>2276</v>
      </c>
      <c r="S2698" s="205" t="s">
        <v>2276</v>
      </c>
      <c r="T2698" s="205" t="s">
        <v>2276</v>
      </c>
      <c r="U2698" s="205" t="s">
        <v>2276</v>
      </c>
      <c r="V2698" s="205" t="s">
        <v>2276</v>
      </c>
      <c r="W2698" s="205" t="s">
        <v>2276</v>
      </c>
      <c r="X2698" s="205" t="s">
        <v>68</v>
      </c>
      <c r="Y2698" s="205" t="s">
        <v>86</v>
      </c>
      <c r="Z2698" s="205" t="s">
        <v>76</v>
      </c>
      <c r="AA2698" s="205"/>
      <c r="AB2698" s="205"/>
    </row>
    <row r="2699" spans="1:28" ht="34.5" customHeight="1">
      <c r="A2699" s="156" t="str">
        <f>'Reported burning'!A2705</f>
        <v>305r</v>
      </c>
      <c r="B2699" s="156" t="str">
        <f>'Reported burning'!B2705</f>
        <v>305r.2</v>
      </c>
      <c r="C2699" s="156" t="str">
        <f>'Reported burning'!C2705</f>
        <v>Human, deliberate</v>
      </c>
      <c r="D2699" s="156" t="str">
        <f>'Reported burning'!D2705</f>
        <v>Pyrome management</v>
      </c>
      <c r="E2699" s="156" t="str">
        <f>'Reported burning'!E2705</f>
        <v>Fire suppression agent</v>
      </c>
      <c r="F2699" s="156" t="str">
        <f>'Reported burning'!F2705</f>
        <v>ND</v>
      </c>
      <c r="G2699" s="156" t="str">
        <f>'Reported burning'!G2705</f>
        <v>ND</v>
      </c>
      <c r="H2699" s="156" t="str">
        <f>'Reported burning'!H2705</f>
        <v>Absence</v>
      </c>
      <c r="I2699" s="5"/>
      <c r="J2699" s="14" t="s">
        <v>2364</v>
      </c>
      <c r="K2699" s="14" t="s">
        <v>2364</v>
      </c>
      <c r="L2699" s="14" t="s">
        <v>2364</v>
      </c>
      <c r="M2699" s="14" t="s">
        <v>2364</v>
      </c>
      <c r="N2699" s="14" t="s">
        <v>2364</v>
      </c>
      <c r="O2699" s="14" t="s">
        <v>2364</v>
      </c>
      <c r="P2699" s="14" t="s">
        <v>2364</v>
      </c>
      <c r="Q2699" s="14" t="s">
        <v>2364</v>
      </c>
      <c r="R2699" s="14" t="s">
        <v>2364</v>
      </c>
      <c r="S2699" s="14" t="s">
        <v>2364</v>
      </c>
      <c r="T2699" s="14" t="s">
        <v>2364</v>
      </c>
      <c r="U2699" s="14" t="s">
        <v>2364</v>
      </c>
      <c r="V2699" s="14" t="s">
        <v>2364</v>
      </c>
      <c r="W2699" s="205" t="s">
        <v>2276</v>
      </c>
      <c r="X2699" s="205" t="s">
        <v>68</v>
      </c>
      <c r="Y2699" s="205" t="s">
        <v>86</v>
      </c>
      <c r="Z2699" s="205" t="s">
        <v>76</v>
      </c>
      <c r="AA2699" s="205"/>
      <c r="AB2699" s="205"/>
    </row>
    <row r="2700" spans="1:28" ht="34.5" customHeight="1">
      <c r="A2700" s="156" t="str">
        <f>'Reported burning'!A2706</f>
        <v>305s</v>
      </c>
      <c r="B2700" s="156" t="str">
        <f>'Reported burning'!B2706</f>
        <v>305s.2</v>
      </c>
      <c r="C2700" s="156" t="str">
        <f>'Reported burning'!C2706</f>
        <v>Human, deliberate</v>
      </c>
      <c r="D2700" s="156" t="str">
        <f>'Reported burning'!D2706</f>
        <v>Pyrome management</v>
      </c>
      <c r="E2700" s="156" t="str">
        <f>'Reported burning'!E2706</f>
        <v>Fire suppression agent</v>
      </c>
      <c r="F2700" s="156" t="str">
        <f>'Reported burning'!F2706</f>
        <v>ND</v>
      </c>
      <c r="G2700" s="156" t="str">
        <f>'Reported burning'!G2706</f>
        <v>ND</v>
      </c>
      <c r="H2700" s="156" t="str">
        <f>'Reported burning'!H2706</f>
        <v>Absence</v>
      </c>
      <c r="I2700" s="5"/>
      <c r="J2700" s="14" t="s">
        <v>2364</v>
      </c>
      <c r="K2700" s="14" t="s">
        <v>2364</v>
      </c>
      <c r="L2700" s="14" t="s">
        <v>2364</v>
      </c>
      <c r="M2700" s="14" t="s">
        <v>2364</v>
      </c>
      <c r="N2700" s="14" t="s">
        <v>2364</v>
      </c>
      <c r="O2700" s="14" t="s">
        <v>2364</v>
      </c>
      <c r="P2700" s="14" t="s">
        <v>2364</v>
      </c>
      <c r="Q2700" s="14" t="s">
        <v>2364</v>
      </c>
      <c r="R2700" s="14" t="s">
        <v>2364</v>
      </c>
      <c r="S2700" s="14" t="s">
        <v>2364</v>
      </c>
      <c r="T2700" s="14" t="s">
        <v>2364</v>
      </c>
      <c r="U2700" s="14" t="s">
        <v>2364</v>
      </c>
      <c r="V2700" s="14" t="s">
        <v>2364</v>
      </c>
      <c r="W2700" s="205" t="s">
        <v>2276</v>
      </c>
      <c r="X2700" s="205" t="s">
        <v>68</v>
      </c>
      <c r="Y2700" s="205" t="s">
        <v>86</v>
      </c>
      <c r="Z2700" s="205" t="s">
        <v>76</v>
      </c>
      <c r="AA2700" s="205"/>
      <c r="AB2700" s="205"/>
    </row>
    <row r="2701" spans="1:28" ht="34.5" customHeight="1">
      <c r="A2701" s="156" t="str">
        <f>'Reported burning'!A2707</f>
        <v>305t</v>
      </c>
      <c r="B2701" s="156" t="str">
        <f>'Reported burning'!B2707</f>
        <v>305t.2</v>
      </c>
      <c r="C2701" s="156" t="str">
        <f>'Reported burning'!C2707</f>
        <v>Human, deliberate</v>
      </c>
      <c r="D2701" s="156" t="str">
        <f>'Reported burning'!D2707</f>
        <v>Pyrome management</v>
      </c>
      <c r="E2701" s="156" t="str">
        <f>'Reported burning'!E2707</f>
        <v>Fire suppression agent</v>
      </c>
      <c r="F2701" s="156" t="str">
        <f>'Reported burning'!F2707</f>
        <v>ND</v>
      </c>
      <c r="G2701" s="156" t="str">
        <f>'Reported burning'!G2707</f>
        <v>ND</v>
      </c>
      <c r="H2701" s="156" t="str">
        <f>'Reported burning'!H2707</f>
        <v>Absence</v>
      </c>
      <c r="I2701" s="5"/>
      <c r="J2701" s="14" t="s">
        <v>2364</v>
      </c>
      <c r="K2701" s="14" t="s">
        <v>2364</v>
      </c>
      <c r="L2701" s="14" t="s">
        <v>2364</v>
      </c>
      <c r="M2701" s="14" t="s">
        <v>2364</v>
      </c>
      <c r="N2701" s="14" t="s">
        <v>2364</v>
      </c>
      <c r="O2701" s="14" t="s">
        <v>2364</v>
      </c>
      <c r="P2701" s="14" t="s">
        <v>2364</v>
      </c>
      <c r="Q2701" s="14" t="s">
        <v>2364</v>
      </c>
      <c r="R2701" s="14" t="s">
        <v>2364</v>
      </c>
      <c r="S2701" s="14" t="s">
        <v>2364</v>
      </c>
      <c r="T2701" s="14" t="s">
        <v>2364</v>
      </c>
      <c r="U2701" s="14" t="s">
        <v>2364</v>
      </c>
      <c r="V2701" s="14" t="s">
        <v>2364</v>
      </c>
      <c r="W2701" s="205" t="s">
        <v>2276</v>
      </c>
      <c r="X2701" s="205" t="s">
        <v>68</v>
      </c>
      <c r="Y2701" s="205" t="s">
        <v>86</v>
      </c>
      <c r="Z2701" s="205" t="s">
        <v>76</v>
      </c>
      <c r="AA2701" s="205"/>
      <c r="AB2701" s="205"/>
    </row>
    <row r="2702" spans="1:28" ht="34.5" customHeight="1">
      <c r="A2702" s="156" t="str">
        <f>'Reported burning'!A2708</f>
        <v>305u</v>
      </c>
      <c r="B2702" s="156" t="str">
        <f>'Reported burning'!B2708</f>
        <v>305u.2</v>
      </c>
      <c r="C2702" s="156" t="str">
        <f>'Reported burning'!C2708</f>
        <v>Human, deliberate</v>
      </c>
      <c r="D2702" s="156" t="str">
        <f>'Reported burning'!D2708</f>
        <v>Pyrome management</v>
      </c>
      <c r="E2702" s="156" t="str">
        <f>'Reported burning'!E2708</f>
        <v>Fire suppression agent</v>
      </c>
      <c r="F2702" s="156" t="str">
        <f>'Reported burning'!F2708</f>
        <v>ND</v>
      </c>
      <c r="G2702" s="156" t="str">
        <f>'Reported burning'!G2708</f>
        <v>ND</v>
      </c>
      <c r="H2702" s="156" t="str">
        <f>'Reported burning'!H2708</f>
        <v>Presence</v>
      </c>
      <c r="I2702" s="5"/>
      <c r="J2702" s="205" t="s">
        <v>2276</v>
      </c>
      <c r="K2702" s="205" t="s">
        <v>2276</v>
      </c>
      <c r="L2702" s="205" t="s">
        <v>2276</v>
      </c>
      <c r="M2702" s="205" t="s">
        <v>2276</v>
      </c>
      <c r="N2702" s="205" t="s">
        <v>2276</v>
      </c>
      <c r="O2702" s="205" t="s">
        <v>2276</v>
      </c>
      <c r="P2702" s="205" t="s">
        <v>2276</v>
      </c>
      <c r="Q2702" s="205" t="s">
        <v>2276</v>
      </c>
      <c r="R2702" s="205" t="s">
        <v>2276</v>
      </c>
      <c r="S2702" s="205" t="s">
        <v>2276</v>
      </c>
      <c r="T2702" s="205" t="s">
        <v>2276</v>
      </c>
      <c r="U2702" s="205" t="s">
        <v>2276</v>
      </c>
      <c r="V2702" s="205" t="s">
        <v>2276</v>
      </c>
      <c r="W2702" s="205" t="s">
        <v>2276</v>
      </c>
      <c r="X2702" s="205" t="s">
        <v>68</v>
      </c>
      <c r="Y2702" s="205" t="s">
        <v>86</v>
      </c>
      <c r="Z2702" s="205" t="s">
        <v>76</v>
      </c>
      <c r="AA2702" s="205"/>
      <c r="AB2702" s="205"/>
    </row>
    <row r="2703" spans="1:28" ht="34.5" customHeight="1">
      <c r="A2703" s="156" t="str">
        <f>'Reported burning'!A2709</f>
        <v>305v</v>
      </c>
      <c r="B2703" s="156" t="str">
        <f>'Reported burning'!B2709</f>
        <v>305v.2</v>
      </c>
      <c r="C2703" s="156" t="str">
        <f>'Reported burning'!C2709</f>
        <v>Human, deliberate</v>
      </c>
      <c r="D2703" s="156" t="str">
        <f>'Reported burning'!D2709</f>
        <v>Pyrome management</v>
      </c>
      <c r="E2703" s="156" t="str">
        <f>'Reported burning'!E2709</f>
        <v>Fire suppression agent</v>
      </c>
      <c r="F2703" s="156" t="str">
        <f>'Reported burning'!F2709</f>
        <v>ND</v>
      </c>
      <c r="G2703" s="156" t="str">
        <f>'Reported burning'!G2709</f>
        <v>ND</v>
      </c>
      <c r="H2703" s="156" t="str">
        <f>'Reported burning'!H2709</f>
        <v>Presence</v>
      </c>
      <c r="I2703" s="5"/>
      <c r="J2703" s="205" t="s">
        <v>2276</v>
      </c>
      <c r="K2703" s="205" t="s">
        <v>2276</v>
      </c>
      <c r="L2703" s="205" t="s">
        <v>2276</v>
      </c>
      <c r="M2703" s="205" t="s">
        <v>2276</v>
      </c>
      <c r="N2703" s="205" t="s">
        <v>2276</v>
      </c>
      <c r="O2703" s="205" t="s">
        <v>2276</v>
      </c>
      <c r="P2703" s="205" t="s">
        <v>2276</v>
      </c>
      <c r="Q2703" s="205" t="s">
        <v>2276</v>
      </c>
      <c r="R2703" s="205" t="s">
        <v>2276</v>
      </c>
      <c r="S2703" s="205" t="s">
        <v>2276</v>
      </c>
      <c r="T2703" s="205" t="s">
        <v>2276</v>
      </c>
      <c r="U2703" s="205" t="s">
        <v>2276</v>
      </c>
      <c r="V2703" s="205" t="s">
        <v>2276</v>
      </c>
      <c r="W2703" s="205" t="s">
        <v>2276</v>
      </c>
      <c r="X2703" s="205" t="s">
        <v>68</v>
      </c>
      <c r="Y2703" s="205" t="s">
        <v>86</v>
      </c>
      <c r="Z2703" s="205" t="s">
        <v>76</v>
      </c>
      <c r="AA2703" s="205"/>
      <c r="AB2703" s="205"/>
    </row>
    <row r="2704" spans="1:28" ht="34.5" customHeight="1">
      <c r="A2704" s="156" t="str">
        <f>'Reported burning'!A2710</f>
        <v>305w</v>
      </c>
      <c r="B2704" s="156" t="str">
        <f>'Reported burning'!B2710</f>
        <v>305w.2</v>
      </c>
      <c r="C2704" s="156" t="str">
        <f>'Reported burning'!C2710</f>
        <v>Human, deliberate</v>
      </c>
      <c r="D2704" s="156" t="str">
        <f>'Reported burning'!D2710</f>
        <v>Pyrome management</v>
      </c>
      <c r="E2704" s="156" t="str">
        <f>'Reported burning'!E2710</f>
        <v>Fire suppression agent</v>
      </c>
      <c r="F2704" s="156" t="str">
        <f>'Reported burning'!F2710</f>
        <v>ND</v>
      </c>
      <c r="G2704" s="156" t="str">
        <f>'Reported burning'!G2710</f>
        <v>ND</v>
      </c>
      <c r="H2704" s="156" t="str">
        <f>'Reported burning'!H2710</f>
        <v>Presence</v>
      </c>
      <c r="I2704" s="5"/>
      <c r="J2704" s="205" t="s">
        <v>2276</v>
      </c>
      <c r="K2704" s="205" t="s">
        <v>2276</v>
      </c>
      <c r="L2704" s="205" t="s">
        <v>2276</v>
      </c>
      <c r="M2704" s="205" t="s">
        <v>2276</v>
      </c>
      <c r="N2704" s="205" t="s">
        <v>2276</v>
      </c>
      <c r="O2704" s="205" t="s">
        <v>2276</v>
      </c>
      <c r="P2704" s="205" t="s">
        <v>2276</v>
      </c>
      <c r="Q2704" s="205" t="s">
        <v>2276</v>
      </c>
      <c r="R2704" s="205" t="s">
        <v>2276</v>
      </c>
      <c r="S2704" s="205" t="s">
        <v>2276</v>
      </c>
      <c r="T2704" s="205" t="s">
        <v>2276</v>
      </c>
      <c r="U2704" s="205" t="s">
        <v>2276</v>
      </c>
      <c r="V2704" s="205" t="s">
        <v>2276</v>
      </c>
      <c r="W2704" s="205" t="s">
        <v>2276</v>
      </c>
      <c r="X2704" s="205" t="s">
        <v>68</v>
      </c>
      <c r="Y2704" s="205" t="s">
        <v>86</v>
      </c>
      <c r="Z2704" s="205" t="s">
        <v>76</v>
      </c>
      <c r="AA2704" s="205"/>
      <c r="AB2704" s="205"/>
    </row>
    <row r="2705" spans="1:28" ht="34.5" customHeight="1">
      <c r="A2705" s="156" t="str">
        <f>'Reported burning'!A2711</f>
        <v>305x</v>
      </c>
      <c r="B2705" s="156" t="str">
        <f>'Reported burning'!B2711</f>
        <v>305x.2</v>
      </c>
      <c r="C2705" s="156" t="str">
        <f>'Reported burning'!C2711</f>
        <v>Human, deliberate</v>
      </c>
      <c r="D2705" s="156" t="str">
        <f>'Reported burning'!D2711</f>
        <v>Pyrome management</v>
      </c>
      <c r="E2705" s="156" t="str">
        <f>'Reported burning'!E2711</f>
        <v>Fire suppression agent</v>
      </c>
      <c r="F2705" s="156" t="str">
        <f>'Reported burning'!F2711</f>
        <v>ND</v>
      </c>
      <c r="G2705" s="156" t="str">
        <f>'Reported burning'!G2711</f>
        <v>ND</v>
      </c>
      <c r="H2705" s="156" t="str">
        <f>'Reported burning'!H2711</f>
        <v>Presence</v>
      </c>
      <c r="I2705" s="5"/>
      <c r="J2705" s="205" t="s">
        <v>2276</v>
      </c>
      <c r="K2705" s="205" t="s">
        <v>2276</v>
      </c>
      <c r="L2705" s="205" t="s">
        <v>2276</v>
      </c>
      <c r="M2705" s="205" t="s">
        <v>2276</v>
      </c>
      <c r="N2705" s="205" t="s">
        <v>2276</v>
      </c>
      <c r="O2705" s="205" t="s">
        <v>2276</v>
      </c>
      <c r="P2705" s="205" t="s">
        <v>2276</v>
      </c>
      <c r="Q2705" s="205" t="s">
        <v>2276</v>
      </c>
      <c r="R2705" s="205" t="s">
        <v>2276</v>
      </c>
      <c r="S2705" s="205" t="s">
        <v>2276</v>
      </c>
      <c r="T2705" s="205" t="s">
        <v>2276</v>
      </c>
      <c r="U2705" s="205" t="s">
        <v>2276</v>
      </c>
      <c r="V2705" s="205" t="s">
        <v>2276</v>
      </c>
      <c r="W2705" s="205" t="s">
        <v>2276</v>
      </c>
      <c r="X2705" s="205" t="s">
        <v>68</v>
      </c>
      <c r="Y2705" s="205" t="s">
        <v>86</v>
      </c>
      <c r="Z2705" s="205" t="s">
        <v>76</v>
      </c>
      <c r="AA2705" s="205"/>
      <c r="AB2705" s="205"/>
    </row>
    <row r="2706" spans="1:28" ht="34.5" customHeight="1">
      <c r="A2706" s="156" t="str">
        <f>'Reported burning'!A2712</f>
        <v>305y</v>
      </c>
      <c r="B2706" s="156" t="str">
        <f>'Reported burning'!B2712</f>
        <v>305y.2</v>
      </c>
      <c r="C2706" s="156" t="str">
        <f>'Reported burning'!C2712</f>
        <v>Human, deliberate</v>
      </c>
      <c r="D2706" s="156" t="str">
        <f>'Reported burning'!D2712</f>
        <v>Pyrome management</v>
      </c>
      <c r="E2706" s="156" t="str">
        <f>'Reported burning'!E2712</f>
        <v>Fire suppression agent</v>
      </c>
      <c r="F2706" s="156" t="str">
        <f>'Reported burning'!F2712</f>
        <v>ND</v>
      </c>
      <c r="G2706" s="156" t="str">
        <f>'Reported burning'!G2712</f>
        <v>ND</v>
      </c>
      <c r="H2706" s="156" t="str">
        <f>'Reported burning'!H2712</f>
        <v>Presence</v>
      </c>
      <c r="I2706" s="5"/>
      <c r="J2706" s="205" t="s">
        <v>2276</v>
      </c>
      <c r="K2706" s="205" t="s">
        <v>2276</v>
      </c>
      <c r="L2706" s="205" t="s">
        <v>2276</v>
      </c>
      <c r="M2706" s="205" t="s">
        <v>2276</v>
      </c>
      <c r="N2706" s="205" t="s">
        <v>2276</v>
      </c>
      <c r="O2706" s="205" t="s">
        <v>2276</v>
      </c>
      <c r="P2706" s="205" t="s">
        <v>2276</v>
      </c>
      <c r="Q2706" s="205" t="s">
        <v>2276</v>
      </c>
      <c r="R2706" s="205" t="s">
        <v>2276</v>
      </c>
      <c r="S2706" s="205" t="s">
        <v>2276</v>
      </c>
      <c r="T2706" s="205" t="s">
        <v>2276</v>
      </c>
      <c r="U2706" s="205" t="s">
        <v>2276</v>
      </c>
      <c r="V2706" s="205" t="s">
        <v>2276</v>
      </c>
      <c r="W2706" s="205" t="s">
        <v>2276</v>
      </c>
      <c r="X2706" s="205" t="s">
        <v>68</v>
      </c>
      <c r="Y2706" s="205" t="s">
        <v>86</v>
      </c>
      <c r="Z2706" s="205" t="s">
        <v>76</v>
      </c>
      <c r="AA2706" s="205"/>
      <c r="AB2706" s="205"/>
    </row>
    <row r="2707" spans="1:28" ht="34.5" customHeight="1">
      <c r="A2707" s="156" t="str">
        <f>'Reported burning'!A2713</f>
        <v>305z</v>
      </c>
      <c r="B2707" s="156" t="str">
        <f>'Reported burning'!B2713</f>
        <v>305z.2</v>
      </c>
      <c r="C2707" s="156" t="str">
        <f>'Reported burning'!C2713</f>
        <v>Human, deliberate</v>
      </c>
      <c r="D2707" s="156" t="str">
        <f>'Reported burning'!D2713</f>
        <v>Pyrome management</v>
      </c>
      <c r="E2707" s="156" t="str">
        <f>'Reported burning'!E2713</f>
        <v>Fire suppression agent</v>
      </c>
      <c r="F2707" s="156" t="str">
        <f>'Reported burning'!F2713</f>
        <v>ND</v>
      </c>
      <c r="G2707" s="156" t="str">
        <f>'Reported burning'!G2713</f>
        <v>ND</v>
      </c>
      <c r="H2707" s="156" t="str">
        <f>'Reported burning'!H2713</f>
        <v>Presence</v>
      </c>
      <c r="I2707" s="5"/>
      <c r="J2707" s="205" t="s">
        <v>2276</v>
      </c>
      <c r="K2707" s="205" t="s">
        <v>2276</v>
      </c>
      <c r="L2707" s="205" t="s">
        <v>2276</v>
      </c>
      <c r="M2707" s="205" t="s">
        <v>2276</v>
      </c>
      <c r="N2707" s="205" t="s">
        <v>2276</v>
      </c>
      <c r="O2707" s="205" t="s">
        <v>2276</v>
      </c>
      <c r="P2707" s="205" t="s">
        <v>2276</v>
      </c>
      <c r="Q2707" s="205" t="s">
        <v>2276</v>
      </c>
      <c r="R2707" s="205" t="s">
        <v>2276</v>
      </c>
      <c r="S2707" s="205" t="s">
        <v>2276</v>
      </c>
      <c r="T2707" s="205" t="s">
        <v>2276</v>
      </c>
      <c r="U2707" s="205" t="s">
        <v>2276</v>
      </c>
      <c r="V2707" s="205" t="s">
        <v>2276</v>
      </c>
      <c r="W2707" s="205" t="s">
        <v>2276</v>
      </c>
      <c r="X2707" s="205" t="s">
        <v>68</v>
      </c>
      <c r="Y2707" s="205" t="s">
        <v>86</v>
      </c>
      <c r="Z2707" s="205" t="s">
        <v>76</v>
      </c>
      <c r="AA2707" s="205"/>
      <c r="AB2707" s="205"/>
    </row>
    <row r="2708" spans="1:28" ht="34.5" customHeight="1">
      <c r="A2708" s="156" t="str">
        <f>'Reported burning'!A2714</f>
        <v>305aa</v>
      </c>
      <c r="B2708" s="156" t="str">
        <f>'Reported burning'!B2714</f>
        <v>305aa.2</v>
      </c>
      <c r="C2708" s="156" t="str">
        <f>'Reported burning'!C2714</f>
        <v>Human, deliberate</v>
      </c>
      <c r="D2708" s="156" t="str">
        <f>'Reported burning'!D2714</f>
        <v>Pyrome management</v>
      </c>
      <c r="E2708" s="156" t="str">
        <f>'Reported burning'!E2714</f>
        <v>Fire suppression agent</v>
      </c>
      <c r="F2708" s="156" t="str">
        <f>'Reported burning'!F2714</f>
        <v>ND</v>
      </c>
      <c r="G2708" s="156" t="str">
        <f>'Reported burning'!G2714</f>
        <v>ND</v>
      </c>
      <c r="H2708" s="156" t="str">
        <f>'Reported burning'!H2714</f>
        <v>Presence</v>
      </c>
      <c r="I2708" s="5"/>
      <c r="J2708" s="205" t="s">
        <v>2276</v>
      </c>
      <c r="K2708" s="205" t="s">
        <v>2276</v>
      </c>
      <c r="L2708" s="205" t="s">
        <v>2276</v>
      </c>
      <c r="M2708" s="205" t="s">
        <v>2276</v>
      </c>
      <c r="N2708" s="205" t="s">
        <v>2276</v>
      </c>
      <c r="O2708" s="205" t="s">
        <v>2276</v>
      </c>
      <c r="P2708" s="205" t="s">
        <v>2276</v>
      </c>
      <c r="Q2708" s="205" t="s">
        <v>2276</v>
      </c>
      <c r="R2708" s="205" t="s">
        <v>2276</v>
      </c>
      <c r="S2708" s="205" t="s">
        <v>2276</v>
      </c>
      <c r="T2708" s="205" t="s">
        <v>2276</v>
      </c>
      <c r="U2708" s="205" t="s">
        <v>2276</v>
      </c>
      <c r="V2708" s="205" t="s">
        <v>2276</v>
      </c>
      <c r="W2708" s="205" t="s">
        <v>2276</v>
      </c>
      <c r="X2708" s="205" t="s">
        <v>68</v>
      </c>
      <c r="Y2708" s="205" t="s">
        <v>86</v>
      </c>
      <c r="Z2708" s="205" t="s">
        <v>76</v>
      </c>
      <c r="AA2708" s="205"/>
      <c r="AB2708" s="205"/>
    </row>
    <row r="2709" spans="1:28" ht="34.5" customHeight="1">
      <c r="A2709" s="156" t="str">
        <f>'Reported burning'!A2715</f>
        <v>305ab</v>
      </c>
      <c r="B2709" s="156" t="str">
        <f>'Reported burning'!B2715</f>
        <v>305ab.2</v>
      </c>
      <c r="C2709" s="156" t="str">
        <f>'Reported burning'!C2715</f>
        <v>Human, deliberate</v>
      </c>
      <c r="D2709" s="156" t="str">
        <f>'Reported burning'!D2715</f>
        <v>Pyrome management</v>
      </c>
      <c r="E2709" s="156" t="str">
        <f>'Reported burning'!E2715</f>
        <v>Fire suppression agent</v>
      </c>
      <c r="F2709" s="156" t="str">
        <f>'Reported burning'!F2715</f>
        <v>ND</v>
      </c>
      <c r="G2709" s="156" t="str">
        <f>'Reported burning'!G2715</f>
        <v>ND</v>
      </c>
      <c r="H2709" s="156" t="str">
        <f>'Reported burning'!H2715</f>
        <v>Presence</v>
      </c>
      <c r="I2709" s="5"/>
      <c r="J2709" s="205" t="s">
        <v>2276</v>
      </c>
      <c r="K2709" s="205" t="s">
        <v>2276</v>
      </c>
      <c r="L2709" s="205" t="s">
        <v>2276</v>
      </c>
      <c r="M2709" s="205" t="s">
        <v>2276</v>
      </c>
      <c r="N2709" s="205" t="s">
        <v>2276</v>
      </c>
      <c r="O2709" s="205" t="s">
        <v>2276</v>
      </c>
      <c r="P2709" s="205" t="s">
        <v>2276</v>
      </c>
      <c r="Q2709" s="205" t="s">
        <v>2276</v>
      </c>
      <c r="R2709" s="205" t="s">
        <v>2276</v>
      </c>
      <c r="S2709" s="205" t="s">
        <v>2276</v>
      </c>
      <c r="T2709" s="205" t="s">
        <v>2276</v>
      </c>
      <c r="U2709" s="205" t="s">
        <v>2276</v>
      </c>
      <c r="V2709" s="205" t="s">
        <v>2276</v>
      </c>
      <c r="W2709" s="205" t="s">
        <v>2276</v>
      </c>
      <c r="X2709" s="205" t="s">
        <v>68</v>
      </c>
      <c r="Y2709" s="205" t="s">
        <v>86</v>
      </c>
      <c r="Z2709" s="205" t="s">
        <v>76</v>
      </c>
      <c r="AA2709" s="205"/>
      <c r="AB2709" s="205"/>
    </row>
    <row r="2710" spans="1:28" ht="34.5" customHeight="1">
      <c r="A2710" s="156" t="str">
        <f>'Reported burning'!A2716</f>
        <v>305ac</v>
      </c>
      <c r="B2710" s="156" t="str">
        <f>'Reported burning'!B2716</f>
        <v>305ac.2</v>
      </c>
      <c r="C2710" s="156" t="str">
        <f>'Reported burning'!C2716</f>
        <v>Human, deliberate</v>
      </c>
      <c r="D2710" s="156" t="str">
        <f>'Reported burning'!D2716</f>
        <v>Pyrome management</v>
      </c>
      <c r="E2710" s="156" t="str">
        <f>'Reported burning'!E2716</f>
        <v>Fire suppression agent</v>
      </c>
      <c r="F2710" s="156" t="str">
        <f>'Reported burning'!F2716</f>
        <v>ND</v>
      </c>
      <c r="G2710" s="156" t="str">
        <f>'Reported burning'!G2716</f>
        <v>ND</v>
      </c>
      <c r="H2710" s="156" t="str">
        <f>'Reported burning'!H2716</f>
        <v>Presence</v>
      </c>
      <c r="I2710" s="5"/>
      <c r="J2710" s="205" t="s">
        <v>2276</v>
      </c>
      <c r="K2710" s="205" t="s">
        <v>2276</v>
      </c>
      <c r="L2710" s="205" t="s">
        <v>2276</v>
      </c>
      <c r="M2710" s="205" t="s">
        <v>2276</v>
      </c>
      <c r="N2710" s="205" t="s">
        <v>2276</v>
      </c>
      <c r="O2710" s="205" t="s">
        <v>2276</v>
      </c>
      <c r="P2710" s="205" t="s">
        <v>2276</v>
      </c>
      <c r="Q2710" s="205" t="s">
        <v>2276</v>
      </c>
      <c r="R2710" s="205" t="s">
        <v>2276</v>
      </c>
      <c r="S2710" s="205" t="s">
        <v>2276</v>
      </c>
      <c r="T2710" s="205" t="s">
        <v>2276</v>
      </c>
      <c r="U2710" s="205" t="s">
        <v>2276</v>
      </c>
      <c r="V2710" s="205" t="s">
        <v>2276</v>
      </c>
      <c r="W2710" s="205" t="s">
        <v>2276</v>
      </c>
      <c r="X2710" s="205" t="s">
        <v>68</v>
      </c>
      <c r="Y2710" s="205" t="s">
        <v>86</v>
      </c>
      <c r="Z2710" s="205" t="s">
        <v>76</v>
      </c>
      <c r="AA2710" s="205"/>
      <c r="AB2710" s="205"/>
    </row>
    <row r="2711" spans="1:28" ht="34.5" customHeight="1">
      <c r="A2711" s="156" t="str">
        <f>'Reported burning'!A2717</f>
        <v>305ad</v>
      </c>
      <c r="B2711" s="156" t="str">
        <f>'Reported burning'!B2717</f>
        <v>305ad.2</v>
      </c>
      <c r="C2711" s="156" t="str">
        <f>'Reported burning'!C2717</f>
        <v>Human, deliberate</v>
      </c>
      <c r="D2711" s="156" t="str">
        <f>'Reported burning'!D2717</f>
        <v>Pyrome management</v>
      </c>
      <c r="E2711" s="156" t="str">
        <f>'Reported burning'!E2717</f>
        <v>Fire suppression agent</v>
      </c>
      <c r="F2711" s="156" t="str">
        <f>'Reported burning'!F2717</f>
        <v>ND</v>
      </c>
      <c r="G2711" s="156" t="str">
        <f>'Reported burning'!G2717</f>
        <v>ND</v>
      </c>
      <c r="H2711" s="156" t="str">
        <f>'Reported burning'!H2717</f>
        <v>Presence</v>
      </c>
      <c r="I2711" s="5"/>
      <c r="J2711" s="205" t="s">
        <v>2276</v>
      </c>
      <c r="K2711" s="205" t="s">
        <v>2276</v>
      </c>
      <c r="L2711" s="205" t="s">
        <v>2276</v>
      </c>
      <c r="M2711" s="205" t="s">
        <v>2276</v>
      </c>
      <c r="N2711" s="205" t="s">
        <v>2276</v>
      </c>
      <c r="O2711" s="205" t="s">
        <v>2276</v>
      </c>
      <c r="P2711" s="205" t="s">
        <v>2276</v>
      </c>
      <c r="Q2711" s="205" t="s">
        <v>2276</v>
      </c>
      <c r="R2711" s="205" t="s">
        <v>2276</v>
      </c>
      <c r="S2711" s="205" t="s">
        <v>2276</v>
      </c>
      <c r="T2711" s="205" t="s">
        <v>2276</v>
      </c>
      <c r="U2711" s="205" t="s">
        <v>2276</v>
      </c>
      <c r="V2711" s="205" t="s">
        <v>2276</v>
      </c>
      <c r="W2711" s="205" t="s">
        <v>2276</v>
      </c>
      <c r="X2711" s="205" t="s">
        <v>68</v>
      </c>
      <c r="Y2711" s="205" t="s">
        <v>86</v>
      </c>
      <c r="Z2711" s="205" t="s">
        <v>76</v>
      </c>
      <c r="AA2711" s="205"/>
      <c r="AB2711" s="205"/>
    </row>
    <row r="2712" spans="1:28" ht="34.5" customHeight="1">
      <c r="A2712" s="156" t="str">
        <f>'Reported burning'!A2718</f>
        <v>305ae</v>
      </c>
      <c r="B2712" s="156" t="str">
        <f>'Reported burning'!B2718</f>
        <v>305ae.2</v>
      </c>
      <c r="C2712" s="156" t="str">
        <f>'Reported burning'!C2718</f>
        <v>Human, deliberate</v>
      </c>
      <c r="D2712" s="156" t="str">
        <f>'Reported burning'!D2718</f>
        <v>Pyrome management</v>
      </c>
      <c r="E2712" s="156" t="str">
        <f>'Reported burning'!E2718</f>
        <v>Fire suppression agent</v>
      </c>
      <c r="F2712" s="156" t="str">
        <f>'Reported burning'!F2718</f>
        <v>ND</v>
      </c>
      <c r="G2712" s="156" t="str">
        <f>'Reported burning'!G2718</f>
        <v>ND</v>
      </c>
      <c r="H2712" s="156" t="str">
        <f>'Reported burning'!H2718</f>
        <v>Presence</v>
      </c>
      <c r="I2712" s="5"/>
      <c r="J2712" s="205" t="s">
        <v>2276</v>
      </c>
      <c r="K2712" s="205" t="s">
        <v>2276</v>
      </c>
      <c r="L2712" s="205" t="s">
        <v>2276</v>
      </c>
      <c r="M2712" s="205" t="s">
        <v>2276</v>
      </c>
      <c r="N2712" s="205" t="s">
        <v>2276</v>
      </c>
      <c r="O2712" s="205" t="s">
        <v>2276</v>
      </c>
      <c r="P2712" s="205" t="s">
        <v>2276</v>
      </c>
      <c r="Q2712" s="205" t="s">
        <v>2276</v>
      </c>
      <c r="R2712" s="205" t="s">
        <v>2276</v>
      </c>
      <c r="S2712" s="205" t="s">
        <v>2276</v>
      </c>
      <c r="T2712" s="205" t="s">
        <v>2276</v>
      </c>
      <c r="U2712" s="205" t="s">
        <v>2276</v>
      </c>
      <c r="V2712" s="205" t="s">
        <v>2276</v>
      </c>
      <c r="W2712" s="205" t="s">
        <v>2276</v>
      </c>
      <c r="X2712" s="205" t="s">
        <v>68</v>
      </c>
      <c r="Y2712" s="205" t="s">
        <v>86</v>
      </c>
      <c r="Z2712" s="205" t="s">
        <v>76</v>
      </c>
      <c r="AA2712" s="205"/>
      <c r="AB2712" s="205"/>
    </row>
    <row r="2713" spans="1:28" ht="34.5" customHeight="1">
      <c r="A2713" s="156" t="str">
        <f>'Reported burning'!A2719</f>
        <v>305n</v>
      </c>
      <c r="B2713" s="156" t="str">
        <f>'Reported burning'!B2719</f>
        <v>305n.3</v>
      </c>
      <c r="C2713" s="156" t="str">
        <f>'Reported burning'!C2719</f>
        <v>Human, deliberate</v>
      </c>
      <c r="D2713" s="156" t="str">
        <f>'Reported burning'!D2719</f>
        <v>Pyrome management</v>
      </c>
      <c r="E2713" s="156" t="str">
        <f>'Reported burning'!E2719</f>
        <v>Fire suppression agent</v>
      </c>
      <c r="F2713" s="156" t="str">
        <f>'Reported burning'!F2719</f>
        <v>ND</v>
      </c>
      <c r="G2713" s="156" t="str">
        <f>'Reported burning'!G2719</f>
        <v>ND</v>
      </c>
      <c r="H2713" s="156" t="str">
        <f>'Reported burning'!H2719</f>
        <v>Presence</v>
      </c>
      <c r="I2713" s="5"/>
      <c r="J2713" s="205" t="s">
        <v>2276</v>
      </c>
      <c r="K2713" s="205" t="s">
        <v>2276</v>
      </c>
      <c r="L2713" s="205" t="s">
        <v>2276</v>
      </c>
      <c r="M2713" s="205" t="s">
        <v>2276</v>
      </c>
      <c r="N2713" s="205" t="s">
        <v>2276</v>
      </c>
      <c r="O2713" s="205" t="s">
        <v>2276</v>
      </c>
      <c r="P2713" s="205" t="s">
        <v>2276</v>
      </c>
      <c r="Q2713" s="205" t="s">
        <v>2276</v>
      </c>
      <c r="R2713" s="205" t="s">
        <v>2276</v>
      </c>
      <c r="S2713" s="205" t="s">
        <v>2276</v>
      </c>
      <c r="T2713" s="205" t="s">
        <v>2276</v>
      </c>
      <c r="U2713" s="205" t="s">
        <v>2276</v>
      </c>
      <c r="V2713" s="205" t="s">
        <v>2276</v>
      </c>
      <c r="W2713" s="205" t="s">
        <v>2276</v>
      </c>
      <c r="X2713" s="205" t="s">
        <v>68</v>
      </c>
      <c r="Y2713" s="205" t="s">
        <v>86</v>
      </c>
      <c r="Z2713" s="205" t="s">
        <v>76</v>
      </c>
      <c r="AA2713" s="205"/>
      <c r="AB2713" s="205"/>
    </row>
    <row r="2714" spans="1:28" ht="34.5" customHeight="1">
      <c r="A2714" s="156" t="str">
        <f>'Reported burning'!A2720</f>
        <v>305o</v>
      </c>
      <c r="B2714" s="156" t="str">
        <f>'Reported burning'!B2720</f>
        <v>305o.3</v>
      </c>
      <c r="C2714" s="156" t="str">
        <f>'Reported burning'!C2720</f>
        <v>Human, deliberate</v>
      </c>
      <c r="D2714" s="156" t="str">
        <f>'Reported burning'!D2720</f>
        <v>Pyrome management</v>
      </c>
      <c r="E2714" s="156" t="str">
        <f>'Reported burning'!E2720</f>
        <v>Fire suppression agent</v>
      </c>
      <c r="F2714" s="156" t="str">
        <f>'Reported burning'!F2720</f>
        <v>ND</v>
      </c>
      <c r="G2714" s="156" t="str">
        <f>'Reported burning'!G2720</f>
        <v>ND</v>
      </c>
      <c r="H2714" s="156" t="str">
        <f>'Reported burning'!H2720</f>
        <v>Presence</v>
      </c>
      <c r="I2714" s="5"/>
      <c r="J2714" s="205" t="s">
        <v>2276</v>
      </c>
      <c r="K2714" s="205" t="s">
        <v>2276</v>
      </c>
      <c r="L2714" s="205" t="s">
        <v>2276</v>
      </c>
      <c r="M2714" s="205" t="s">
        <v>2276</v>
      </c>
      <c r="N2714" s="205" t="s">
        <v>2276</v>
      </c>
      <c r="O2714" s="205" t="s">
        <v>2276</v>
      </c>
      <c r="P2714" s="205" t="s">
        <v>2276</v>
      </c>
      <c r="Q2714" s="205" t="s">
        <v>2276</v>
      </c>
      <c r="R2714" s="205" t="s">
        <v>2276</v>
      </c>
      <c r="S2714" s="205" t="s">
        <v>2276</v>
      </c>
      <c r="T2714" s="205" t="s">
        <v>2276</v>
      </c>
      <c r="U2714" s="205" t="s">
        <v>2276</v>
      </c>
      <c r="V2714" s="205" t="s">
        <v>2276</v>
      </c>
      <c r="W2714" s="205" t="s">
        <v>2276</v>
      </c>
      <c r="X2714" s="205" t="s">
        <v>68</v>
      </c>
      <c r="Y2714" s="205" t="s">
        <v>86</v>
      </c>
      <c r="Z2714" s="205" t="s">
        <v>76</v>
      </c>
      <c r="AA2714" s="205"/>
      <c r="AB2714" s="205"/>
    </row>
    <row r="2715" spans="1:28" ht="34.5" customHeight="1">
      <c r="A2715" s="156" t="str">
        <f>'Reported burning'!A2721</f>
        <v>305p</v>
      </c>
      <c r="B2715" s="156" t="str">
        <f>'Reported burning'!B2721</f>
        <v>305p.3</v>
      </c>
      <c r="C2715" s="156" t="str">
        <f>'Reported burning'!C2721</f>
        <v>Human, deliberate</v>
      </c>
      <c r="D2715" s="156" t="str">
        <f>'Reported burning'!D2721</f>
        <v>Pyrome management</v>
      </c>
      <c r="E2715" s="156" t="str">
        <f>'Reported burning'!E2721</f>
        <v>Fire suppression agent</v>
      </c>
      <c r="F2715" s="156" t="str">
        <f>'Reported burning'!F2721</f>
        <v>ND</v>
      </c>
      <c r="G2715" s="156" t="str">
        <f>'Reported burning'!G2721</f>
        <v>ND</v>
      </c>
      <c r="H2715" s="156" t="str">
        <f>'Reported burning'!H2721</f>
        <v>Presence</v>
      </c>
      <c r="I2715" s="5"/>
      <c r="J2715" s="205" t="s">
        <v>2276</v>
      </c>
      <c r="K2715" s="205" t="s">
        <v>2276</v>
      </c>
      <c r="L2715" s="205" t="s">
        <v>2276</v>
      </c>
      <c r="M2715" s="205" t="s">
        <v>2276</v>
      </c>
      <c r="N2715" s="205" t="s">
        <v>2276</v>
      </c>
      <c r="O2715" s="205" t="s">
        <v>2276</v>
      </c>
      <c r="P2715" s="205" t="s">
        <v>2276</v>
      </c>
      <c r="Q2715" s="205" t="s">
        <v>2276</v>
      </c>
      <c r="R2715" s="205" t="s">
        <v>2276</v>
      </c>
      <c r="S2715" s="205" t="s">
        <v>2276</v>
      </c>
      <c r="T2715" s="205" t="s">
        <v>2276</v>
      </c>
      <c r="U2715" s="205" t="s">
        <v>2276</v>
      </c>
      <c r="V2715" s="205" t="s">
        <v>2276</v>
      </c>
      <c r="W2715" s="205" t="s">
        <v>2276</v>
      </c>
      <c r="X2715" s="205" t="s">
        <v>68</v>
      </c>
      <c r="Y2715" s="205" t="s">
        <v>86</v>
      </c>
      <c r="Z2715" s="205" t="s">
        <v>76</v>
      </c>
      <c r="AA2715" s="205"/>
      <c r="AB2715" s="205"/>
    </row>
    <row r="2716" spans="1:28" ht="34.5" customHeight="1">
      <c r="A2716" s="156" t="str">
        <f>'Reported burning'!A2722</f>
        <v>305q</v>
      </c>
      <c r="B2716" s="156" t="str">
        <f>'Reported burning'!B2722</f>
        <v>305q.3</v>
      </c>
      <c r="C2716" s="156" t="str">
        <f>'Reported burning'!C2722</f>
        <v>Human, deliberate</v>
      </c>
      <c r="D2716" s="156" t="str">
        <f>'Reported burning'!D2722</f>
        <v>Pyrome management</v>
      </c>
      <c r="E2716" s="156" t="str">
        <f>'Reported burning'!E2722</f>
        <v>Fire suppression agent</v>
      </c>
      <c r="F2716" s="156" t="str">
        <f>'Reported burning'!F2722</f>
        <v>ND</v>
      </c>
      <c r="G2716" s="156" t="str">
        <f>'Reported burning'!G2722</f>
        <v>ND</v>
      </c>
      <c r="H2716" s="156" t="str">
        <f>'Reported burning'!H2722</f>
        <v>Presence</v>
      </c>
      <c r="I2716" s="5"/>
      <c r="J2716" s="205" t="s">
        <v>2276</v>
      </c>
      <c r="K2716" s="205" t="s">
        <v>2276</v>
      </c>
      <c r="L2716" s="205" t="s">
        <v>2276</v>
      </c>
      <c r="M2716" s="205" t="s">
        <v>2276</v>
      </c>
      <c r="N2716" s="205" t="s">
        <v>2276</v>
      </c>
      <c r="O2716" s="205" t="s">
        <v>2276</v>
      </c>
      <c r="P2716" s="205" t="s">
        <v>2276</v>
      </c>
      <c r="Q2716" s="205" t="s">
        <v>2276</v>
      </c>
      <c r="R2716" s="205" t="s">
        <v>2276</v>
      </c>
      <c r="S2716" s="205" t="s">
        <v>2276</v>
      </c>
      <c r="T2716" s="205" t="s">
        <v>2276</v>
      </c>
      <c r="U2716" s="205" t="s">
        <v>2276</v>
      </c>
      <c r="V2716" s="205" t="s">
        <v>2276</v>
      </c>
      <c r="W2716" s="205" t="s">
        <v>2276</v>
      </c>
      <c r="X2716" s="205" t="s">
        <v>68</v>
      </c>
      <c r="Y2716" s="205" t="s">
        <v>86</v>
      </c>
      <c r="Z2716" s="205" t="s">
        <v>76</v>
      </c>
      <c r="AA2716" s="205"/>
      <c r="AB2716" s="205"/>
    </row>
    <row r="2717" spans="1:28" ht="34.5" customHeight="1">
      <c r="A2717" s="156" t="str">
        <f>'Reported burning'!A2723</f>
        <v>305r</v>
      </c>
      <c r="B2717" s="156" t="str">
        <f>'Reported burning'!B2723</f>
        <v>305r.3</v>
      </c>
      <c r="C2717" s="156" t="str">
        <f>'Reported burning'!C2723</f>
        <v>Human, deliberate</v>
      </c>
      <c r="D2717" s="156" t="str">
        <f>'Reported burning'!D2723</f>
        <v>Pyrome management</v>
      </c>
      <c r="E2717" s="156" t="str">
        <f>'Reported burning'!E2723</f>
        <v>Fire suppression agent</v>
      </c>
      <c r="F2717" s="156" t="str">
        <f>'Reported burning'!F2723</f>
        <v>ND</v>
      </c>
      <c r="G2717" s="156" t="str">
        <f>'Reported burning'!G2723</f>
        <v>ND</v>
      </c>
      <c r="H2717" s="156" t="str">
        <f>'Reported burning'!H2723</f>
        <v>Absence</v>
      </c>
      <c r="I2717" s="5"/>
      <c r="J2717" s="14" t="s">
        <v>2364</v>
      </c>
      <c r="K2717" s="14" t="s">
        <v>2364</v>
      </c>
      <c r="L2717" s="14" t="s">
        <v>2364</v>
      </c>
      <c r="M2717" s="14" t="s">
        <v>2364</v>
      </c>
      <c r="N2717" s="14" t="s">
        <v>2364</v>
      </c>
      <c r="O2717" s="14" t="s">
        <v>2364</v>
      </c>
      <c r="P2717" s="14" t="s">
        <v>2364</v>
      </c>
      <c r="Q2717" s="14" t="s">
        <v>2364</v>
      </c>
      <c r="R2717" s="14" t="s">
        <v>2364</v>
      </c>
      <c r="S2717" s="14" t="s">
        <v>2364</v>
      </c>
      <c r="T2717" s="14" t="s">
        <v>2364</v>
      </c>
      <c r="U2717" s="14" t="s">
        <v>2364</v>
      </c>
      <c r="V2717" s="14" t="s">
        <v>2364</v>
      </c>
      <c r="W2717" s="205" t="s">
        <v>2276</v>
      </c>
      <c r="X2717" s="205" t="s">
        <v>68</v>
      </c>
      <c r="Y2717" s="205" t="s">
        <v>86</v>
      </c>
      <c r="Z2717" s="205" t="s">
        <v>76</v>
      </c>
      <c r="AA2717" s="205"/>
      <c r="AB2717" s="205"/>
    </row>
    <row r="2718" spans="1:28" ht="34.5" customHeight="1">
      <c r="A2718" s="156" t="str">
        <f>'Reported burning'!A2724</f>
        <v>305s</v>
      </c>
      <c r="B2718" s="156" t="str">
        <f>'Reported burning'!B2724</f>
        <v>305s.3</v>
      </c>
      <c r="C2718" s="156" t="str">
        <f>'Reported burning'!C2724</f>
        <v>Human, deliberate</v>
      </c>
      <c r="D2718" s="156" t="str">
        <f>'Reported burning'!D2724</f>
        <v>Pyrome management</v>
      </c>
      <c r="E2718" s="156" t="str">
        <f>'Reported burning'!E2724</f>
        <v>Fire suppression agent</v>
      </c>
      <c r="F2718" s="156" t="str">
        <f>'Reported burning'!F2724</f>
        <v>ND</v>
      </c>
      <c r="G2718" s="156" t="str">
        <f>'Reported burning'!G2724</f>
        <v>ND</v>
      </c>
      <c r="H2718" s="156" t="str">
        <f>'Reported burning'!H2724</f>
        <v>Absence</v>
      </c>
      <c r="I2718" s="5"/>
      <c r="J2718" s="14" t="s">
        <v>2364</v>
      </c>
      <c r="K2718" s="14" t="s">
        <v>2364</v>
      </c>
      <c r="L2718" s="14" t="s">
        <v>2364</v>
      </c>
      <c r="M2718" s="14" t="s">
        <v>2364</v>
      </c>
      <c r="N2718" s="14" t="s">
        <v>2364</v>
      </c>
      <c r="O2718" s="14" t="s">
        <v>2364</v>
      </c>
      <c r="P2718" s="14" t="s">
        <v>2364</v>
      </c>
      <c r="Q2718" s="14" t="s">
        <v>2364</v>
      </c>
      <c r="R2718" s="14" t="s">
        <v>2364</v>
      </c>
      <c r="S2718" s="14" t="s">
        <v>2364</v>
      </c>
      <c r="T2718" s="14" t="s">
        <v>2364</v>
      </c>
      <c r="U2718" s="14" t="s">
        <v>2364</v>
      </c>
      <c r="V2718" s="14" t="s">
        <v>2364</v>
      </c>
      <c r="W2718" s="205" t="s">
        <v>2276</v>
      </c>
      <c r="X2718" s="205" t="s">
        <v>68</v>
      </c>
      <c r="Y2718" s="205" t="s">
        <v>86</v>
      </c>
      <c r="Z2718" s="205" t="s">
        <v>76</v>
      </c>
      <c r="AA2718" s="205"/>
      <c r="AB2718" s="205"/>
    </row>
    <row r="2719" spans="1:28" ht="34.5" customHeight="1">
      <c r="A2719" s="156" t="str">
        <f>'Reported burning'!A2725</f>
        <v>305t</v>
      </c>
      <c r="B2719" s="156" t="str">
        <f>'Reported burning'!B2725</f>
        <v>305t.3</v>
      </c>
      <c r="C2719" s="156" t="str">
        <f>'Reported burning'!C2725</f>
        <v>Human, deliberate</v>
      </c>
      <c r="D2719" s="156" t="str">
        <f>'Reported burning'!D2725</f>
        <v>Pyrome management</v>
      </c>
      <c r="E2719" s="156" t="str">
        <f>'Reported burning'!E2725</f>
        <v>Fire suppression agent</v>
      </c>
      <c r="F2719" s="156" t="str">
        <f>'Reported burning'!F2725</f>
        <v>ND</v>
      </c>
      <c r="G2719" s="156" t="str">
        <f>'Reported burning'!G2725</f>
        <v>ND</v>
      </c>
      <c r="H2719" s="156" t="str">
        <f>'Reported burning'!H2725</f>
        <v>Absence</v>
      </c>
      <c r="I2719" s="5"/>
      <c r="J2719" s="14" t="s">
        <v>2364</v>
      </c>
      <c r="K2719" s="14" t="s">
        <v>2364</v>
      </c>
      <c r="L2719" s="14" t="s">
        <v>2364</v>
      </c>
      <c r="M2719" s="14" t="s">
        <v>2364</v>
      </c>
      <c r="N2719" s="14" t="s">
        <v>2364</v>
      </c>
      <c r="O2719" s="14" t="s">
        <v>2364</v>
      </c>
      <c r="P2719" s="14" t="s">
        <v>2364</v>
      </c>
      <c r="Q2719" s="14" t="s">
        <v>2364</v>
      </c>
      <c r="R2719" s="14" t="s">
        <v>2364</v>
      </c>
      <c r="S2719" s="14" t="s">
        <v>2364</v>
      </c>
      <c r="T2719" s="14" t="s">
        <v>2364</v>
      </c>
      <c r="U2719" s="14" t="s">
        <v>2364</v>
      </c>
      <c r="V2719" s="14" t="s">
        <v>2364</v>
      </c>
      <c r="W2719" s="205" t="s">
        <v>2276</v>
      </c>
      <c r="X2719" s="205" t="s">
        <v>68</v>
      </c>
      <c r="Y2719" s="205" t="s">
        <v>86</v>
      </c>
      <c r="Z2719" s="205" t="s">
        <v>76</v>
      </c>
      <c r="AA2719" s="205"/>
      <c r="AB2719" s="205"/>
    </row>
    <row r="2720" spans="1:28" ht="34.5" customHeight="1">
      <c r="A2720" s="156" t="str">
        <f>'Reported burning'!A2726</f>
        <v>305u</v>
      </c>
      <c r="B2720" s="156" t="str">
        <f>'Reported burning'!B2726</f>
        <v>305u.3</v>
      </c>
      <c r="C2720" s="156" t="str">
        <f>'Reported burning'!C2726</f>
        <v>Human, deliberate</v>
      </c>
      <c r="D2720" s="156" t="str">
        <f>'Reported burning'!D2726</f>
        <v>Pyrome management</v>
      </c>
      <c r="E2720" s="156" t="str">
        <f>'Reported burning'!E2726</f>
        <v>Fire suppression agent</v>
      </c>
      <c r="F2720" s="156" t="str">
        <f>'Reported burning'!F2726</f>
        <v>ND</v>
      </c>
      <c r="G2720" s="156" t="str">
        <f>'Reported burning'!G2726</f>
        <v>ND</v>
      </c>
      <c r="H2720" s="156" t="str">
        <f>'Reported burning'!H2726</f>
        <v>Presence</v>
      </c>
      <c r="I2720" s="5"/>
      <c r="J2720" s="205" t="s">
        <v>2276</v>
      </c>
      <c r="K2720" s="205" t="s">
        <v>2276</v>
      </c>
      <c r="L2720" s="205" t="s">
        <v>2276</v>
      </c>
      <c r="M2720" s="205" t="s">
        <v>2276</v>
      </c>
      <c r="N2720" s="205" t="s">
        <v>2276</v>
      </c>
      <c r="O2720" s="205" t="s">
        <v>2276</v>
      </c>
      <c r="P2720" s="205" t="s">
        <v>2276</v>
      </c>
      <c r="Q2720" s="205" t="s">
        <v>2276</v>
      </c>
      <c r="R2720" s="205" t="s">
        <v>2276</v>
      </c>
      <c r="S2720" s="205" t="s">
        <v>2276</v>
      </c>
      <c r="T2720" s="205" t="s">
        <v>2276</v>
      </c>
      <c r="U2720" s="205" t="s">
        <v>2276</v>
      </c>
      <c r="V2720" s="205" t="s">
        <v>2276</v>
      </c>
      <c r="W2720" s="205" t="s">
        <v>2276</v>
      </c>
      <c r="X2720" s="205" t="s">
        <v>68</v>
      </c>
      <c r="Y2720" s="205" t="s">
        <v>86</v>
      </c>
      <c r="Z2720" s="205" t="s">
        <v>76</v>
      </c>
      <c r="AA2720" s="205"/>
      <c r="AB2720" s="205"/>
    </row>
    <row r="2721" spans="1:28" ht="34.5" customHeight="1">
      <c r="A2721" s="156" t="str">
        <f>'Reported burning'!A2727</f>
        <v>305v</v>
      </c>
      <c r="B2721" s="156" t="str">
        <f>'Reported burning'!B2727</f>
        <v>305v.3</v>
      </c>
      <c r="C2721" s="156" t="str">
        <f>'Reported burning'!C2727</f>
        <v>Human, deliberate</v>
      </c>
      <c r="D2721" s="156" t="str">
        <f>'Reported burning'!D2727</f>
        <v>Pyrome management</v>
      </c>
      <c r="E2721" s="156" t="str">
        <f>'Reported burning'!E2727</f>
        <v>Fire suppression agent</v>
      </c>
      <c r="F2721" s="156" t="str">
        <f>'Reported burning'!F2727</f>
        <v>ND</v>
      </c>
      <c r="G2721" s="156" t="str">
        <f>'Reported burning'!G2727</f>
        <v>ND</v>
      </c>
      <c r="H2721" s="156" t="str">
        <f>'Reported burning'!H2727</f>
        <v>Presence</v>
      </c>
      <c r="I2721" s="5"/>
      <c r="J2721" s="205" t="s">
        <v>2276</v>
      </c>
      <c r="K2721" s="205" t="s">
        <v>2276</v>
      </c>
      <c r="L2721" s="205" t="s">
        <v>2276</v>
      </c>
      <c r="M2721" s="205" t="s">
        <v>2276</v>
      </c>
      <c r="N2721" s="205" t="s">
        <v>2276</v>
      </c>
      <c r="O2721" s="205" t="s">
        <v>2276</v>
      </c>
      <c r="P2721" s="205" t="s">
        <v>2276</v>
      </c>
      <c r="Q2721" s="205" t="s">
        <v>2276</v>
      </c>
      <c r="R2721" s="205" t="s">
        <v>2276</v>
      </c>
      <c r="S2721" s="205" t="s">
        <v>2276</v>
      </c>
      <c r="T2721" s="205" t="s">
        <v>2276</v>
      </c>
      <c r="U2721" s="205" t="s">
        <v>2276</v>
      </c>
      <c r="V2721" s="205" t="s">
        <v>2276</v>
      </c>
      <c r="W2721" s="205" t="s">
        <v>2276</v>
      </c>
      <c r="X2721" s="205" t="s">
        <v>68</v>
      </c>
      <c r="Y2721" s="205" t="s">
        <v>86</v>
      </c>
      <c r="Z2721" s="205" t="s">
        <v>76</v>
      </c>
      <c r="AA2721" s="205"/>
      <c r="AB2721" s="205"/>
    </row>
    <row r="2722" spans="1:28" ht="34.5" customHeight="1">
      <c r="A2722" s="156" t="str">
        <f>'Reported burning'!A2728</f>
        <v>305w</v>
      </c>
      <c r="B2722" s="156" t="str">
        <f>'Reported burning'!B2728</f>
        <v>305w.3</v>
      </c>
      <c r="C2722" s="156" t="str">
        <f>'Reported burning'!C2728</f>
        <v>Human, deliberate</v>
      </c>
      <c r="D2722" s="156" t="str">
        <f>'Reported burning'!D2728</f>
        <v>Pyrome management</v>
      </c>
      <c r="E2722" s="156" t="str">
        <f>'Reported burning'!E2728</f>
        <v>Fire suppression agent</v>
      </c>
      <c r="F2722" s="156" t="str">
        <f>'Reported burning'!F2728</f>
        <v>ND</v>
      </c>
      <c r="G2722" s="156" t="str">
        <f>'Reported burning'!G2728</f>
        <v>ND</v>
      </c>
      <c r="H2722" s="156" t="str">
        <f>'Reported burning'!H2728</f>
        <v>Presence</v>
      </c>
      <c r="I2722" s="5"/>
      <c r="J2722" s="205" t="s">
        <v>2276</v>
      </c>
      <c r="K2722" s="205" t="s">
        <v>2276</v>
      </c>
      <c r="L2722" s="205" t="s">
        <v>2276</v>
      </c>
      <c r="M2722" s="205" t="s">
        <v>2276</v>
      </c>
      <c r="N2722" s="205" t="s">
        <v>2276</v>
      </c>
      <c r="O2722" s="205" t="s">
        <v>2276</v>
      </c>
      <c r="P2722" s="205" t="s">
        <v>2276</v>
      </c>
      <c r="Q2722" s="205" t="s">
        <v>2276</v>
      </c>
      <c r="R2722" s="205" t="s">
        <v>2276</v>
      </c>
      <c r="S2722" s="205" t="s">
        <v>2276</v>
      </c>
      <c r="T2722" s="205" t="s">
        <v>2276</v>
      </c>
      <c r="U2722" s="205" t="s">
        <v>2276</v>
      </c>
      <c r="V2722" s="205" t="s">
        <v>2276</v>
      </c>
      <c r="W2722" s="205" t="s">
        <v>2276</v>
      </c>
      <c r="X2722" s="205" t="s">
        <v>68</v>
      </c>
      <c r="Y2722" s="205" t="s">
        <v>86</v>
      </c>
      <c r="Z2722" s="205" t="s">
        <v>76</v>
      </c>
      <c r="AA2722" s="205"/>
      <c r="AB2722" s="205"/>
    </row>
    <row r="2723" spans="1:28" ht="34.5" customHeight="1">
      <c r="A2723" s="156" t="str">
        <f>'Reported burning'!A2729</f>
        <v>305x</v>
      </c>
      <c r="B2723" s="156" t="str">
        <f>'Reported burning'!B2729</f>
        <v>305x.3</v>
      </c>
      <c r="C2723" s="156" t="str">
        <f>'Reported burning'!C2729</f>
        <v>Human, deliberate</v>
      </c>
      <c r="D2723" s="156" t="str">
        <f>'Reported burning'!D2729</f>
        <v>Pyrome management</v>
      </c>
      <c r="E2723" s="156" t="str">
        <f>'Reported burning'!E2729</f>
        <v>Fire suppression agent</v>
      </c>
      <c r="F2723" s="156" t="str">
        <f>'Reported burning'!F2729</f>
        <v>ND</v>
      </c>
      <c r="G2723" s="156" t="str">
        <f>'Reported burning'!G2729</f>
        <v>ND</v>
      </c>
      <c r="H2723" s="156" t="str">
        <f>'Reported burning'!H2729</f>
        <v>Presence</v>
      </c>
      <c r="I2723" s="5"/>
      <c r="J2723" s="205" t="s">
        <v>2276</v>
      </c>
      <c r="K2723" s="205" t="s">
        <v>2276</v>
      </c>
      <c r="L2723" s="205" t="s">
        <v>2276</v>
      </c>
      <c r="M2723" s="205" t="s">
        <v>2276</v>
      </c>
      <c r="N2723" s="205" t="s">
        <v>2276</v>
      </c>
      <c r="O2723" s="205" t="s">
        <v>2276</v>
      </c>
      <c r="P2723" s="205" t="s">
        <v>2276</v>
      </c>
      <c r="Q2723" s="205" t="s">
        <v>2276</v>
      </c>
      <c r="R2723" s="205" t="s">
        <v>2276</v>
      </c>
      <c r="S2723" s="205" t="s">
        <v>2276</v>
      </c>
      <c r="T2723" s="205" t="s">
        <v>2276</v>
      </c>
      <c r="U2723" s="205" t="s">
        <v>2276</v>
      </c>
      <c r="V2723" s="205" t="s">
        <v>2276</v>
      </c>
      <c r="W2723" s="205" t="s">
        <v>2276</v>
      </c>
      <c r="X2723" s="205" t="s">
        <v>68</v>
      </c>
      <c r="Y2723" s="205" t="s">
        <v>86</v>
      </c>
      <c r="Z2723" s="205" t="s">
        <v>76</v>
      </c>
      <c r="AA2723" s="205"/>
      <c r="AB2723" s="205"/>
    </row>
    <row r="2724" spans="1:28" ht="34.5" customHeight="1">
      <c r="A2724" s="156" t="str">
        <f>'Reported burning'!A2730</f>
        <v>305y</v>
      </c>
      <c r="B2724" s="156" t="str">
        <f>'Reported burning'!B2730</f>
        <v>305y.3</v>
      </c>
      <c r="C2724" s="156" t="str">
        <f>'Reported burning'!C2730</f>
        <v>Human, deliberate</v>
      </c>
      <c r="D2724" s="156" t="str">
        <f>'Reported burning'!D2730</f>
        <v>Pyrome management</v>
      </c>
      <c r="E2724" s="156" t="str">
        <f>'Reported burning'!E2730</f>
        <v>Fire suppression agent</v>
      </c>
      <c r="F2724" s="156" t="str">
        <f>'Reported burning'!F2730</f>
        <v>ND</v>
      </c>
      <c r="G2724" s="156" t="str">
        <f>'Reported burning'!G2730</f>
        <v>ND</v>
      </c>
      <c r="H2724" s="156" t="str">
        <f>'Reported burning'!H2730</f>
        <v>Presence</v>
      </c>
      <c r="I2724" s="5"/>
      <c r="J2724" s="205" t="s">
        <v>2276</v>
      </c>
      <c r="K2724" s="205" t="s">
        <v>2276</v>
      </c>
      <c r="L2724" s="205" t="s">
        <v>2276</v>
      </c>
      <c r="M2724" s="205" t="s">
        <v>2276</v>
      </c>
      <c r="N2724" s="205" t="s">
        <v>2276</v>
      </c>
      <c r="O2724" s="205" t="s">
        <v>2276</v>
      </c>
      <c r="P2724" s="205" t="s">
        <v>2276</v>
      </c>
      <c r="Q2724" s="205" t="s">
        <v>2276</v>
      </c>
      <c r="R2724" s="205" t="s">
        <v>2276</v>
      </c>
      <c r="S2724" s="205" t="s">
        <v>2276</v>
      </c>
      <c r="T2724" s="205" t="s">
        <v>2276</v>
      </c>
      <c r="U2724" s="205" t="s">
        <v>2276</v>
      </c>
      <c r="V2724" s="205" t="s">
        <v>2276</v>
      </c>
      <c r="W2724" s="205" t="s">
        <v>2276</v>
      </c>
      <c r="X2724" s="205" t="s">
        <v>68</v>
      </c>
      <c r="Y2724" s="205" t="s">
        <v>86</v>
      </c>
      <c r="Z2724" s="205" t="s">
        <v>76</v>
      </c>
      <c r="AA2724" s="205"/>
      <c r="AB2724" s="205"/>
    </row>
    <row r="2725" spans="1:28" ht="34.5" customHeight="1">
      <c r="A2725" s="156" t="str">
        <f>'Reported burning'!A2731</f>
        <v>305z</v>
      </c>
      <c r="B2725" s="156" t="str">
        <f>'Reported burning'!B2731</f>
        <v>305z.3</v>
      </c>
      <c r="C2725" s="156" t="str">
        <f>'Reported burning'!C2731</f>
        <v>Human, deliberate</v>
      </c>
      <c r="D2725" s="156" t="str">
        <f>'Reported burning'!D2731</f>
        <v>Pyrome management</v>
      </c>
      <c r="E2725" s="156" t="str">
        <f>'Reported burning'!E2731</f>
        <v>Fire suppression agent</v>
      </c>
      <c r="F2725" s="156" t="str">
        <f>'Reported burning'!F2731</f>
        <v>ND</v>
      </c>
      <c r="G2725" s="156" t="str">
        <f>'Reported burning'!G2731</f>
        <v>ND</v>
      </c>
      <c r="H2725" s="156" t="str">
        <f>'Reported burning'!H2731</f>
        <v>Presence</v>
      </c>
      <c r="I2725" s="5"/>
      <c r="J2725" s="205" t="s">
        <v>2276</v>
      </c>
      <c r="K2725" s="205" t="s">
        <v>2276</v>
      </c>
      <c r="L2725" s="205" t="s">
        <v>2276</v>
      </c>
      <c r="M2725" s="205" t="s">
        <v>2276</v>
      </c>
      <c r="N2725" s="205" t="s">
        <v>2276</v>
      </c>
      <c r="O2725" s="205" t="s">
        <v>2276</v>
      </c>
      <c r="P2725" s="205" t="s">
        <v>2276</v>
      </c>
      <c r="Q2725" s="205" t="s">
        <v>2276</v>
      </c>
      <c r="R2725" s="205" t="s">
        <v>2276</v>
      </c>
      <c r="S2725" s="205" t="s">
        <v>2276</v>
      </c>
      <c r="T2725" s="205" t="s">
        <v>2276</v>
      </c>
      <c r="U2725" s="205" t="s">
        <v>2276</v>
      </c>
      <c r="V2725" s="205" t="s">
        <v>2276</v>
      </c>
      <c r="W2725" s="205" t="s">
        <v>2276</v>
      </c>
      <c r="X2725" s="205" t="s">
        <v>68</v>
      </c>
      <c r="Y2725" s="205" t="s">
        <v>86</v>
      </c>
      <c r="Z2725" s="205" t="s">
        <v>76</v>
      </c>
      <c r="AA2725" s="205"/>
      <c r="AB2725" s="205"/>
    </row>
    <row r="2726" spans="1:28" ht="34.5" customHeight="1">
      <c r="A2726" s="156" t="str">
        <f>'Reported burning'!A2732</f>
        <v>305aa</v>
      </c>
      <c r="B2726" s="156" t="str">
        <f>'Reported burning'!B2732</f>
        <v>305aa.3</v>
      </c>
      <c r="C2726" s="156" t="str">
        <f>'Reported burning'!C2732</f>
        <v>Human, deliberate</v>
      </c>
      <c r="D2726" s="156" t="str">
        <f>'Reported burning'!D2732</f>
        <v>Pyrome management</v>
      </c>
      <c r="E2726" s="156" t="str">
        <f>'Reported burning'!E2732</f>
        <v>Fire suppression agent</v>
      </c>
      <c r="F2726" s="156" t="str">
        <f>'Reported burning'!F2732</f>
        <v>ND</v>
      </c>
      <c r="G2726" s="156" t="str">
        <f>'Reported burning'!G2732</f>
        <v>ND</v>
      </c>
      <c r="H2726" s="156" t="str">
        <f>'Reported burning'!H2732</f>
        <v>Presence</v>
      </c>
      <c r="I2726" s="5"/>
      <c r="J2726" s="205" t="s">
        <v>2276</v>
      </c>
      <c r="K2726" s="205" t="s">
        <v>2276</v>
      </c>
      <c r="L2726" s="205" t="s">
        <v>2276</v>
      </c>
      <c r="M2726" s="205" t="s">
        <v>2276</v>
      </c>
      <c r="N2726" s="205" t="s">
        <v>2276</v>
      </c>
      <c r="O2726" s="205" t="s">
        <v>2276</v>
      </c>
      <c r="P2726" s="205" t="s">
        <v>2276</v>
      </c>
      <c r="Q2726" s="205" t="s">
        <v>2276</v>
      </c>
      <c r="R2726" s="205" t="s">
        <v>2276</v>
      </c>
      <c r="S2726" s="205" t="s">
        <v>2276</v>
      </c>
      <c r="T2726" s="205" t="s">
        <v>2276</v>
      </c>
      <c r="U2726" s="205" t="s">
        <v>2276</v>
      </c>
      <c r="V2726" s="205" t="s">
        <v>2276</v>
      </c>
      <c r="W2726" s="205" t="s">
        <v>2276</v>
      </c>
      <c r="X2726" s="205" t="s">
        <v>68</v>
      </c>
      <c r="Y2726" s="205" t="s">
        <v>86</v>
      </c>
      <c r="Z2726" s="205" t="s">
        <v>76</v>
      </c>
      <c r="AA2726" s="205"/>
      <c r="AB2726" s="205"/>
    </row>
    <row r="2727" spans="1:28" ht="34.5" customHeight="1">
      <c r="A2727" s="156" t="str">
        <f>'Reported burning'!A2733</f>
        <v>305ab</v>
      </c>
      <c r="B2727" s="156" t="str">
        <f>'Reported burning'!B2733</f>
        <v>305ab.3</v>
      </c>
      <c r="C2727" s="156" t="str">
        <f>'Reported burning'!C2733</f>
        <v>Human, deliberate</v>
      </c>
      <c r="D2727" s="156" t="str">
        <f>'Reported burning'!D2733</f>
        <v>Pyrome management</v>
      </c>
      <c r="E2727" s="156" t="str">
        <f>'Reported burning'!E2733</f>
        <v>Fire suppression agent</v>
      </c>
      <c r="F2727" s="156" t="str">
        <f>'Reported burning'!F2733</f>
        <v>ND</v>
      </c>
      <c r="G2727" s="156" t="str">
        <f>'Reported burning'!G2733</f>
        <v>ND</v>
      </c>
      <c r="H2727" s="156" t="str">
        <f>'Reported burning'!H2733</f>
        <v>Presence</v>
      </c>
      <c r="I2727" s="5"/>
      <c r="J2727" s="205" t="s">
        <v>2276</v>
      </c>
      <c r="K2727" s="205" t="s">
        <v>2276</v>
      </c>
      <c r="L2727" s="205" t="s">
        <v>2276</v>
      </c>
      <c r="M2727" s="205" t="s">
        <v>2276</v>
      </c>
      <c r="N2727" s="205" t="s">
        <v>2276</v>
      </c>
      <c r="O2727" s="205" t="s">
        <v>2276</v>
      </c>
      <c r="P2727" s="205" t="s">
        <v>2276</v>
      </c>
      <c r="Q2727" s="205" t="s">
        <v>2276</v>
      </c>
      <c r="R2727" s="205" t="s">
        <v>2276</v>
      </c>
      <c r="S2727" s="205" t="s">
        <v>2276</v>
      </c>
      <c r="T2727" s="205" t="s">
        <v>2276</v>
      </c>
      <c r="U2727" s="205" t="s">
        <v>2276</v>
      </c>
      <c r="V2727" s="205" t="s">
        <v>2276</v>
      </c>
      <c r="W2727" s="205" t="s">
        <v>2276</v>
      </c>
      <c r="X2727" s="205" t="s">
        <v>68</v>
      </c>
      <c r="Y2727" s="205" t="s">
        <v>86</v>
      </c>
      <c r="Z2727" s="205" t="s">
        <v>76</v>
      </c>
      <c r="AA2727" s="205"/>
      <c r="AB2727" s="205"/>
    </row>
    <row r="2728" spans="1:28" ht="34.5" customHeight="1">
      <c r="A2728" s="156" t="str">
        <f>'Reported burning'!A2734</f>
        <v>305ac</v>
      </c>
      <c r="B2728" s="156" t="str">
        <f>'Reported burning'!B2734</f>
        <v>305ac.3</v>
      </c>
      <c r="C2728" s="156" t="str">
        <f>'Reported burning'!C2734</f>
        <v>Human, deliberate</v>
      </c>
      <c r="D2728" s="156" t="str">
        <f>'Reported burning'!D2734</f>
        <v>Pyrome management</v>
      </c>
      <c r="E2728" s="156" t="str">
        <f>'Reported burning'!E2734</f>
        <v>Fire suppression agent</v>
      </c>
      <c r="F2728" s="156" t="str">
        <f>'Reported burning'!F2734</f>
        <v>ND</v>
      </c>
      <c r="G2728" s="156" t="str">
        <f>'Reported burning'!G2734</f>
        <v>ND</v>
      </c>
      <c r="H2728" s="156" t="str">
        <f>'Reported burning'!H2734</f>
        <v>Presence</v>
      </c>
      <c r="I2728" s="5"/>
      <c r="J2728" s="205" t="s">
        <v>2276</v>
      </c>
      <c r="K2728" s="205" t="s">
        <v>2276</v>
      </c>
      <c r="L2728" s="205" t="s">
        <v>2276</v>
      </c>
      <c r="M2728" s="205" t="s">
        <v>2276</v>
      </c>
      <c r="N2728" s="205" t="s">
        <v>2276</v>
      </c>
      <c r="O2728" s="205" t="s">
        <v>2276</v>
      </c>
      <c r="P2728" s="205" t="s">
        <v>2276</v>
      </c>
      <c r="Q2728" s="205" t="s">
        <v>2276</v>
      </c>
      <c r="R2728" s="205" t="s">
        <v>2276</v>
      </c>
      <c r="S2728" s="205" t="s">
        <v>2276</v>
      </c>
      <c r="T2728" s="205" t="s">
        <v>2276</v>
      </c>
      <c r="U2728" s="205" t="s">
        <v>2276</v>
      </c>
      <c r="V2728" s="205" t="s">
        <v>2276</v>
      </c>
      <c r="W2728" s="205" t="s">
        <v>2276</v>
      </c>
      <c r="X2728" s="205" t="s">
        <v>68</v>
      </c>
      <c r="Y2728" s="205" t="s">
        <v>86</v>
      </c>
      <c r="Z2728" s="205" t="s">
        <v>76</v>
      </c>
      <c r="AA2728" s="205"/>
      <c r="AB2728" s="205"/>
    </row>
    <row r="2729" spans="1:28" ht="34.5" customHeight="1">
      <c r="A2729" s="156" t="str">
        <f>'Reported burning'!A2735</f>
        <v>305ad</v>
      </c>
      <c r="B2729" s="156" t="str">
        <f>'Reported burning'!B2735</f>
        <v>305ad.3</v>
      </c>
      <c r="C2729" s="156" t="str">
        <f>'Reported burning'!C2735</f>
        <v>Human, deliberate</v>
      </c>
      <c r="D2729" s="156" t="str">
        <f>'Reported burning'!D2735</f>
        <v>Pyrome management</v>
      </c>
      <c r="E2729" s="156" t="str">
        <f>'Reported burning'!E2735</f>
        <v>Fire suppression agent</v>
      </c>
      <c r="F2729" s="156" t="str">
        <f>'Reported burning'!F2735</f>
        <v>ND</v>
      </c>
      <c r="G2729" s="156" t="str">
        <f>'Reported burning'!G2735</f>
        <v>ND</v>
      </c>
      <c r="H2729" s="156" t="str">
        <f>'Reported burning'!H2735</f>
        <v>Presence</v>
      </c>
      <c r="I2729" s="5"/>
      <c r="J2729" s="205" t="s">
        <v>2276</v>
      </c>
      <c r="K2729" s="205" t="s">
        <v>2276</v>
      </c>
      <c r="L2729" s="205" t="s">
        <v>2276</v>
      </c>
      <c r="M2729" s="205" t="s">
        <v>2276</v>
      </c>
      <c r="N2729" s="205" t="s">
        <v>2276</v>
      </c>
      <c r="O2729" s="205" t="s">
        <v>2276</v>
      </c>
      <c r="P2729" s="205" t="s">
        <v>2276</v>
      </c>
      <c r="Q2729" s="205" t="s">
        <v>2276</v>
      </c>
      <c r="R2729" s="205" t="s">
        <v>2276</v>
      </c>
      <c r="S2729" s="205" t="s">
        <v>2276</v>
      </c>
      <c r="T2729" s="205" t="s">
        <v>2276</v>
      </c>
      <c r="U2729" s="205" t="s">
        <v>2276</v>
      </c>
      <c r="V2729" s="205" t="s">
        <v>2276</v>
      </c>
      <c r="W2729" s="205" t="s">
        <v>2276</v>
      </c>
      <c r="X2729" s="205" t="s">
        <v>68</v>
      </c>
      <c r="Y2729" s="205" t="s">
        <v>86</v>
      </c>
      <c r="Z2729" s="205" t="s">
        <v>76</v>
      </c>
      <c r="AA2729" s="205"/>
      <c r="AB2729" s="205"/>
    </row>
    <row r="2730" spans="1:28" ht="34.5" customHeight="1">
      <c r="A2730" s="156" t="str">
        <f>'Reported burning'!A2736</f>
        <v>305ae</v>
      </c>
      <c r="B2730" s="156" t="str">
        <f>'Reported burning'!B2736</f>
        <v>305ae.3</v>
      </c>
      <c r="C2730" s="156" t="str">
        <f>'Reported burning'!C2736</f>
        <v>Human, deliberate</v>
      </c>
      <c r="D2730" s="156" t="str">
        <f>'Reported burning'!D2736</f>
        <v>Pyrome management</v>
      </c>
      <c r="E2730" s="156" t="str">
        <f>'Reported burning'!E2736</f>
        <v>Fire suppression agent</v>
      </c>
      <c r="F2730" s="156" t="str">
        <f>'Reported burning'!F2736</f>
        <v>ND</v>
      </c>
      <c r="G2730" s="156" t="str">
        <f>'Reported burning'!G2736</f>
        <v>ND</v>
      </c>
      <c r="H2730" s="156" t="str">
        <f>'Reported burning'!H2736</f>
        <v>Presence</v>
      </c>
      <c r="I2730" s="5"/>
      <c r="J2730" s="205" t="s">
        <v>2276</v>
      </c>
      <c r="K2730" s="205" t="s">
        <v>2276</v>
      </c>
      <c r="L2730" s="205" t="s">
        <v>2276</v>
      </c>
      <c r="M2730" s="205" t="s">
        <v>2276</v>
      </c>
      <c r="N2730" s="205" t="s">
        <v>2276</v>
      </c>
      <c r="O2730" s="205" t="s">
        <v>2276</v>
      </c>
      <c r="P2730" s="205" t="s">
        <v>2276</v>
      </c>
      <c r="Q2730" s="205" t="s">
        <v>2276</v>
      </c>
      <c r="R2730" s="205" t="s">
        <v>2276</v>
      </c>
      <c r="S2730" s="205" t="s">
        <v>2276</v>
      </c>
      <c r="T2730" s="205" t="s">
        <v>2276</v>
      </c>
      <c r="U2730" s="205" t="s">
        <v>2276</v>
      </c>
      <c r="V2730" s="205" t="s">
        <v>2276</v>
      </c>
      <c r="W2730" s="205" t="s">
        <v>2276</v>
      </c>
      <c r="X2730" s="205" t="s">
        <v>68</v>
      </c>
      <c r="Y2730" s="205" t="s">
        <v>86</v>
      </c>
      <c r="Z2730" s="205" t="s">
        <v>76</v>
      </c>
      <c r="AA2730" s="205"/>
      <c r="AB2730" s="205"/>
    </row>
    <row r="2731" spans="1:28" ht="34.5" customHeight="1">
      <c r="A2731" s="156" t="str">
        <f>'Reported burning'!A2737</f>
        <v>305n</v>
      </c>
      <c r="B2731" s="156" t="str">
        <f>'Reported burning'!B2737</f>
        <v>305n.4</v>
      </c>
      <c r="C2731" s="156" t="str">
        <f>'Reported burning'!C2737</f>
        <v>Human, deliberate</v>
      </c>
      <c r="D2731" s="156" t="str">
        <f>'Reported burning'!D2737</f>
        <v>Pyrome management</v>
      </c>
      <c r="E2731" s="156" t="str">
        <f>'Reported burning'!E2737</f>
        <v>Fire suppression agent</v>
      </c>
      <c r="F2731" s="156" t="str">
        <f>'Reported burning'!F2737</f>
        <v>ND</v>
      </c>
      <c r="G2731" s="156" t="str">
        <f>'Reported burning'!G2737</f>
        <v>ND</v>
      </c>
      <c r="H2731" s="156" t="str">
        <f>'Reported burning'!H2737</f>
        <v>Presence</v>
      </c>
      <c r="I2731" s="5"/>
      <c r="J2731" s="205" t="s">
        <v>2276</v>
      </c>
      <c r="K2731" s="205" t="s">
        <v>2276</v>
      </c>
      <c r="L2731" s="205" t="s">
        <v>2276</v>
      </c>
      <c r="M2731" s="205" t="s">
        <v>2276</v>
      </c>
      <c r="N2731" s="205" t="s">
        <v>2276</v>
      </c>
      <c r="O2731" s="205" t="s">
        <v>2276</v>
      </c>
      <c r="P2731" s="205" t="s">
        <v>2276</v>
      </c>
      <c r="Q2731" s="205" t="s">
        <v>2276</v>
      </c>
      <c r="R2731" s="205" t="s">
        <v>2276</v>
      </c>
      <c r="S2731" s="205" t="s">
        <v>2276</v>
      </c>
      <c r="T2731" s="205" t="s">
        <v>2276</v>
      </c>
      <c r="U2731" s="205" t="s">
        <v>2276</v>
      </c>
      <c r="V2731" s="205" t="s">
        <v>2276</v>
      </c>
      <c r="W2731" s="205" t="s">
        <v>2276</v>
      </c>
      <c r="X2731" s="205" t="s">
        <v>68</v>
      </c>
      <c r="Y2731" s="205" t="s">
        <v>86</v>
      </c>
      <c r="Z2731" s="205" t="s">
        <v>76</v>
      </c>
      <c r="AA2731" s="205"/>
      <c r="AB2731" s="205"/>
    </row>
    <row r="2732" spans="1:28" ht="34.5" customHeight="1">
      <c r="A2732" s="156" t="str">
        <f>'Reported burning'!A2738</f>
        <v>305o</v>
      </c>
      <c r="B2732" s="156" t="str">
        <f>'Reported burning'!B2738</f>
        <v>305o.4</v>
      </c>
      <c r="C2732" s="156" t="str">
        <f>'Reported burning'!C2738</f>
        <v>Human, deliberate</v>
      </c>
      <c r="D2732" s="156" t="str">
        <f>'Reported burning'!D2738</f>
        <v>Pyrome management</v>
      </c>
      <c r="E2732" s="156" t="str">
        <f>'Reported burning'!E2738</f>
        <v>Fire suppression agent</v>
      </c>
      <c r="F2732" s="156" t="str">
        <f>'Reported burning'!F2738</f>
        <v>ND</v>
      </c>
      <c r="G2732" s="156" t="str">
        <f>'Reported burning'!G2738</f>
        <v>ND</v>
      </c>
      <c r="H2732" s="156" t="str">
        <f>'Reported burning'!H2738</f>
        <v>Presence</v>
      </c>
      <c r="I2732" s="5"/>
      <c r="J2732" s="205" t="s">
        <v>2276</v>
      </c>
      <c r="K2732" s="205" t="s">
        <v>2276</v>
      </c>
      <c r="L2732" s="205" t="s">
        <v>2276</v>
      </c>
      <c r="M2732" s="205" t="s">
        <v>2276</v>
      </c>
      <c r="N2732" s="205" t="s">
        <v>2276</v>
      </c>
      <c r="O2732" s="205" t="s">
        <v>2276</v>
      </c>
      <c r="P2732" s="205" t="s">
        <v>2276</v>
      </c>
      <c r="Q2732" s="205" t="s">
        <v>2276</v>
      </c>
      <c r="R2732" s="205" t="s">
        <v>2276</v>
      </c>
      <c r="S2732" s="205" t="s">
        <v>2276</v>
      </c>
      <c r="T2732" s="205" t="s">
        <v>2276</v>
      </c>
      <c r="U2732" s="205" t="s">
        <v>2276</v>
      </c>
      <c r="V2732" s="205" t="s">
        <v>2276</v>
      </c>
      <c r="W2732" s="205" t="s">
        <v>2276</v>
      </c>
      <c r="X2732" s="205" t="s">
        <v>68</v>
      </c>
      <c r="Y2732" s="205" t="s">
        <v>86</v>
      </c>
      <c r="Z2732" s="205" t="s">
        <v>76</v>
      </c>
      <c r="AA2732" s="205"/>
      <c r="AB2732" s="205"/>
    </row>
    <row r="2733" spans="1:28" ht="34.5" customHeight="1">
      <c r="A2733" s="156" t="str">
        <f>'Reported burning'!A2739</f>
        <v>305p</v>
      </c>
      <c r="B2733" s="156" t="str">
        <f>'Reported burning'!B2739</f>
        <v>305p.4</v>
      </c>
      <c r="C2733" s="156" t="str">
        <f>'Reported burning'!C2739</f>
        <v>Human, deliberate</v>
      </c>
      <c r="D2733" s="156" t="str">
        <f>'Reported burning'!D2739</f>
        <v>Pyrome management</v>
      </c>
      <c r="E2733" s="156" t="str">
        <f>'Reported burning'!E2739</f>
        <v>Fire suppression agent</v>
      </c>
      <c r="F2733" s="156" t="str">
        <f>'Reported burning'!F2739</f>
        <v>ND</v>
      </c>
      <c r="G2733" s="156" t="str">
        <f>'Reported burning'!G2739</f>
        <v>ND</v>
      </c>
      <c r="H2733" s="156" t="str">
        <f>'Reported burning'!H2739</f>
        <v>Presence</v>
      </c>
      <c r="I2733" s="5"/>
      <c r="J2733" s="205" t="s">
        <v>2276</v>
      </c>
      <c r="K2733" s="205" t="s">
        <v>2276</v>
      </c>
      <c r="L2733" s="205" t="s">
        <v>2276</v>
      </c>
      <c r="M2733" s="205" t="s">
        <v>2276</v>
      </c>
      <c r="N2733" s="205" t="s">
        <v>2276</v>
      </c>
      <c r="O2733" s="205" t="s">
        <v>2276</v>
      </c>
      <c r="P2733" s="205" t="s">
        <v>2276</v>
      </c>
      <c r="Q2733" s="205" t="s">
        <v>2276</v>
      </c>
      <c r="R2733" s="205" t="s">
        <v>2276</v>
      </c>
      <c r="S2733" s="205" t="s">
        <v>2276</v>
      </c>
      <c r="T2733" s="205" t="s">
        <v>2276</v>
      </c>
      <c r="U2733" s="205" t="s">
        <v>2276</v>
      </c>
      <c r="V2733" s="205" t="s">
        <v>2276</v>
      </c>
      <c r="W2733" s="205" t="s">
        <v>2276</v>
      </c>
      <c r="X2733" s="205" t="s">
        <v>68</v>
      </c>
      <c r="Y2733" s="205" t="s">
        <v>86</v>
      </c>
      <c r="Z2733" s="205" t="s">
        <v>76</v>
      </c>
      <c r="AA2733" s="205"/>
      <c r="AB2733" s="205"/>
    </row>
    <row r="2734" spans="1:28" ht="34.5" customHeight="1">
      <c r="A2734" s="156" t="str">
        <f>'Reported burning'!A2740</f>
        <v>305q</v>
      </c>
      <c r="B2734" s="156" t="str">
        <f>'Reported burning'!B2740</f>
        <v>305q.4</v>
      </c>
      <c r="C2734" s="156" t="str">
        <f>'Reported burning'!C2740</f>
        <v>Human, deliberate</v>
      </c>
      <c r="D2734" s="156" t="str">
        <f>'Reported burning'!D2740</f>
        <v>Pyrome management</v>
      </c>
      <c r="E2734" s="156" t="str">
        <f>'Reported burning'!E2740</f>
        <v>Fire suppression agent</v>
      </c>
      <c r="F2734" s="156" t="str">
        <f>'Reported burning'!F2740</f>
        <v>ND</v>
      </c>
      <c r="G2734" s="156" t="str">
        <f>'Reported burning'!G2740</f>
        <v>ND</v>
      </c>
      <c r="H2734" s="156" t="str">
        <f>'Reported burning'!H2740</f>
        <v>Presence</v>
      </c>
      <c r="I2734" s="5"/>
      <c r="J2734" s="205" t="s">
        <v>2276</v>
      </c>
      <c r="K2734" s="205" t="s">
        <v>2276</v>
      </c>
      <c r="L2734" s="205" t="s">
        <v>2276</v>
      </c>
      <c r="M2734" s="205" t="s">
        <v>2276</v>
      </c>
      <c r="N2734" s="205" t="s">
        <v>2276</v>
      </c>
      <c r="O2734" s="205" t="s">
        <v>2276</v>
      </c>
      <c r="P2734" s="205" t="s">
        <v>2276</v>
      </c>
      <c r="Q2734" s="205" t="s">
        <v>2276</v>
      </c>
      <c r="R2734" s="205" t="s">
        <v>2276</v>
      </c>
      <c r="S2734" s="205" t="s">
        <v>2276</v>
      </c>
      <c r="T2734" s="205" t="s">
        <v>2276</v>
      </c>
      <c r="U2734" s="205" t="s">
        <v>2276</v>
      </c>
      <c r="V2734" s="205" t="s">
        <v>2276</v>
      </c>
      <c r="W2734" s="205" t="s">
        <v>2276</v>
      </c>
      <c r="X2734" s="205" t="s">
        <v>68</v>
      </c>
      <c r="Y2734" s="205" t="s">
        <v>86</v>
      </c>
      <c r="Z2734" s="205" t="s">
        <v>76</v>
      </c>
      <c r="AA2734" s="205"/>
      <c r="AB2734" s="205"/>
    </row>
    <row r="2735" spans="1:28" ht="34.5" customHeight="1">
      <c r="A2735" s="156" t="str">
        <f>'Reported burning'!A2741</f>
        <v>305r</v>
      </c>
      <c r="B2735" s="156" t="str">
        <f>'Reported burning'!B2741</f>
        <v>305r.4</v>
      </c>
      <c r="C2735" s="156" t="str">
        <f>'Reported burning'!C2741</f>
        <v>Human, deliberate</v>
      </c>
      <c r="D2735" s="156" t="str">
        <f>'Reported burning'!D2741</f>
        <v>Pyrome management</v>
      </c>
      <c r="E2735" s="156" t="str">
        <f>'Reported burning'!E2741</f>
        <v>Fire suppression agent</v>
      </c>
      <c r="F2735" s="156" t="str">
        <f>'Reported burning'!F2741</f>
        <v>ND</v>
      </c>
      <c r="G2735" s="156" t="str">
        <f>'Reported burning'!G2741</f>
        <v>ND</v>
      </c>
      <c r="H2735" s="156" t="str">
        <f>'Reported burning'!H2741</f>
        <v>Absence</v>
      </c>
      <c r="I2735" s="5"/>
      <c r="J2735" s="14" t="s">
        <v>2364</v>
      </c>
      <c r="K2735" s="14" t="s">
        <v>2364</v>
      </c>
      <c r="L2735" s="14" t="s">
        <v>2364</v>
      </c>
      <c r="M2735" s="14" t="s">
        <v>2364</v>
      </c>
      <c r="N2735" s="14" t="s">
        <v>2364</v>
      </c>
      <c r="O2735" s="14" t="s">
        <v>2364</v>
      </c>
      <c r="P2735" s="14" t="s">
        <v>2364</v>
      </c>
      <c r="Q2735" s="14" t="s">
        <v>2364</v>
      </c>
      <c r="R2735" s="14" t="s">
        <v>2364</v>
      </c>
      <c r="S2735" s="14" t="s">
        <v>2364</v>
      </c>
      <c r="T2735" s="14" t="s">
        <v>2364</v>
      </c>
      <c r="U2735" s="14" t="s">
        <v>2364</v>
      </c>
      <c r="V2735" s="14" t="s">
        <v>2364</v>
      </c>
      <c r="W2735" s="205" t="s">
        <v>2276</v>
      </c>
      <c r="X2735" s="205" t="s">
        <v>68</v>
      </c>
      <c r="Y2735" s="205" t="s">
        <v>86</v>
      </c>
      <c r="Z2735" s="205" t="s">
        <v>76</v>
      </c>
      <c r="AA2735" s="205"/>
      <c r="AB2735" s="205"/>
    </row>
    <row r="2736" spans="1:28" ht="34.5" customHeight="1">
      <c r="A2736" s="156" t="str">
        <f>'Reported burning'!A2742</f>
        <v>305s</v>
      </c>
      <c r="B2736" s="156" t="str">
        <f>'Reported burning'!B2742</f>
        <v>305s.4</v>
      </c>
      <c r="C2736" s="156" t="str">
        <f>'Reported burning'!C2742</f>
        <v>Human, deliberate</v>
      </c>
      <c r="D2736" s="156" t="str">
        <f>'Reported burning'!D2742</f>
        <v>Pyrome management</v>
      </c>
      <c r="E2736" s="156" t="str">
        <f>'Reported burning'!E2742</f>
        <v>Fire suppression agent</v>
      </c>
      <c r="F2736" s="156" t="str">
        <f>'Reported burning'!F2742</f>
        <v>ND</v>
      </c>
      <c r="G2736" s="156" t="str">
        <f>'Reported burning'!G2742</f>
        <v>ND</v>
      </c>
      <c r="H2736" s="156" t="str">
        <f>'Reported burning'!H2742</f>
        <v>Absence</v>
      </c>
      <c r="I2736" s="5"/>
      <c r="J2736" s="14" t="s">
        <v>2364</v>
      </c>
      <c r="K2736" s="14" t="s">
        <v>2364</v>
      </c>
      <c r="L2736" s="14" t="s">
        <v>2364</v>
      </c>
      <c r="M2736" s="14" t="s">
        <v>2364</v>
      </c>
      <c r="N2736" s="14" t="s">
        <v>2364</v>
      </c>
      <c r="O2736" s="14" t="s">
        <v>2364</v>
      </c>
      <c r="P2736" s="14" t="s">
        <v>2364</v>
      </c>
      <c r="Q2736" s="14" t="s">
        <v>2364</v>
      </c>
      <c r="R2736" s="14" t="s">
        <v>2364</v>
      </c>
      <c r="S2736" s="14" t="s">
        <v>2364</v>
      </c>
      <c r="T2736" s="14" t="s">
        <v>2364</v>
      </c>
      <c r="U2736" s="14" t="s">
        <v>2364</v>
      </c>
      <c r="V2736" s="14" t="s">
        <v>2364</v>
      </c>
      <c r="W2736" s="205" t="s">
        <v>2276</v>
      </c>
      <c r="X2736" s="205" t="s">
        <v>68</v>
      </c>
      <c r="Y2736" s="205" t="s">
        <v>86</v>
      </c>
      <c r="Z2736" s="205" t="s">
        <v>76</v>
      </c>
      <c r="AA2736" s="205"/>
      <c r="AB2736" s="205"/>
    </row>
    <row r="2737" spans="1:28" ht="34.5" customHeight="1">
      <c r="A2737" s="156" t="str">
        <f>'Reported burning'!A2743</f>
        <v>305t</v>
      </c>
      <c r="B2737" s="156" t="str">
        <f>'Reported burning'!B2743</f>
        <v>305t.4</v>
      </c>
      <c r="C2737" s="156" t="str">
        <f>'Reported burning'!C2743</f>
        <v>Human, deliberate</v>
      </c>
      <c r="D2737" s="156" t="str">
        <f>'Reported burning'!D2743</f>
        <v>Pyrome management</v>
      </c>
      <c r="E2737" s="156" t="str">
        <f>'Reported burning'!E2743</f>
        <v>Fire suppression agent</v>
      </c>
      <c r="F2737" s="156" t="str">
        <f>'Reported burning'!F2743</f>
        <v>ND</v>
      </c>
      <c r="G2737" s="156" t="str">
        <f>'Reported burning'!G2743</f>
        <v>ND</v>
      </c>
      <c r="H2737" s="156" t="str">
        <f>'Reported burning'!H2743</f>
        <v>Absence</v>
      </c>
      <c r="I2737" s="5"/>
      <c r="J2737" s="14" t="s">
        <v>2364</v>
      </c>
      <c r="K2737" s="14" t="s">
        <v>2364</v>
      </c>
      <c r="L2737" s="14" t="s">
        <v>2364</v>
      </c>
      <c r="M2737" s="14" t="s">
        <v>2364</v>
      </c>
      <c r="N2737" s="14" t="s">
        <v>2364</v>
      </c>
      <c r="O2737" s="14" t="s">
        <v>2364</v>
      </c>
      <c r="P2737" s="14" t="s">
        <v>2364</v>
      </c>
      <c r="Q2737" s="14" t="s">
        <v>2364</v>
      </c>
      <c r="R2737" s="14" t="s">
        <v>2364</v>
      </c>
      <c r="S2737" s="14" t="s">
        <v>2364</v>
      </c>
      <c r="T2737" s="14" t="s">
        <v>2364</v>
      </c>
      <c r="U2737" s="14" t="s">
        <v>2364</v>
      </c>
      <c r="V2737" s="14" t="s">
        <v>2364</v>
      </c>
      <c r="W2737" s="205" t="s">
        <v>2276</v>
      </c>
      <c r="X2737" s="205" t="s">
        <v>68</v>
      </c>
      <c r="Y2737" s="205" t="s">
        <v>86</v>
      </c>
      <c r="Z2737" s="205" t="s">
        <v>76</v>
      </c>
      <c r="AA2737" s="205"/>
      <c r="AB2737" s="205"/>
    </row>
    <row r="2738" spans="1:28" ht="34.5" customHeight="1">
      <c r="A2738" s="156" t="str">
        <f>'Reported burning'!A2744</f>
        <v>305u</v>
      </c>
      <c r="B2738" s="156" t="str">
        <f>'Reported burning'!B2744</f>
        <v>305u.4</v>
      </c>
      <c r="C2738" s="156" t="str">
        <f>'Reported burning'!C2744</f>
        <v>Human, deliberate</v>
      </c>
      <c r="D2738" s="156" t="str">
        <f>'Reported burning'!D2744</f>
        <v>Pyrome management</v>
      </c>
      <c r="E2738" s="156" t="str">
        <f>'Reported burning'!E2744</f>
        <v>Fire suppression agent</v>
      </c>
      <c r="F2738" s="156" t="str">
        <f>'Reported burning'!F2744</f>
        <v>ND</v>
      </c>
      <c r="G2738" s="156" t="str">
        <f>'Reported burning'!G2744</f>
        <v>ND</v>
      </c>
      <c r="H2738" s="156" t="str">
        <f>'Reported burning'!H2744</f>
        <v>Presence</v>
      </c>
      <c r="I2738" s="5"/>
      <c r="J2738" s="205" t="s">
        <v>2276</v>
      </c>
      <c r="K2738" s="205" t="s">
        <v>2276</v>
      </c>
      <c r="L2738" s="205" t="s">
        <v>2276</v>
      </c>
      <c r="M2738" s="205" t="s">
        <v>2276</v>
      </c>
      <c r="N2738" s="205" t="s">
        <v>2276</v>
      </c>
      <c r="O2738" s="205" t="s">
        <v>2276</v>
      </c>
      <c r="P2738" s="205" t="s">
        <v>2276</v>
      </c>
      <c r="Q2738" s="205" t="s">
        <v>2276</v>
      </c>
      <c r="R2738" s="205" t="s">
        <v>2276</v>
      </c>
      <c r="S2738" s="205" t="s">
        <v>2276</v>
      </c>
      <c r="T2738" s="205" t="s">
        <v>2276</v>
      </c>
      <c r="U2738" s="205" t="s">
        <v>2276</v>
      </c>
      <c r="V2738" s="205" t="s">
        <v>2276</v>
      </c>
      <c r="W2738" s="205" t="s">
        <v>2276</v>
      </c>
      <c r="X2738" s="205" t="s">
        <v>68</v>
      </c>
      <c r="Y2738" s="205" t="s">
        <v>86</v>
      </c>
      <c r="Z2738" s="205" t="s">
        <v>76</v>
      </c>
      <c r="AA2738" s="205"/>
      <c r="AB2738" s="205"/>
    </row>
    <row r="2739" spans="1:28" ht="34.5" customHeight="1">
      <c r="A2739" s="156" t="str">
        <f>'Reported burning'!A2745</f>
        <v>305v</v>
      </c>
      <c r="B2739" s="156" t="str">
        <f>'Reported burning'!B2745</f>
        <v>305v.4</v>
      </c>
      <c r="C2739" s="156" t="str">
        <f>'Reported burning'!C2745</f>
        <v>Human, deliberate</v>
      </c>
      <c r="D2739" s="156" t="str">
        <f>'Reported burning'!D2745</f>
        <v>Pyrome management</v>
      </c>
      <c r="E2739" s="156" t="str">
        <f>'Reported burning'!E2745</f>
        <v>Fire suppression agent</v>
      </c>
      <c r="F2739" s="156" t="str">
        <f>'Reported burning'!F2745</f>
        <v>ND</v>
      </c>
      <c r="G2739" s="156" t="str">
        <f>'Reported burning'!G2745</f>
        <v>ND</v>
      </c>
      <c r="H2739" s="156" t="str">
        <f>'Reported burning'!H2745</f>
        <v>Presence</v>
      </c>
      <c r="I2739" s="5"/>
      <c r="J2739" s="205" t="s">
        <v>2276</v>
      </c>
      <c r="K2739" s="205" t="s">
        <v>2276</v>
      </c>
      <c r="L2739" s="205" t="s">
        <v>2276</v>
      </c>
      <c r="M2739" s="205" t="s">
        <v>2276</v>
      </c>
      <c r="N2739" s="205" t="s">
        <v>2276</v>
      </c>
      <c r="O2739" s="205" t="s">
        <v>2276</v>
      </c>
      <c r="P2739" s="205" t="s">
        <v>2276</v>
      </c>
      <c r="Q2739" s="205" t="s">
        <v>2276</v>
      </c>
      <c r="R2739" s="205" t="s">
        <v>2276</v>
      </c>
      <c r="S2739" s="205" t="s">
        <v>2276</v>
      </c>
      <c r="T2739" s="205" t="s">
        <v>2276</v>
      </c>
      <c r="U2739" s="205" t="s">
        <v>2276</v>
      </c>
      <c r="V2739" s="205" t="s">
        <v>2276</v>
      </c>
      <c r="W2739" s="205" t="s">
        <v>2276</v>
      </c>
      <c r="X2739" s="205" t="s">
        <v>68</v>
      </c>
      <c r="Y2739" s="205" t="s">
        <v>86</v>
      </c>
      <c r="Z2739" s="205" t="s">
        <v>76</v>
      </c>
      <c r="AA2739" s="205"/>
      <c r="AB2739" s="205"/>
    </row>
    <row r="2740" spans="1:28" ht="34.5" customHeight="1">
      <c r="A2740" s="156" t="str">
        <f>'Reported burning'!A2746</f>
        <v>305w</v>
      </c>
      <c r="B2740" s="156" t="str">
        <f>'Reported burning'!B2746</f>
        <v>305w.4</v>
      </c>
      <c r="C2740" s="156" t="str">
        <f>'Reported burning'!C2746</f>
        <v>Human, deliberate</v>
      </c>
      <c r="D2740" s="156" t="str">
        <f>'Reported burning'!D2746</f>
        <v>Pyrome management</v>
      </c>
      <c r="E2740" s="156" t="str">
        <f>'Reported burning'!E2746</f>
        <v>Fire suppression agent</v>
      </c>
      <c r="F2740" s="156" t="str">
        <f>'Reported burning'!F2746</f>
        <v>ND</v>
      </c>
      <c r="G2740" s="156" t="str">
        <f>'Reported burning'!G2746</f>
        <v>ND</v>
      </c>
      <c r="H2740" s="156" t="str">
        <f>'Reported burning'!H2746</f>
        <v>Presence</v>
      </c>
      <c r="I2740" s="5"/>
      <c r="J2740" s="205" t="s">
        <v>2276</v>
      </c>
      <c r="K2740" s="205" t="s">
        <v>2276</v>
      </c>
      <c r="L2740" s="205" t="s">
        <v>2276</v>
      </c>
      <c r="M2740" s="205" t="s">
        <v>2276</v>
      </c>
      <c r="N2740" s="205" t="s">
        <v>2276</v>
      </c>
      <c r="O2740" s="205" t="s">
        <v>2276</v>
      </c>
      <c r="P2740" s="205" t="s">
        <v>2276</v>
      </c>
      <c r="Q2740" s="205" t="s">
        <v>2276</v>
      </c>
      <c r="R2740" s="205" t="s">
        <v>2276</v>
      </c>
      <c r="S2740" s="205" t="s">
        <v>2276</v>
      </c>
      <c r="T2740" s="205" t="s">
        <v>2276</v>
      </c>
      <c r="U2740" s="205" t="s">
        <v>2276</v>
      </c>
      <c r="V2740" s="205" t="s">
        <v>2276</v>
      </c>
      <c r="W2740" s="205" t="s">
        <v>2276</v>
      </c>
      <c r="X2740" s="205" t="s">
        <v>68</v>
      </c>
      <c r="Y2740" s="205" t="s">
        <v>86</v>
      </c>
      <c r="Z2740" s="205" t="s">
        <v>76</v>
      </c>
      <c r="AA2740" s="205"/>
      <c r="AB2740" s="205"/>
    </row>
    <row r="2741" spans="1:28" ht="34.5" customHeight="1">
      <c r="A2741" s="156" t="str">
        <f>'Reported burning'!A2747</f>
        <v>305x</v>
      </c>
      <c r="B2741" s="156" t="str">
        <f>'Reported burning'!B2747</f>
        <v>305x.4</v>
      </c>
      <c r="C2741" s="156" t="str">
        <f>'Reported burning'!C2747</f>
        <v>Human, deliberate</v>
      </c>
      <c r="D2741" s="156" t="str">
        <f>'Reported burning'!D2747</f>
        <v>Pyrome management</v>
      </c>
      <c r="E2741" s="156" t="str">
        <f>'Reported burning'!E2747</f>
        <v>Fire suppression agent</v>
      </c>
      <c r="F2741" s="156" t="str">
        <f>'Reported burning'!F2747</f>
        <v>ND</v>
      </c>
      <c r="G2741" s="156" t="str">
        <f>'Reported burning'!G2747</f>
        <v>ND</v>
      </c>
      <c r="H2741" s="156" t="str">
        <f>'Reported burning'!H2747</f>
        <v>Presence</v>
      </c>
      <c r="I2741" s="5"/>
      <c r="J2741" s="205" t="s">
        <v>2276</v>
      </c>
      <c r="K2741" s="205" t="s">
        <v>2276</v>
      </c>
      <c r="L2741" s="205" t="s">
        <v>2276</v>
      </c>
      <c r="M2741" s="205" t="s">
        <v>2276</v>
      </c>
      <c r="N2741" s="205" t="s">
        <v>2276</v>
      </c>
      <c r="O2741" s="205" t="s">
        <v>2276</v>
      </c>
      <c r="P2741" s="205" t="s">
        <v>2276</v>
      </c>
      <c r="Q2741" s="205" t="s">
        <v>2276</v>
      </c>
      <c r="R2741" s="205" t="s">
        <v>2276</v>
      </c>
      <c r="S2741" s="205" t="s">
        <v>2276</v>
      </c>
      <c r="T2741" s="205" t="s">
        <v>2276</v>
      </c>
      <c r="U2741" s="205" t="s">
        <v>2276</v>
      </c>
      <c r="V2741" s="205" t="s">
        <v>2276</v>
      </c>
      <c r="W2741" s="205" t="s">
        <v>2276</v>
      </c>
      <c r="X2741" s="205" t="s">
        <v>68</v>
      </c>
      <c r="Y2741" s="205" t="s">
        <v>86</v>
      </c>
      <c r="Z2741" s="205" t="s">
        <v>76</v>
      </c>
      <c r="AA2741" s="205"/>
      <c r="AB2741" s="205"/>
    </row>
    <row r="2742" spans="1:28" ht="34.5" customHeight="1">
      <c r="A2742" s="156" t="str">
        <f>'Reported burning'!A2748</f>
        <v>305y</v>
      </c>
      <c r="B2742" s="156" t="str">
        <f>'Reported burning'!B2748</f>
        <v>305y.4</v>
      </c>
      <c r="C2742" s="156" t="str">
        <f>'Reported burning'!C2748</f>
        <v>Human, deliberate</v>
      </c>
      <c r="D2742" s="156" t="str">
        <f>'Reported burning'!D2748</f>
        <v>Pyrome management</v>
      </c>
      <c r="E2742" s="156" t="str">
        <f>'Reported burning'!E2748</f>
        <v>Fire suppression agent</v>
      </c>
      <c r="F2742" s="156" t="str">
        <f>'Reported burning'!F2748</f>
        <v>ND</v>
      </c>
      <c r="G2742" s="156" t="str">
        <f>'Reported burning'!G2748</f>
        <v>ND</v>
      </c>
      <c r="H2742" s="156" t="str">
        <f>'Reported burning'!H2748</f>
        <v>Presence</v>
      </c>
      <c r="I2742" s="5"/>
      <c r="J2742" s="205" t="s">
        <v>2276</v>
      </c>
      <c r="K2742" s="205" t="s">
        <v>2276</v>
      </c>
      <c r="L2742" s="205" t="s">
        <v>2276</v>
      </c>
      <c r="M2742" s="205" t="s">
        <v>2276</v>
      </c>
      <c r="N2742" s="205" t="s">
        <v>2276</v>
      </c>
      <c r="O2742" s="205" t="s">
        <v>2276</v>
      </c>
      <c r="P2742" s="205" t="s">
        <v>2276</v>
      </c>
      <c r="Q2742" s="205" t="s">
        <v>2276</v>
      </c>
      <c r="R2742" s="205" t="s">
        <v>2276</v>
      </c>
      <c r="S2742" s="205" t="s">
        <v>2276</v>
      </c>
      <c r="T2742" s="205" t="s">
        <v>2276</v>
      </c>
      <c r="U2742" s="205" t="s">
        <v>2276</v>
      </c>
      <c r="V2742" s="205" t="s">
        <v>2276</v>
      </c>
      <c r="W2742" s="205" t="s">
        <v>2276</v>
      </c>
      <c r="X2742" s="205" t="s">
        <v>68</v>
      </c>
      <c r="Y2742" s="205" t="s">
        <v>86</v>
      </c>
      <c r="Z2742" s="205" t="s">
        <v>76</v>
      </c>
      <c r="AA2742" s="205"/>
      <c r="AB2742" s="205"/>
    </row>
    <row r="2743" spans="1:28" ht="34.5" customHeight="1">
      <c r="A2743" s="156" t="str">
        <f>'Reported burning'!A2749</f>
        <v>305z</v>
      </c>
      <c r="B2743" s="156" t="str">
        <f>'Reported burning'!B2749</f>
        <v>305z.4</v>
      </c>
      <c r="C2743" s="156" t="str">
        <f>'Reported burning'!C2749</f>
        <v>Human, deliberate</v>
      </c>
      <c r="D2743" s="156" t="str">
        <f>'Reported burning'!D2749</f>
        <v>Pyrome management</v>
      </c>
      <c r="E2743" s="156" t="str">
        <f>'Reported burning'!E2749</f>
        <v>Fire suppression agent</v>
      </c>
      <c r="F2743" s="156" t="str">
        <f>'Reported burning'!F2749</f>
        <v>ND</v>
      </c>
      <c r="G2743" s="156" t="str">
        <f>'Reported burning'!G2749</f>
        <v>ND</v>
      </c>
      <c r="H2743" s="156" t="str">
        <f>'Reported burning'!H2749</f>
        <v>Presence</v>
      </c>
      <c r="I2743" s="5"/>
      <c r="J2743" s="205" t="s">
        <v>2276</v>
      </c>
      <c r="K2743" s="205" t="s">
        <v>2276</v>
      </c>
      <c r="L2743" s="205" t="s">
        <v>2276</v>
      </c>
      <c r="M2743" s="205" t="s">
        <v>2276</v>
      </c>
      <c r="N2743" s="205" t="s">
        <v>2276</v>
      </c>
      <c r="O2743" s="205" t="s">
        <v>2276</v>
      </c>
      <c r="P2743" s="205" t="s">
        <v>2276</v>
      </c>
      <c r="Q2743" s="205" t="s">
        <v>2276</v>
      </c>
      <c r="R2743" s="205" t="s">
        <v>2276</v>
      </c>
      <c r="S2743" s="205" t="s">
        <v>2276</v>
      </c>
      <c r="T2743" s="205" t="s">
        <v>2276</v>
      </c>
      <c r="U2743" s="205" t="s">
        <v>2276</v>
      </c>
      <c r="V2743" s="205" t="s">
        <v>2276</v>
      </c>
      <c r="W2743" s="205" t="s">
        <v>2276</v>
      </c>
      <c r="X2743" s="205" t="s">
        <v>68</v>
      </c>
      <c r="Y2743" s="205" t="s">
        <v>86</v>
      </c>
      <c r="Z2743" s="205" t="s">
        <v>76</v>
      </c>
      <c r="AA2743" s="205"/>
      <c r="AB2743" s="205"/>
    </row>
    <row r="2744" spans="1:28" ht="34.5" customHeight="1">
      <c r="A2744" s="156" t="str">
        <f>'Reported burning'!A2750</f>
        <v>305aa</v>
      </c>
      <c r="B2744" s="156" t="str">
        <f>'Reported burning'!B2750</f>
        <v>305aa.4</v>
      </c>
      <c r="C2744" s="156" t="str">
        <f>'Reported burning'!C2750</f>
        <v>Human, deliberate</v>
      </c>
      <c r="D2744" s="156" t="str">
        <f>'Reported burning'!D2750</f>
        <v>Pyrome management</v>
      </c>
      <c r="E2744" s="156" t="str">
        <f>'Reported burning'!E2750</f>
        <v>Fire suppression agent</v>
      </c>
      <c r="F2744" s="156" t="str">
        <f>'Reported burning'!F2750</f>
        <v>ND</v>
      </c>
      <c r="G2744" s="156" t="str">
        <f>'Reported burning'!G2750</f>
        <v>ND</v>
      </c>
      <c r="H2744" s="156" t="str">
        <f>'Reported burning'!H2750</f>
        <v>Presence</v>
      </c>
      <c r="I2744" s="5"/>
      <c r="J2744" s="205" t="s">
        <v>2276</v>
      </c>
      <c r="K2744" s="205" t="s">
        <v>2276</v>
      </c>
      <c r="L2744" s="205" t="s">
        <v>2276</v>
      </c>
      <c r="M2744" s="205" t="s">
        <v>2276</v>
      </c>
      <c r="N2744" s="205" t="s">
        <v>2276</v>
      </c>
      <c r="O2744" s="205" t="s">
        <v>2276</v>
      </c>
      <c r="P2744" s="205" t="s">
        <v>2276</v>
      </c>
      <c r="Q2744" s="205" t="s">
        <v>2276</v>
      </c>
      <c r="R2744" s="205" t="s">
        <v>2276</v>
      </c>
      <c r="S2744" s="205" t="s">
        <v>2276</v>
      </c>
      <c r="T2744" s="205" t="s">
        <v>2276</v>
      </c>
      <c r="U2744" s="205" t="s">
        <v>2276</v>
      </c>
      <c r="V2744" s="205" t="s">
        <v>2276</v>
      </c>
      <c r="W2744" s="205" t="s">
        <v>2276</v>
      </c>
      <c r="X2744" s="205" t="s">
        <v>68</v>
      </c>
      <c r="Y2744" s="205" t="s">
        <v>86</v>
      </c>
      <c r="Z2744" s="205" t="s">
        <v>76</v>
      </c>
      <c r="AA2744" s="205"/>
      <c r="AB2744" s="205"/>
    </row>
    <row r="2745" spans="1:28" ht="34.5" customHeight="1">
      <c r="A2745" s="156" t="str">
        <f>'Reported burning'!A2751</f>
        <v>305ab</v>
      </c>
      <c r="B2745" s="156" t="str">
        <f>'Reported burning'!B2751</f>
        <v>305ab.4</v>
      </c>
      <c r="C2745" s="156" t="str">
        <f>'Reported burning'!C2751</f>
        <v>Human, deliberate</v>
      </c>
      <c r="D2745" s="156" t="str">
        <f>'Reported burning'!D2751</f>
        <v>Pyrome management</v>
      </c>
      <c r="E2745" s="156" t="str">
        <f>'Reported burning'!E2751</f>
        <v>Fire suppression agent</v>
      </c>
      <c r="F2745" s="156" t="str">
        <f>'Reported burning'!F2751</f>
        <v>ND</v>
      </c>
      <c r="G2745" s="156" t="str">
        <f>'Reported burning'!G2751</f>
        <v>ND</v>
      </c>
      <c r="H2745" s="156" t="str">
        <f>'Reported burning'!H2751</f>
        <v>Presence</v>
      </c>
      <c r="I2745" s="5"/>
      <c r="J2745" s="205" t="s">
        <v>2276</v>
      </c>
      <c r="K2745" s="205" t="s">
        <v>2276</v>
      </c>
      <c r="L2745" s="205" t="s">
        <v>2276</v>
      </c>
      <c r="M2745" s="205" t="s">
        <v>2276</v>
      </c>
      <c r="N2745" s="205" t="s">
        <v>2276</v>
      </c>
      <c r="O2745" s="205" t="s">
        <v>2276</v>
      </c>
      <c r="P2745" s="205" t="s">
        <v>2276</v>
      </c>
      <c r="Q2745" s="205" t="s">
        <v>2276</v>
      </c>
      <c r="R2745" s="205" t="s">
        <v>2276</v>
      </c>
      <c r="S2745" s="205" t="s">
        <v>2276</v>
      </c>
      <c r="T2745" s="205" t="s">
        <v>2276</v>
      </c>
      <c r="U2745" s="205" t="s">
        <v>2276</v>
      </c>
      <c r="V2745" s="205" t="s">
        <v>2276</v>
      </c>
      <c r="W2745" s="205" t="s">
        <v>2276</v>
      </c>
      <c r="X2745" s="205" t="s">
        <v>68</v>
      </c>
      <c r="Y2745" s="205" t="s">
        <v>86</v>
      </c>
      <c r="Z2745" s="205" t="s">
        <v>76</v>
      </c>
      <c r="AA2745" s="205"/>
      <c r="AB2745" s="205"/>
    </row>
    <row r="2746" spans="1:28" ht="34.5" customHeight="1">
      <c r="A2746" s="156" t="str">
        <f>'Reported burning'!A2752</f>
        <v>305ac</v>
      </c>
      <c r="B2746" s="156" t="str">
        <f>'Reported burning'!B2752</f>
        <v>305ac.4</v>
      </c>
      <c r="C2746" s="156" t="str">
        <f>'Reported burning'!C2752</f>
        <v>Human, deliberate</v>
      </c>
      <c r="D2746" s="156" t="str">
        <f>'Reported burning'!D2752</f>
        <v>Pyrome management</v>
      </c>
      <c r="E2746" s="156" t="str">
        <f>'Reported burning'!E2752</f>
        <v>Fire suppression agent</v>
      </c>
      <c r="F2746" s="156" t="str">
        <f>'Reported burning'!F2752</f>
        <v>ND</v>
      </c>
      <c r="G2746" s="156" t="str">
        <f>'Reported burning'!G2752</f>
        <v>ND</v>
      </c>
      <c r="H2746" s="156" t="str">
        <f>'Reported burning'!H2752</f>
        <v>Presence</v>
      </c>
      <c r="I2746" s="5"/>
      <c r="J2746" s="205" t="s">
        <v>2276</v>
      </c>
      <c r="K2746" s="205" t="s">
        <v>2276</v>
      </c>
      <c r="L2746" s="205" t="s">
        <v>2276</v>
      </c>
      <c r="M2746" s="205" t="s">
        <v>2276</v>
      </c>
      <c r="N2746" s="205" t="s">
        <v>2276</v>
      </c>
      <c r="O2746" s="205" t="s">
        <v>2276</v>
      </c>
      <c r="P2746" s="205" t="s">
        <v>2276</v>
      </c>
      <c r="Q2746" s="205" t="s">
        <v>2276</v>
      </c>
      <c r="R2746" s="205" t="s">
        <v>2276</v>
      </c>
      <c r="S2746" s="205" t="s">
        <v>2276</v>
      </c>
      <c r="T2746" s="205" t="s">
        <v>2276</v>
      </c>
      <c r="U2746" s="205" t="s">
        <v>2276</v>
      </c>
      <c r="V2746" s="205" t="s">
        <v>2276</v>
      </c>
      <c r="W2746" s="205" t="s">
        <v>2276</v>
      </c>
      <c r="X2746" s="205" t="s">
        <v>68</v>
      </c>
      <c r="Y2746" s="205" t="s">
        <v>86</v>
      </c>
      <c r="Z2746" s="205" t="s">
        <v>76</v>
      </c>
      <c r="AA2746" s="205"/>
      <c r="AB2746" s="205"/>
    </row>
    <row r="2747" spans="1:28" ht="34.5" customHeight="1">
      <c r="A2747" s="156" t="str">
        <f>'Reported burning'!A2753</f>
        <v>305ad</v>
      </c>
      <c r="B2747" s="156" t="str">
        <f>'Reported burning'!B2753</f>
        <v>305ad.4</v>
      </c>
      <c r="C2747" s="156" t="str">
        <f>'Reported burning'!C2753</f>
        <v>Human, deliberate</v>
      </c>
      <c r="D2747" s="156" t="str">
        <f>'Reported burning'!D2753</f>
        <v>Pyrome management</v>
      </c>
      <c r="E2747" s="156" t="str">
        <f>'Reported burning'!E2753</f>
        <v>Fire suppression agent</v>
      </c>
      <c r="F2747" s="156" t="str">
        <f>'Reported burning'!F2753</f>
        <v>ND</v>
      </c>
      <c r="G2747" s="156" t="str">
        <f>'Reported burning'!G2753</f>
        <v>ND</v>
      </c>
      <c r="H2747" s="156" t="str">
        <f>'Reported burning'!H2753</f>
        <v>Presence</v>
      </c>
      <c r="I2747" s="5"/>
      <c r="J2747" s="205" t="s">
        <v>2276</v>
      </c>
      <c r="K2747" s="205" t="s">
        <v>2276</v>
      </c>
      <c r="L2747" s="205" t="s">
        <v>2276</v>
      </c>
      <c r="M2747" s="205" t="s">
        <v>2276</v>
      </c>
      <c r="N2747" s="205" t="s">
        <v>2276</v>
      </c>
      <c r="O2747" s="205" t="s">
        <v>2276</v>
      </c>
      <c r="P2747" s="205" t="s">
        <v>2276</v>
      </c>
      <c r="Q2747" s="205" t="s">
        <v>2276</v>
      </c>
      <c r="R2747" s="205" t="s">
        <v>2276</v>
      </c>
      <c r="S2747" s="205" t="s">
        <v>2276</v>
      </c>
      <c r="T2747" s="205" t="s">
        <v>2276</v>
      </c>
      <c r="U2747" s="205" t="s">
        <v>2276</v>
      </c>
      <c r="V2747" s="205" t="s">
        <v>2276</v>
      </c>
      <c r="W2747" s="205" t="s">
        <v>2276</v>
      </c>
      <c r="X2747" s="205" t="s">
        <v>68</v>
      </c>
      <c r="Y2747" s="205" t="s">
        <v>86</v>
      </c>
      <c r="Z2747" s="205" t="s">
        <v>76</v>
      </c>
      <c r="AA2747" s="205"/>
      <c r="AB2747" s="205"/>
    </row>
    <row r="2748" spans="1:28" ht="34.5" customHeight="1">
      <c r="A2748" s="156" t="str">
        <f>'Reported burning'!A2754</f>
        <v>305ae</v>
      </c>
      <c r="B2748" s="156" t="str">
        <f>'Reported burning'!B2754</f>
        <v>305ae.4</v>
      </c>
      <c r="C2748" s="156" t="str">
        <f>'Reported burning'!C2754</f>
        <v>Human, deliberate</v>
      </c>
      <c r="D2748" s="156" t="str">
        <f>'Reported burning'!D2754</f>
        <v>Pyrome management</v>
      </c>
      <c r="E2748" s="156" t="str">
        <f>'Reported burning'!E2754</f>
        <v>Fire suppression agent</v>
      </c>
      <c r="F2748" s="156" t="str">
        <f>'Reported burning'!F2754</f>
        <v>ND</v>
      </c>
      <c r="G2748" s="156" t="str">
        <f>'Reported burning'!G2754</f>
        <v>ND</v>
      </c>
      <c r="H2748" s="156" t="str">
        <f>'Reported burning'!H2754</f>
        <v>Presence</v>
      </c>
      <c r="I2748" s="5"/>
      <c r="J2748" s="205" t="s">
        <v>2276</v>
      </c>
      <c r="K2748" s="205" t="s">
        <v>2276</v>
      </c>
      <c r="L2748" s="205" t="s">
        <v>2276</v>
      </c>
      <c r="M2748" s="205" t="s">
        <v>2276</v>
      </c>
      <c r="N2748" s="205" t="s">
        <v>2276</v>
      </c>
      <c r="O2748" s="205" t="s">
        <v>2276</v>
      </c>
      <c r="P2748" s="205" t="s">
        <v>2276</v>
      </c>
      <c r="Q2748" s="205" t="s">
        <v>2276</v>
      </c>
      <c r="R2748" s="205" t="s">
        <v>2276</v>
      </c>
      <c r="S2748" s="205" t="s">
        <v>2276</v>
      </c>
      <c r="T2748" s="205" t="s">
        <v>2276</v>
      </c>
      <c r="U2748" s="205" t="s">
        <v>2276</v>
      </c>
      <c r="V2748" s="205" t="s">
        <v>2276</v>
      </c>
      <c r="W2748" s="205" t="s">
        <v>2276</v>
      </c>
      <c r="X2748" s="205" t="s">
        <v>68</v>
      </c>
      <c r="Y2748" s="205" t="s">
        <v>86</v>
      </c>
      <c r="Z2748" s="205" t="s">
        <v>76</v>
      </c>
      <c r="AA2748" s="205"/>
      <c r="AB2748" s="205"/>
    </row>
    <row r="2749" spans="1:28" ht="34.5" customHeight="1">
      <c r="A2749" s="156" t="str">
        <f>'Reported burning'!A2755</f>
        <v>305n</v>
      </c>
      <c r="B2749" s="156" t="str">
        <f>'Reported burning'!B2755</f>
        <v>305n.5</v>
      </c>
      <c r="C2749" s="156" t="str">
        <f>'Reported burning'!C2755</f>
        <v>Human, deliberate</v>
      </c>
      <c r="D2749" s="156" t="str">
        <f>'Reported burning'!D2755</f>
        <v>Pyrome management</v>
      </c>
      <c r="E2749" s="156" t="str">
        <f>'Reported burning'!E2755</f>
        <v>Fire suppression agent</v>
      </c>
      <c r="F2749" s="156" t="str">
        <f>'Reported burning'!F2755</f>
        <v>ND</v>
      </c>
      <c r="G2749" s="156" t="str">
        <f>'Reported burning'!G2755</f>
        <v>ND</v>
      </c>
      <c r="H2749" s="156" t="str">
        <f>'Reported burning'!H2755</f>
        <v>Presence</v>
      </c>
      <c r="I2749" s="5"/>
      <c r="J2749" s="205" t="s">
        <v>2276</v>
      </c>
      <c r="K2749" s="205" t="s">
        <v>2276</v>
      </c>
      <c r="L2749" s="205" t="s">
        <v>2276</v>
      </c>
      <c r="M2749" s="205" t="s">
        <v>2276</v>
      </c>
      <c r="N2749" s="205" t="s">
        <v>2276</v>
      </c>
      <c r="O2749" s="205" t="s">
        <v>2276</v>
      </c>
      <c r="P2749" s="205" t="s">
        <v>2276</v>
      </c>
      <c r="Q2749" s="205" t="s">
        <v>2276</v>
      </c>
      <c r="R2749" s="205" t="s">
        <v>2276</v>
      </c>
      <c r="S2749" s="205" t="s">
        <v>2276</v>
      </c>
      <c r="T2749" s="205" t="s">
        <v>2276</v>
      </c>
      <c r="U2749" s="205" t="s">
        <v>2276</v>
      </c>
      <c r="V2749" s="205" t="s">
        <v>2276</v>
      </c>
      <c r="W2749" s="205" t="s">
        <v>2276</v>
      </c>
      <c r="X2749" s="205" t="s">
        <v>68</v>
      </c>
      <c r="Y2749" s="205" t="s">
        <v>86</v>
      </c>
      <c r="Z2749" s="205" t="s">
        <v>76</v>
      </c>
      <c r="AA2749" s="205"/>
      <c r="AB2749" s="205"/>
    </row>
    <row r="2750" spans="1:28" ht="34.5" customHeight="1">
      <c r="A2750" s="156" t="str">
        <f>'Reported burning'!A2756</f>
        <v>305o</v>
      </c>
      <c r="B2750" s="156" t="str">
        <f>'Reported burning'!B2756</f>
        <v>305o.5</v>
      </c>
      <c r="C2750" s="156" t="str">
        <f>'Reported burning'!C2756</f>
        <v>Human, deliberate</v>
      </c>
      <c r="D2750" s="156" t="str">
        <f>'Reported burning'!D2756</f>
        <v>Pyrome management</v>
      </c>
      <c r="E2750" s="156" t="str">
        <f>'Reported burning'!E2756</f>
        <v>Fire suppression agent</v>
      </c>
      <c r="F2750" s="156" t="str">
        <f>'Reported burning'!F2756</f>
        <v>ND</v>
      </c>
      <c r="G2750" s="156" t="str">
        <f>'Reported burning'!G2756</f>
        <v>ND</v>
      </c>
      <c r="H2750" s="156" t="str">
        <f>'Reported burning'!H2756</f>
        <v>Presence</v>
      </c>
      <c r="I2750" s="5"/>
      <c r="J2750" s="205" t="s">
        <v>2276</v>
      </c>
      <c r="K2750" s="205" t="s">
        <v>2276</v>
      </c>
      <c r="L2750" s="205" t="s">
        <v>2276</v>
      </c>
      <c r="M2750" s="205" t="s">
        <v>2276</v>
      </c>
      <c r="N2750" s="205" t="s">
        <v>2276</v>
      </c>
      <c r="O2750" s="205" t="s">
        <v>2276</v>
      </c>
      <c r="P2750" s="205" t="s">
        <v>2276</v>
      </c>
      <c r="Q2750" s="205" t="s">
        <v>2276</v>
      </c>
      <c r="R2750" s="205" t="s">
        <v>2276</v>
      </c>
      <c r="S2750" s="205" t="s">
        <v>2276</v>
      </c>
      <c r="T2750" s="205" t="s">
        <v>2276</v>
      </c>
      <c r="U2750" s="205" t="s">
        <v>2276</v>
      </c>
      <c r="V2750" s="205" t="s">
        <v>2276</v>
      </c>
      <c r="W2750" s="205" t="s">
        <v>2276</v>
      </c>
      <c r="X2750" s="205" t="s">
        <v>68</v>
      </c>
      <c r="Y2750" s="205" t="s">
        <v>86</v>
      </c>
      <c r="Z2750" s="205" t="s">
        <v>76</v>
      </c>
      <c r="AA2750" s="205"/>
      <c r="AB2750" s="205"/>
    </row>
    <row r="2751" spans="1:28" ht="34.5" customHeight="1">
      <c r="A2751" s="156" t="str">
        <f>'Reported burning'!A2757</f>
        <v>305p</v>
      </c>
      <c r="B2751" s="156" t="str">
        <f>'Reported burning'!B2757</f>
        <v>305p.5</v>
      </c>
      <c r="C2751" s="156" t="str">
        <f>'Reported burning'!C2757</f>
        <v>Human, deliberate</v>
      </c>
      <c r="D2751" s="156" t="str">
        <f>'Reported burning'!D2757</f>
        <v>Pyrome management</v>
      </c>
      <c r="E2751" s="156" t="str">
        <f>'Reported burning'!E2757</f>
        <v>Fire suppression agent</v>
      </c>
      <c r="F2751" s="156" t="str">
        <f>'Reported burning'!F2757</f>
        <v>ND</v>
      </c>
      <c r="G2751" s="156" t="str">
        <f>'Reported burning'!G2757</f>
        <v>ND</v>
      </c>
      <c r="H2751" s="156" t="str">
        <f>'Reported burning'!H2757</f>
        <v>Presence</v>
      </c>
      <c r="I2751" s="5"/>
      <c r="J2751" s="205" t="s">
        <v>2276</v>
      </c>
      <c r="K2751" s="205" t="s">
        <v>2276</v>
      </c>
      <c r="L2751" s="205" t="s">
        <v>2276</v>
      </c>
      <c r="M2751" s="205" t="s">
        <v>2276</v>
      </c>
      <c r="N2751" s="205" t="s">
        <v>2276</v>
      </c>
      <c r="O2751" s="205" t="s">
        <v>2276</v>
      </c>
      <c r="P2751" s="205" t="s">
        <v>2276</v>
      </c>
      <c r="Q2751" s="205" t="s">
        <v>2276</v>
      </c>
      <c r="R2751" s="205" t="s">
        <v>2276</v>
      </c>
      <c r="S2751" s="205" t="s">
        <v>2276</v>
      </c>
      <c r="T2751" s="205" t="s">
        <v>2276</v>
      </c>
      <c r="U2751" s="205" t="s">
        <v>2276</v>
      </c>
      <c r="V2751" s="205" t="s">
        <v>2276</v>
      </c>
      <c r="W2751" s="205" t="s">
        <v>2276</v>
      </c>
      <c r="X2751" s="205" t="s">
        <v>68</v>
      </c>
      <c r="Y2751" s="205" t="s">
        <v>86</v>
      </c>
      <c r="Z2751" s="205" t="s">
        <v>76</v>
      </c>
      <c r="AA2751" s="205"/>
      <c r="AB2751" s="205"/>
    </row>
    <row r="2752" spans="1:28" ht="34.5" customHeight="1">
      <c r="A2752" s="156" t="str">
        <f>'Reported burning'!A2758</f>
        <v>305q</v>
      </c>
      <c r="B2752" s="156" t="str">
        <f>'Reported burning'!B2758</f>
        <v>305q.5</v>
      </c>
      <c r="C2752" s="156" t="str">
        <f>'Reported burning'!C2758</f>
        <v>Human, deliberate</v>
      </c>
      <c r="D2752" s="156" t="str">
        <f>'Reported burning'!D2758</f>
        <v>Pyrome management</v>
      </c>
      <c r="E2752" s="156" t="str">
        <f>'Reported burning'!E2758</f>
        <v>Fire suppression agent</v>
      </c>
      <c r="F2752" s="156" t="str">
        <f>'Reported burning'!F2758</f>
        <v>ND</v>
      </c>
      <c r="G2752" s="156" t="str">
        <f>'Reported burning'!G2758</f>
        <v>ND</v>
      </c>
      <c r="H2752" s="156" t="str">
        <f>'Reported burning'!H2758</f>
        <v>Presence</v>
      </c>
      <c r="I2752" s="5"/>
      <c r="J2752" s="205" t="s">
        <v>2276</v>
      </c>
      <c r="K2752" s="205" t="s">
        <v>2276</v>
      </c>
      <c r="L2752" s="205" t="s">
        <v>2276</v>
      </c>
      <c r="M2752" s="205" t="s">
        <v>2276</v>
      </c>
      <c r="N2752" s="205" t="s">
        <v>2276</v>
      </c>
      <c r="O2752" s="205" t="s">
        <v>2276</v>
      </c>
      <c r="P2752" s="205" t="s">
        <v>2276</v>
      </c>
      <c r="Q2752" s="205" t="s">
        <v>2276</v>
      </c>
      <c r="R2752" s="205" t="s">
        <v>2276</v>
      </c>
      <c r="S2752" s="205" t="s">
        <v>2276</v>
      </c>
      <c r="T2752" s="205" t="s">
        <v>2276</v>
      </c>
      <c r="U2752" s="205" t="s">
        <v>2276</v>
      </c>
      <c r="V2752" s="205" t="s">
        <v>2276</v>
      </c>
      <c r="W2752" s="205" t="s">
        <v>2276</v>
      </c>
      <c r="X2752" s="205" t="s">
        <v>68</v>
      </c>
      <c r="Y2752" s="205" t="s">
        <v>86</v>
      </c>
      <c r="Z2752" s="205" t="s">
        <v>76</v>
      </c>
      <c r="AA2752" s="205"/>
      <c r="AB2752" s="205"/>
    </row>
    <row r="2753" spans="1:28" ht="34.5" customHeight="1">
      <c r="A2753" s="156" t="str">
        <f>'Reported burning'!A2759</f>
        <v>305r</v>
      </c>
      <c r="B2753" s="156" t="str">
        <f>'Reported burning'!B2759</f>
        <v>305r.5</v>
      </c>
      <c r="C2753" s="156" t="str">
        <f>'Reported burning'!C2759</f>
        <v>Human, deliberate</v>
      </c>
      <c r="D2753" s="156" t="str">
        <f>'Reported burning'!D2759</f>
        <v>Pyrome management</v>
      </c>
      <c r="E2753" s="156" t="str">
        <f>'Reported burning'!E2759</f>
        <v>Fire suppression agent</v>
      </c>
      <c r="F2753" s="156" t="str">
        <f>'Reported burning'!F2759</f>
        <v>ND</v>
      </c>
      <c r="G2753" s="156" t="str">
        <f>'Reported burning'!G2759</f>
        <v>ND</v>
      </c>
      <c r="H2753" s="156" t="str">
        <f>'Reported burning'!H2759</f>
        <v>Absence</v>
      </c>
      <c r="I2753" s="5"/>
      <c r="J2753" s="14" t="s">
        <v>2364</v>
      </c>
      <c r="K2753" s="14" t="s">
        <v>2364</v>
      </c>
      <c r="L2753" s="14" t="s">
        <v>2364</v>
      </c>
      <c r="M2753" s="14" t="s">
        <v>2364</v>
      </c>
      <c r="N2753" s="14" t="s">
        <v>2364</v>
      </c>
      <c r="O2753" s="14" t="s">
        <v>2364</v>
      </c>
      <c r="P2753" s="14" t="s">
        <v>2364</v>
      </c>
      <c r="Q2753" s="14" t="s">
        <v>2364</v>
      </c>
      <c r="R2753" s="14" t="s">
        <v>2364</v>
      </c>
      <c r="S2753" s="14" t="s">
        <v>2364</v>
      </c>
      <c r="T2753" s="14" t="s">
        <v>2364</v>
      </c>
      <c r="U2753" s="14" t="s">
        <v>2364</v>
      </c>
      <c r="V2753" s="14" t="s">
        <v>2364</v>
      </c>
      <c r="W2753" s="205" t="s">
        <v>2276</v>
      </c>
      <c r="X2753" s="205" t="s">
        <v>68</v>
      </c>
      <c r="Y2753" s="205" t="s">
        <v>86</v>
      </c>
      <c r="Z2753" s="205" t="s">
        <v>76</v>
      </c>
      <c r="AA2753" s="205"/>
      <c r="AB2753" s="205"/>
    </row>
    <row r="2754" spans="1:28" ht="34.5" customHeight="1">
      <c r="A2754" s="156" t="str">
        <f>'Reported burning'!A2760</f>
        <v>305s</v>
      </c>
      <c r="B2754" s="156" t="str">
        <f>'Reported burning'!B2760</f>
        <v>305s.5</v>
      </c>
      <c r="C2754" s="156" t="str">
        <f>'Reported burning'!C2760</f>
        <v>Human, deliberate</v>
      </c>
      <c r="D2754" s="156" t="str">
        <f>'Reported burning'!D2760</f>
        <v>Pyrome management</v>
      </c>
      <c r="E2754" s="156" t="str">
        <f>'Reported burning'!E2760</f>
        <v>Fire suppression agent</v>
      </c>
      <c r="F2754" s="156" t="str">
        <f>'Reported burning'!F2760</f>
        <v>ND</v>
      </c>
      <c r="G2754" s="156" t="str">
        <f>'Reported burning'!G2760</f>
        <v>ND</v>
      </c>
      <c r="H2754" s="156" t="str">
        <f>'Reported burning'!H2760</f>
        <v>Absence</v>
      </c>
      <c r="I2754" s="5"/>
      <c r="J2754" s="14" t="s">
        <v>2364</v>
      </c>
      <c r="K2754" s="14" t="s">
        <v>2364</v>
      </c>
      <c r="L2754" s="14" t="s">
        <v>2364</v>
      </c>
      <c r="M2754" s="14" t="s">
        <v>2364</v>
      </c>
      <c r="N2754" s="14" t="s">
        <v>2364</v>
      </c>
      <c r="O2754" s="14" t="s">
        <v>2364</v>
      </c>
      <c r="P2754" s="14" t="s">
        <v>2364</v>
      </c>
      <c r="Q2754" s="14" t="s">
        <v>2364</v>
      </c>
      <c r="R2754" s="14" t="s">
        <v>2364</v>
      </c>
      <c r="S2754" s="14" t="s">
        <v>2364</v>
      </c>
      <c r="T2754" s="14" t="s">
        <v>2364</v>
      </c>
      <c r="U2754" s="14" t="s">
        <v>2364</v>
      </c>
      <c r="V2754" s="14" t="s">
        <v>2364</v>
      </c>
      <c r="W2754" s="205" t="s">
        <v>2276</v>
      </c>
      <c r="X2754" s="205" t="s">
        <v>68</v>
      </c>
      <c r="Y2754" s="205" t="s">
        <v>86</v>
      </c>
      <c r="Z2754" s="205" t="s">
        <v>76</v>
      </c>
      <c r="AA2754" s="205"/>
      <c r="AB2754" s="205"/>
    </row>
    <row r="2755" spans="1:28" ht="34.5" customHeight="1">
      <c r="A2755" s="156" t="str">
        <f>'Reported burning'!A2761</f>
        <v>305t</v>
      </c>
      <c r="B2755" s="156" t="str">
        <f>'Reported burning'!B2761</f>
        <v>305t.5</v>
      </c>
      <c r="C2755" s="156" t="str">
        <f>'Reported burning'!C2761</f>
        <v>Human, deliberate</v>
      </c>
      <c r="D2755" s="156" t="str">
        <f>'Reported burning'!D2761</f>
        <v>Pyrome management</v>
      </c>
      <c r="E2755" s="156" t="str">
        <f>'Reported burning'!E2761</f>
        <v>Fire suppression agent</v>
      </c>
      <c r="F2755" s="156" t="str">
        <f>'Reported burning'!F2761</f>
        <v>ND</v>
      </c>
      <c r="G2755" s="156" t="str">
        <f>'Reported burning'!G2761</f>
        <v>ND</v>
      </c>
      <c r="H2755" s="156" t="str">
        <f>'Reported burning'!H2761</f>
        <v>Absence</v>
      </c>
      <c r="I2755" s="5"/>
      <c r="J2755" s="14" t="s">
        <v>2364</v>
      </c>
      <c r="K2755" s="14" t="s">
        <v>2364</v>
      </c>
      <c r="L2755" s="14" t="s">
        <v>2364</v>
      </c>
      <c r="M2755" s="14" t="s">
        <v>2364</v>
      </c>
      <c r="N2755" s="14" t="s">
        <v>2364</v>
      </c>
      <c r="O2755" s="14" t="s">
        <v>2364</v>
      </c>
      <c r="P2755" s="14" t="s">
        <v>2364</v>
      </c>
      <c r="Q2755" s="14" t="s">
        <v>2364</v>
      </c>
      <c r="R2755" s="14" t="s">
        <v>2364</v>
      </c>
      <c r="S2755" s="14" t="s">
        <v>2364</v>
      </c>
      <c r="T2755" s="14" t="s">
        <v>2364</v>
      </c>
      <c r="U2755" s="14" t="s">
        <v>2364</v>
      </c>
      <c r="V2755" s="14" t="s">
        <v>2364</v>
      </c>
      <c r="W2755" s="205" t="s">
        <v>2276</v>
      </c>
      <c r="X2755" s="205" t="s">
        <v>68</v>
      </c>
      <c r="Y2755" s="205" t="s">
        <v>86</v>
      </c>
      <c r="Z2755" s="205" t="s">
        <v>76</v>
      </c>
      <c r="AA2755" s="205"/>
      <c r="AB2755" s="205"/>
    </row>
    <row r="2756" spans="1:28" ht="34.5" customHeight="1">
      <c r="A2756" s="156" t="str">
        <f>'Reported burning'!A2762</f>
        <v>305u</v>
      </c>
      <c r="B2756" s="156" t="str">
        <f>'Reported burning'!B2762</f>
        <v>305u.5</v>
      </c>
      <c r="C2756" s="156" t="str">
        <f>'Reported burning'!C2762</f>
        <v>Human, deliberate</v>
      </c>
      <c r="D2756" s="156" t="str">
        <f>'Reported burning'!D2762</f>
        <v>Pyrome management</v>
      </c>
      <c r="E2756" s="156" t="str">
        <f>'Reported burning'!E2762</f>
        <v>Fire suppression agent</v>
      </c>
      <c r="F2756" s="156" t="str">
        <f>'Reported burning'!F2762</f>
        <v>ND</v>
      </c>
      <c r="G2756" s="156" t="str">
        <f>'Reported burning'!G2762</f>
        <v>ND</v>
      </c>
      <c r="H2756" s="156" t="str">
        <f>'Reported burning'!H2762</f>
        <v>Presence</v>
      </c>
      <c r="I2756" s="5"/>
      <c r="J2756" s="205" t="s">
        <v>2276</v>
      </c>
      <c r="K2756" s="205" t="s">
        <v>2276</v>
      </c>
      <c r="L2756" s="205" t="s">
        <v>2276</v>
      </c>
      <c r="M2756" s="205" t="s">
        <v>2276</v>
      </c>
      <c r="N2756" s="205" t="s">
        <v>2276</v>
      </c>
      <c r="O2756" s="205" t="s">
        <v>2276</v>
      </c>
      <c r="P2756" s="205" t="s">
        <v>2276</v>
      </c>
      <c r="Q2756" s="205" t="s">
        <v>2276</v>
      </c>
      <c r="R2756" s="205" t="s">
        <v>2276</v>
      </c>
      <c r="S2756" s="205" t="s">
        <v>2276</v>
      </c>
      <c r="T2756" s="205" t="s">
        <v>2276</v>
      </c>
      <c r="U2756" s="205" t="s">
        <v>2276</v>
      </c>
      <c r="V2756" s="205" t="s">
        <v>2276</v>
      </c>
      <c r="W2756" s="205" t="s">
        <v>2276</v>
      </c>
      <c r="X2756" s="205" t="s">
        <v>68</v>
      </c>
      <c r="Y2756" s="205" t="s">
        <v>86</v>
      </c>
      <c r="Z2756" s="205" t="s">
        <v>76</v>
      </c>
      <c r="AA2756" s="205"/>
      <c r="AB2756" s="205"/>
    </row>
    <row r="2757" spans="1:28" ht="34.5" customHeight="1">
      <c r="A2757" s="156" t="str">
        <f>'Reported burning'!A2763</f>
        <v>305v</v>
      </c>
      <c r="B2757" s="156" t="str">
        <f>'Reported burning'!B2763</f>
        <v>305v.5</v>
      </c>
      <c r="C2757" s="156" t="str">
        <f>'Reported burning'!C2763</f>
        <v>Human, deliberate</v>
      </c>
      <c r="D2757" s="156" t="str">
        <f>'Reported burning'!D2763</f>
        <v>Pyrome management</v>
      </c>
      <c r="E2757" s="156" t="str">
        <f>'Reported burning'!E2763</f>
        <v>Fire suppression agent</v>
      </c>
      <c r="F2757" s="156" t="str">
        <f>'Reported burning'!F2763</f>
        <v>ND</v>
      </c>
      <c r="G2757" s="156" t="str">
        <f>'Reported burning'!G2763</f>
        <v>ND</v>
      </c>
      <c r="H2757" s="156" t="str">
        <f>'Reported burning'!H2763</f>
        <v>Presence</v>
      </c>
      <c r="I2757" s="5"/>
      <c r="J2757" s="205" t="s">
        <v>2276</v>
      </c>
      <c r="K2757" s="205" t="s">
        <v>2276</v>
      </c>
      <c r="L2757" s="205" t="s">
        <v>2276</v>
      </c>
      <c r="M2757" s="205" t="s">
        <v>2276</v>
      </c>
      <c r="N2757" s="205" t="s">
        <v>2276</v>
      </c>
      <c r="O2757" s="205" t="s">
        <v>2276</v>
      </c>
      <c r="P2757" s="205" t="s">
        <v>2276</v>
      </c>
      <c r="Q2757" s="205" t="s">
        <v>2276</v>
      </c>
      <c r="R2757" s="205" t="s">
        <v>2276</v>
      </c>
      <c r="S2757" s="205" t="s">
        <v>2276</v>
      </c>
      <c r="T2757" s="205" t="s">
        <v>2276</v>
      </c>
      <c r="U2757" s="205" t="s">
        <v>2276</v>
      </c>
      <c r="V2757" s="205" t="s">
        <v>2276</v>
      </c>
      <c r="W2757" s="205" t="s">
        <v>2276</v>
      </c>
      <c r="X2757" s="205" t="s">
        <v>68</v>
      </c>
      <c r="Y2757" s="205" t="s">
        <v>86</v>
      </c>
      <c r="Z2757" s="205" t="s">
        <v>76</v>
      </c>
      <c r="AA2757" s="205"/>
      <c r="AB2757" s="205"/>
    </row>
    <row r="2758" spans="1:28" ht="34.5" customHeight="1">
      <c r="A2758" s="156" t="str">
        <f>'Reported burning'!A2764</f>
        <v>305w</v>
      </c>
      <c r="B2758" s="156" t="str">
        <f>'Reported burning'!B2764</f>
        <v>305w.5</v>
      </c>
      <c r="C2758" s="156" t="str">
        <f>'Reported burning'!C2764</f>
        <v>Human, deliberate</v>
      </c>
      <c r="D2758" s="156" t="str">
        <f>'Reported burning'!D2764</f>
        <v>Pyrome management</v>
      </c>
      <c r="E2758" s="156" t="str">
        <f>'Reported burning'!E2764</f>
        <v>Fire suppression agent</v>
      </c>
      <c r="F2758" s="156" t="str">
        <f>'Reported burning'!F2764</f>
        <v>ND</v>
      </c>
      <c r="G2758" s="156" t="str">
        <f>'Reported burning'!G2764</f>
        <v>ND</v>
      </c>
      <c r="H2758" s="156" t="str">
        <f>'Reported burning'!H2764</f>
        <v>Presence</v>
      </c>
      <c r="I2758" s="5"/>
      <c r="J2758" s="205" t="s">
        <v>2276</v>
      </c>
      <c r="K2758" s="205" t="s">
        <v>2276</v>
      </c>
      <c r="L2758" s="205" t="s">
        <v>2276</v>
      </c>
      <c r="M2758" s="205" t="s">
        <v>2276</v>
      </c>
      <c r="N2758" s="205" t="s">
        <v>2276</v>
      </c>
      <c r="O2758" s="205" t="s">
        <v>2276</v>
      </c>
      <c r="P2758" s="205" t="s">
        <v>2276</v>
      </c>
      <c r="Q2758" s="205" t="s">
        <v>2276</v>
      </c>
      <c r="R2758" s="205" t="s">
        <v>2276</v>
      </c>
      <c r="S2758" s="205" t="s">
        <v>2276</v>
      </c>
      <c r="T2758" s="205" t="s">
        <v>2276</v>
      </c>
      <c r="U2758" s="205" t="s">
        <v>2276</v>
      </c>
      <c r="V2758" s="205" t="s">
        <v>2276</v>
      </c>
      <c r="W2758" s="205" t="s">
        <v>2276</v>
      </c>
      <c r="X2758" s="205" t="s">
        <v>68</v>
      </c>
      <c r="Y2758" s="205" t="s">
        <v>86</v>
      </c>
      <c r="Z2758" s="205" t="s">
        <v>76</v>
      </c>
      <c r="AA2758" s="205"/>
      <c r="AB2758" s="205"/>
    </row>
    <row r="2759" spans="1:28" ht="34.5" customHeight="1">
      <c r="A2759" s="156" t="str">
        <f>'Reported burning'!A2765</f>
        <v>305x</v>
      </c>
      <c r="B2759" s="156" t="str">
        <f>'Reported burning'!B2765</f>
        <v>305x.5</v>
      </c>
      <c r="C2759" s="156" t="str">
        <f>'Reported burning'!C2765</f>
        <v>Human, deliberate</v>
      </c>
      <c r="D2759" s="156" t="str">
        <f>'Reported burning'!D2765</f>
        <v>Pyrome management</v>
      </c>
      <c r="E2759" s="156" t="str">
        <f>'Reported burning'!E2765</f>
        <v>Fire suppression agent</v>
      </c>
      <c r="F2759" s="156" t="str">
        <f>'Reported burning'!F2765</f>
        <v>ND</v>
      </c>
      <c r="G2759" s="156" t="str">
        <f>'Reported burning'!G2765</f>
        <v>ND</v>
      </c>
      <c r="H2759" s="156" t="str">
        <f>'Reported burning'!H2765</f>
        <v>Presence</v>
      </c>
      <c r="I2759" s="5"/>
      <c r="J2759" s="205" t="s">
        <v>2276</v>
      </c>
      <c r="K2759" s="205" t="s">
        <v>2276</v>
      </c>
      <c r="L2759" s="205" t="s">
        <v>2276</v>
      </c>
      <c r="M2759" s="205" t="s">
        <v>2276</v>
      </c>
      <c r="N2759" s="205" t="s">
        <v>2276</v>
      </c>
      <c r="O2759" s="205" t="s">
        <v>2276</v>
      </c>
      <c r="P2759" s="205" t="s">
        <v>2276</v>
      </c>
      <c r="Q2759" s="205" t="s">
        <v>2276</v>
      </c>
      <c r="R2759" s="205" t="s">
        <v>2276</v>
      </c>
      <c r="S2759" s="205" t="s">
        <v>2276</v>
      </c>
      <c r="T2759" s="205" t="s">
        <v>2276</v>
      </c>
      <c r="U2759" s="205" t="s">
        <v>2276</v>
      </c>
      <c r="V2759" s="205" t="s">
        <v>2276</v>
      </c>
      <c r="W2759" s="205" t="s">
        <v>2276</v>
      </c>
      <c r="X2759" s="205" t="s">
        <v>68</v>
      </c>
      <c r="Y2759" s="205" t="s">
        <v>86</v>
      </c>
      <c r="Z2759" s="205" t="s">
        <v>76</v>
      </c>
      <c r="AA2759" s="205"/>
      <c r="AB2759" s="205"/>
    </row>
    <row r="2760" spans="1:28" ht="34.5" customHeight="1">
      <c r="A2760" s="156" t="str">
        <f>'Reported burning'!A2766</f>
        <v>305y</v>
      </c>
      <c r="B2760" s="156" t="str">
        <f>'Reported burning'!B2766</f>
        <v>305y.5</v>
      </c>
      <c r="C2760" s="156" t="str">
        <f>'Reported burning'!C2766</f>
        <v>Human, deliberate</v>
      </c>
      <c r="D2760" s="156" t="str">
        <f>'Reported burning'!D2766</f>
        <v>Pyrome management</v>
      </c>
      <c r="E2760" s="156" t="str">
        <f>'Reported burning'!E2766</f>
        <v>Fire suppression agent</v>
      </c>
      <c r="F2760" s="156" t="str">
        <f>'Reported burning'!F2766</f>
        <v>ND</v>
      </c>
      <c r="G2760" s="156" t="str">
        <f>'Reported burning'!G2766</f>
        <v>ND</v>
      </c>
      <c r="H2760" s="156" t="str">
        <f>'Reported burning'!H2766</f>
        <v>Presence</v>
      </c>
      <c r="I2760" s="5"/>
      <c r="J2760" s="205" t="s">
        <v>2276</v>
      </c>
      <c r="K2760" s="205" t="s">
        <v>2276</v>
      </c>
      <c r="L2760" s="205" t="s">
        <v>2276</v>
      </c>
      <c r="M2760" s="205" t="s">
        <v>2276</v>
      </c>
      <c r="N2760" s="205" t="s">
        <v>2276</v>
      </c>
      <c r="O2760" s="205" t="s">
        <v>2276</v>
      </c>
      <c r="P2760" s="205" t="s">
        <v>2276</v>
      </c>
      <c r="Q2760" s="205" t="s">
        <v>2276</v>
      </c>
      <c r="R2760" s="205" t="s">
        <v>2276</v>
      </c>
      <c r="S2760" s="205" t="s">
        <v>2276</v>
      </c>
      <c r="T2760" s="205" t="s">
        <v>2276</v>
      </c>
      <c r="U2760" s="205" t="s">
        <v>2276</v>
      </c>
      <c r="V2760" s="205" t="s">
        <v>2276</v>
      </c>
      <c r="W2760" s="205" t="s">
        <v>2276</v>
      </c>
      <c r="X2760" s="205" t="s">
        <v>68</v>
      </c>
      <c r="Y2760" s="205" t="s">
        <v>86</v>
      </c>
      <c r="Z2760" s="205" t="s">
        <v>76</v>
      </c>
      <c r="AA2760" s="205"/>
      <c r="AB2760" s="205"/>
    </row>
    <row r="2761" spans="1:28" ht="34.5" customHeight="1">
      <c r="A2761" s="156" t="str">
        <f>'Reported burning'!A2767</f>
        <v>305z</v>
      </c>
      <c r="B2761" s="156" t="str">
        <f>'Reported burning'!B2767</f>
        <v>305z.5</v>
      </c>
      <c r="C2761" s="156" t="str">
        <f>'Reported burning'!C2767</f>
        <v>Human, deliberate</v>
      </c>
      <c r="D2761" s="156" t="str">
        <f>'Reported burning'!D2767</f>
        <v>Pyrome management</v>
      </c>
      <c r="E2761" s="156" t="str">
        <f>'Reported burning'!E2767</f>
        <v>Fire suppression agent</v>
      </c>
      <c r="F2761" s="156" t="str">
        <f>'Reported burning'!F2767</f>
        <v>ND</v>
      </c>
      <c r="G2761" s="156" t="str">
        <f>'Reported burning'!G2767</f>
        <v>ND</v>
      </c>
      <c r="H2761" s="156" t="str">
        <f>'Reported burning'!H2767</f>
        <v>Presence</v>
      </c>
      <c r="I2761" s="5"/>
      <c r="J2761" s="205" t="s">
        <v>2276</v>
      </c>
      <c r="K2761" s="205" t="s">
        <v>2276</v>
      </c>
      <c r="L2761" s="205" t="s">
        <v>2276</v>
      </c>
      <c r="M2761" s="205" t="s">
        <v>2276</v>
      </c>
      <c r="N2761" s="205" t="s">
        <v>2276</v>
      </c>
      <c r="O2761" s="205" t="s">
        <v>2276</v>
      </c>
      <c r="P2761" s="205" t="s">
        <v>2276</v>
      </c>
      <c r="Q2761" s="205" t="s">
        <v>2276</v>
      </c>
      <c r="R2761" s="205" t="s">
        <v>2276</v>
      </c>
      <c r="S2761" s="205" t="s">
        <v>2276</v>
      </c>
      <c r="T2761" s="205" t="s">
        <v>2276</v>
      </c>
      <c r="U2761" s="205" t="s">
        <v>2276</v>
      </c>
      <c r="V2761" s="205" t="s">
        <v>2276</v>
      </c>
      <c r="W2761" s="205" t="s">
        <v>2276</v>
      </c>
      <c r="X2761" s="205" t="s">
        <v>68</v>
      </c>
      <c r="Y2761" s="205" t="s">
        <v>86</v>
      </c>
      <c r="Z2761" s="205" t="s">
        <v>76</v>
      </c>
      <c r="AA2761" s="205"/>
      <c r="AB2761" s="205"/>
    </row>
    <row r="2762" spans="1:28" ht="34.5" customHeight="1">
      <c r="A2762" s="156" t="str">
        <f>'Reported burning'!A2768</f>
        <v>305aa</v>
      </c>
      <c r="B2762" s="156" t="str">
        <f>'Reported burning'!B2768</f>
        <v>305aa.5</v>
      </c>
      <c r="C2762" s="156" t="str">
        <f>'Reported burning'!C2768</f>
        <v>Human, deliberate</v>
      </c>
      <c r="D2762" s="156" t="str">
        <f>'Reported burning'!D2768</f>
        <v>Pyrome management</v>
      </c>
      <c r="E2762" s="156" t="str">
        <f>'Reported burning'!E2768</f>
        <v>Fire suppression agent</v>
      </c>
      <c r="F2762" s="156" t="str">
        <f>'Reported burning'!F2768</f>
        <v>ND</v>
      </c>
      <c r="G2762" s="156" t="str">
        <f>'Reported burning'!G2768</f>
        <v>ND</v>
      </c>
      <c r="H2762" s="156" t="str">
        <f>'Reported burning'!H2768</f>
        <v>Presence</v>
      </c>
      <c r="I2762" s="5"/>
      <c r="J2762" s="205" t="s">
        <v>2276</v>
      </c>
      <c r="K2762" s="205" t="s">
        <v>2276</v>
      </c>
      <c r="L2762" s="205" t="s">
        <v>2276</v>
      </c>
      <c r="M2762" s="205" t="s">
        <v>2276</v>
      </c>
      <c r="N2762" s="205" t="s">
        <v>2276</v>
      </c>
      <c r="O2762" s="205" t="s">
        <v>2276</v>
      </c>
      <c r="P2762" s="205" t="s">
        <v>2276</v>
      </c>
      <c r="Q2762" s="205" t="s">
        <v>2276</v>
      </c>
      <c r="R2762" s="205" t="s">
        <v>2276</v>
      </c>
      <c r="S2762" s="205" t="s">
        <v>2276</v>
      </c>
      <c r="T2762" s="205" t="s">
        <v>2276</v>
      </c>
      <c r="U2762" s="205" t="s">
        <v>2276</v>
      </c>
      <c r="V2762" s="205" t="s">
        <v>2276</v>
      </c>
      <c r="W2762" s="205" t="s">
        <v>2276</v>
      </c>
      <c r="X2762" s="205" t="s">
        <v>68</v>
      </c>
      <c r="Y2762" s="205" t="s">
        <v>86</v>
      </c>
      <c r="Z2762" s="205" t="s">
        <v>76</v>
      </c>
      <c r="AA2762" s="205"/>
      <c r="AB2762" s="205"/>
    </row>
    <row r="2763" spans="1:28" ht="34.5" customHeight="1">
      <c r="A2763" s="185" t="str">
        <f>'Reported burning'!A2769</f>
        <v>305ab</v>
      </c>
      <c r="B2763" s="185" t="str">
        <f>'Reported burning'!B2769</f>
        <v>305ab.5</v>
      </c>
      <c r="C2763" s="185" t="str">
        <f>'Reported burning'!C2769</f>
        <v>Human, deliberate</v>
      </c>
      <c r="D2763" s="185" t="str">
        <f>'Reported burning'!D2769</f>
        <v>Pyrome management</v>
      </c>
      <c r="E2763" s="185" t="str">
        <f>'Reported burning'!E2769</f>
        <v>Fire suppression agent</v>
      </c>
      <c r="F2763" s="185" t="str">
        <f>'Reported burning'!F2769</f>
        <v>ND</v>
      </c>
      <c r="G2763" s="185" t="str">
        <f>'Reported burning'!G2769</f>
        <v>ND</v>
      </c>
      <c r="H2763" s="185" t="str">
        <f>'Reported burning'!H2769</f>
        <v>Presence</v>
      </c>
      <c r="I2763" s="32"/>
      <c r="J2763" s="38" t="s">
        <v>2276</v>
      </c>
      <c r="K2763" s="38" t="s">
        <v>2276</v>
      </c>
      <c r="L2763" s="38" t="s">
        <v>2276</v>
      </c>
      <c r="M2763" s="38" t="s">
        <v>2276</v>
      </c>
      <c r="N2763" s="38" t="s">
        <v>2276</v>
      </c>
      <c r="O2763" s="38" t="s">
        <v>2276</v>
      </c>
      <c r="P2763" s="38" t="s">
        <v>2276</v>
      </c>
      <c r="Q2763" s="38" t="s">
        <v>2276</v>
      </c>
      <c r="R2763" s="38" t="s">
        <v>2276</v>
      </c>
      <c r="S2763" s="38" t="s">
        <v>2276</v>
      </c>
      <c r="T2763" s="38" t="s">
        <v>2276</v>
      </c>
      <c r="U2763" s="38" t="s">
        <v>2276</v>
      </c>
      <c r="V2763" s="38" t="s">
        <v>2276</v>
      </c>
      <c r="W2763" s="38" t="s">
        <v>2276</v>
      </c>
      <c r="X2763" s="205" t="s">
        <v>68</v>
      </c>
      <c r="Y2763" s="205" t="s">
        <v>86</v>
      </c>
      <c r="Z2763" s="205" t="s">
        <v>76</v>
      </c>
      <c r="AA2763" s="205"/>
      <c r="AB2763" s="205"/>
    </row>
    <row r="2764" spans="1:28" ht="34.5" customHeight="1">
      <c r="A2764" s="152" t="str">
        <f>'Reported burning'!A2770</f>
        <v>305ac</v>
      </c>
      <c r="B2764" s="152" t="str">
        <f>'Reported burning'!B2770</f>
        <v>305ac.5</v>
      </c>
      <c r="C2764" s="152" t="str">
        <f>'Reported burning'!C2770</f>
        <v>Human, deliberate</v>
      </c>
      <c r="D2764" s="152" t="str">
        <f>'Reported burning'!D2770</f>
        <v>Pyrome management</v>
      </c>
      <c r="E2764" s="152" t="str">
        <f>'Reported burning'!E2770</f>
        <v>Fire suppression agent</v>
      </c>
      <c r="F2764" s="152" t="str">
        <f>'Reported burning'!F2770</f>
        <v>ND</v>
      </c>
      <c r="G2764" s="152" t="str">
        <f>'Reported burning'!G2770</f>
        <v>ND</v>
      </c>
      <c r="H2764" s="152" t="str">
        <f>'Reported burning'!H2770</f>
        <v>Presence</v>
      </c>
      <c r="I2764" s="205"/>
      <c r="J2764" s="205" t="s">
        <v>2276</v>
      </c>
      <c r="K2764" s="205" t="s">
        <v>2276</v>
      </c>
      <c r="L2764" s="205" t="s">
        <v>2276</v>
      </c>
      <c r="M2764" s="205" t="s">
        <v>2276</v>
      </c>
      <c r="N2764" s="205" t="s">
        <v>2276</v>
      </c>
      <c r="O2764" s="205" t="s">
        <v>2276</v>
      </c>
      <c r="P2764" s="205" t="s">
        <v>2276</v>
      </c>
      <c r="Q2764" s="205" t="s">
        <v>2276</v>
      </c>
      <c r="R2764" s="205" t="s">
        <v>2276</v>
      </c>
      <c r="S2764" s="205" t="s">
        <v>2276</v>
      </c>
      <c r="T2764" s="205" t="s">
        <v>2276</v>
      </c>
      <c r="U2764" s="205" t="s">
        <v>2276</v>
      </c>
      <c r="V2764" s="205" t="s">
        <v>2276</v>
      </c>
      <c r="W2764" s="205" t="s">
        <v>2276</v>
      </c>
      <c r="X2764" s="205" t="s">
        <v>68</v>
      </c>
      <c r="Y2764" s="205" t="s">
        <v>86</v>
      </c>
      <c r="Z2764" s="205" t="s">
        <v>76</v>
      </c>
      <c r="AA2764" s="205"/>
      <c r="AB2764" s="205"/>
    </row>
    <row r="2765" spans="1:28" ht="34.5" customHeight="1">
      <c r="A2765" s="152" t="str">
        <f>'Reported burning'!A2771</f>
        <v>305ad</v>
      </c>
      <c r="B2765" s="152" t="str">
        <f>'Reported burning'!B2771</f>
        <v>305ad.5</v>
      </c>
      <c r="C2765" s="152" t="str">
        <f>'Reported burning'!C2771</f>
        <v>Human, deliberate</v>
      </c>
      <c r="D2765" s="152" t="str">
        <f>'Reported burning'!D2771</f>
        <v>Pyrome management</v>
      </c>
      <c r="E2765" s="152" t="str">
        <f>'Reported burning'!E2771</f>
        <v>Fire suppression agent</v>
      </c>
      <c r="F2765" s="152" t="str">
        <f>'Reported burning'!F2771</f>
        <v>ND</v>
      </c>
      <c r="G2765" s="152" t="str">
        <f>'Reported burning'!G2771</f>
        <v>ND</v>
      </c>
      <c r="H2765" s="152" t="str">
        <f>'Reported burning'!H2771</f>
        <v>Presence</v>
      </c>
      <c r="I2765" s="205"/>
      <c r="J2765" s="205" t="s">
        <v>2276</v>
      </c>
      <c r="K2765" s="205" t="s">
        <v>2276</v>
      </c>
      <c r="L2765" s="205" t="s">
        <v>2276</v>
      </c>
      <c r="M2765" s="205" t="s">
        <v>2276</v>
      </c>
      <c r="N2765" s="205" t="s">
        <v>2276</v>
      </c>
      <c r="O2765" s="205" t="s">
        <v>2276</v>
      </c>
      <c r="P2765" s="205" t="s">
        <v>2276</v>
      </c>
      <c r="Q2765" s="205" t="s">
        <v>2276</v>
      </c>
      <c r="R2765" s="205" t="s">
        <v>2276</v>
      </c>
      <c r="S2765" s="205" t="s">
        <v>2276</v>
      </c>
      <c r="T2765" s="205" t="s">
        <v>2276</v>
      </c>
      <c r="U2765" s="205" t="s">
        <v>2276</v>
      </c>
      <c r="V2765" s="205" t="s">
        <v>2276</v>
      </c>
      <c r="W2765" s="205" t="s">
        <v>2276</v>
      </c>
      <c r="X2765" s="205" t="s">
        <v>68</v>
      </c>
      <c r="Y2765" s="205" t="s">
        <v>86</v>
      </c>
      <c r="Z2765" s="205" t="s">
        <v>76</v>
      </c>
      <c r="AA2765" s="205"/>
      <c r="AB2765" s="205"/>
    </row>
    <row r="2766" spans="1:28" ht="34.5" customHeight="1">
      <c r="A2766" s="152" t="str">
        <f>'Reported burning'!A2772</f>
        <v>305ae</v>
      </c>
      <c r="B2766" s="152" t="str">
        <f>'Reported burning'!B2772</f>
        <v>305ae.5</v>
      </c>
      <c r="C2766" s="152" t="str">
        <f>'Reported burning'!C2772</f>
        <v>Human, deliberate</v>
      </c>
      <c r="D2766" s="152" t="str">
        <f>'Reported burning'!D2772</f>
        <v>Pyrome management</v>
      </c>
      <c r="E2766" s="152" t="str">
        <f>'Reported burning'!E2772</f>
        <v>Fire suppression agent</v>
      </c>
      <c r="F2766" s="152" t="str">
        <f>'Reported burning'!F2772</f>
        <v>ND</v>
      </c>
      <c r="G2766" s="152" t="str">
        <f>'Reported burning'!G2772</f>
        <v>ND</v>
      </c>
      <c r="H2766" s="152" t="str">
        <f>'Reported burning'!H2772</f>
        <v>Presence</v>
      </c>
      <c r="I2766" s="205"/>
      <c r="J2766" s="205" t="s">
        <v>2276</v>
      </c>
      <c r="K2766" s="205" t="s">
        <v>2276</v>
      </c>
      <c r="L2766" s="205" t="s">
        <v>2276</v>
      </c>
      <c r="M2766" s="205" t="s">
        <v>2276</v>
      </c>
      <c r="N2766" s="205" t="s">
        <v>2276</v>
      </c>
      <c r="O2766" s="205" t="s">
        <v>2276</v>
      </c>
      <c r="P2766" s="205" t="s">
        <v>2276</v>
      </c>
      <c r="Q2766" s="205" t="s">
        <v>2276</v>
      </c>
      <c r="R2766" s="205" t="s">
        <v>2276</v>
      </c>
      <c r="S2766" s="205" t="s">
        <v>2276</v>
      </c>
      <c r="T2766" s="205" t="s">
        <v>2276</v>
      </c>
      <c r="U2766" s="205" t="s">
        <v>2276</v>
      </c>
      <c r="V2766" s="205" t="s">
        <v>2276</v>
      </c>
      <c r="W2766" s="205" t="s">
        <v>2276</v>
      </c>
      <c r="X2766" s="205" t="s">
        <v>68</v>
      </c>
      <c r="Y2766" s="205" t="s">
        <v>86</v>
      </c>
      <c r="Z2766" s="205" t="s">
        <v>76</v>
      </c>
      <c r="AA2766" s="205"/>
      <c r="AB2766" s="205"/>
    </row>
    <row r="2767" spans="1:28" ht="34.5" customHeight="1">
      <c r="A2767" s="152" t="str">
        <f>'Reported burning'!A2773</f>
        <v>305n</v>
      </c>
      <c r="B2767" s="152" t="str">
        <f>'Reported burning'!B2773</f>
        <v>305n.6</v>
      </c>
      <c r="C2767" s="152" t="str">
        <f>'Reported burning'!C2773</f>
        <v>Human, deliberate</v>
      </c>
      <c r="D2767" s="152" t="str">
        <f>'Reported burning'!D2773</f>
        <v>Pyrome management</v>
      </c>
      <c r="E2767" s="152" t="str">
        <f>'Reported burning'!E2773</f>
        <v>Fire suppression agent</v>
      </c>
      <c r="F2767" s="152" t="str">
        <f>'Reported burning'!F2773</f>
        <v>ND</v>
      </c>
      <c r="G2767" s="152" t="str">
        <f>'Reported burning'!G2773</f>
        <v>ND</v>
      </c>
      <c r="H2767" s="152" t="str">
        <f>'Reported burning'!H2773</f>
        <v>Presence</v>
      </c>
      <c r="I2767" s="205"/>
      <c r="J2767" s="205" t="s">
        <v>2276</v>
      </c>
      <c r="K2767" s="205" t="s">
        <v>2276</v>
      </c>
      <c r="L2767" s="205" t="s">
        <v>2276</v>
      </c>
      <c r="M2767" s="205" t="s">
        <v>2276</v>
      </c>
      <c r="N2767" s="205" t="s">
        <v>2276</v>
      </c>
      <c r="O2767" s="205" t="s">
        <v>2276</v>
      </c>
      <c r="P2767" s="205" t="s">
        <v>2276</v>
      </c>
      <c r="Q2767" s="205" t="s">
        <v>2276</v>
      </c>
      <c r="R2767" s="205" t="s">
        <v>2276</v>
      </c>
      <c r="S2767" s="205" t="s">
        <v>2276</v>
      </c>
      <c r="T2767" s="205" t="s">
        <v>2276</v>
      </c>
      <c r="U2767" s="205" t="s">
        <v>2276</v>
      </c>
      <c r="V2767" s="205" t="s">
        <v>2276</v>
      </c>
      <c r="W2767" s="205" t="s">
        <v>2276</v>
      </c>
      <c r="X2767" s="205" t="s">
        <v>68</v>
      </c>
      <c r="Y2767" s="205" t="s">
        <v>86</v>
      </c>
      <c r="Z2767" s="205" t="s">
        <v>76</v>
      </c>
      <c r="AA2767" s="205"/>
      <c r="AB2767" s="205"/>
    </row>
    <row r="2768" spans="1:28" ht="34.5" customHeight="1">
      <c r="A2768" s="152" t="str">
        <f>'Reported burning'!A2774</f>
        <v>305o</v>
      </c>
      <c r="B2768" s="152" t="str">
        <f>'Reported burning'!B2774</f>
        <v>305o.6</v>
      </c>
      <c r="C2768" s="152" t="str">
        <f>'Reported burning'!C2774</f>
        <v>Human, deliberate</v>
      </c>
      <c r="D2768" s="152" t="str">
        <f>'Reported burning'!D2774</f>
        <v>Pyrome management</v>
      </c>
      <c r="E2768" s="152" t="str">
        <f>'Reported burning'!E2774</f>
        <v>Fire suppression agent</v>
      </c>
      <c r="F2768" s="152" t="str">
        <f>'Reported burning'!F2774</f>
        <v>ND</v>
      </c>
      <c r="G2768" s="152" t="str">
        <f>'Reported burning'!G2774</f>
        <v>ND</v>
      </c>
      <c r="H2768" s="152" t="str">
        <f>'Reported burning'!H2774</f>
        <v>Presence</v>
      </c>
      <c r="I2768" s="205"/>
      <c r="J2768" s="205" t="s">
        <v>2276</v>
      </c>
      <c r="K2768" s="205" t="s">
        <v>2276</v>
      </c>
      <c r="L2768" s="205" t="s">
        <v>2276</v>
      </c>
      <c r="M2768" s="205" t="s">
        <v>2276</v>
      </c>
      <c r="N2768" s="205" t="s">
        <v>2276</v>
      </c>
      <c r="O2768" s="205" t="s">
        <v>2276</v>
      </c>
      <c r="P2768" s="205" t="s">
        <v>2276</v>
      </c>
      <c r="Q2768" s="205" t="s">
        <v>2276</v>
      </c>
      <c r="R2768" s="205" t="s">
        <v>2276</v>
      </c>
      <c r="S2768" s="205" t="s">
        <v>2276</v>
      </c>
      <c r="T2768" s="205" t="s">
        <v>2276</v>
      </c>
      <c r="U2768" s="205" t="s">
        <v>2276</v>
      </c>
      <c r="V2768" s="205" t="s">
        <v>2276</v>
      </c>
      <c r="W2768" s="205" t="s">
        <v>2276</v>
      </c>
      <c r="X2768" s="205" t="s">
        <v>68</v>
      </c>
      <c r="Y2768" s="205" t="s">
        <v>86</v>
      </c>
      <c r="Z2768" s="205" t="s">
        <v>76</v>
      </c>
      <c r="AA2768" s="205"/>
      <c r="AB2768" s="205"/>
    </row>
    <row r="2769" spans="1:28" ht="34.5" customHeight="1">
      <c r="A2769" s="152" t="str">
        <f>'Reported burning'!A2775</f>
        <v>305p</v>
      </c>
      <c r="B2769" s="152" t="str">
        <f>'Reported burning'!B2775</f>
        <v>305p.6</v>
      </c>
      <c r="C2769" s="152" t="str">
        <f>'Reported burning'!C2775</f>
        <v>Human, deliberate</v>
      </c>
      <c r="D2769" s="152" t="str">
        <f>'Reported burning'!D2775</f>
        <v>Pyrome management</v>
      </c>
      <c r="E2769" s="152" t="str">
        <f>'Reported burning'!E2775</f>
        <v>Fire suppression agent</v>
      </c>
      <c r="F2769" s="152" t="str">
        <f>'Reported burning'!F2775</f>
        <v>ND</v>
      </c>
      <c r="G2769" s="152" t="str">
        <f>'Reported burning'!G2775</f>
        <v>ND</v>
      </c>
      <c r="H2769" s="152" t="str">
        <f>'Reported burning'!H2775</f>
        <v>Presence</v>
      </c>
      <c r="I2769" s="205"/>
      <c r="J2769" s="205" t="s">
        <v>2276</v>
      </c>
      <c r="K2769" s="205" t="s">
        <v>2276</v>
      </c>
      <c r="L2769" s="205" t="s">
        <v>2276</v>
      </c>
      <c r="M2769" s="205" t="s">
        <v>2276</v>
      </c>
      <c r="N2769" s="205" t="s">
        <v>2276</v>
      </c>
      <c r="O2769" s="205" t="s">
        <v>2276</v>
      </c>
      <c r="P2769" s="205" t="s">
        <v>2276</v>
      </c>
      <c r="Q2769" s="205" t="s">
        <v>2276</v>
      </c>
      <c r="R2769" s="205" t="s">
        <v>2276</v>
      </c>
      <c r="S2769" s="205" t="s">
        <v>2276</v>
      </c>
      <c r="T2769" s="205" t="s">
        <v>2276</v>
      </c>
      <c r="U2769" s="205" t="s">
        <v>2276</v>
      </c>
      <c r="V2769" s="205" t="s">
        <v>2276</v>
      </c>
      <c r="W2769" s="205" t="s">
        <v>2276</v>
      </c>
      <c r="X2769" s="205" t="s">
        <v>68</v>
      </c>
      <c r="Y2769" s="205" t="s">
        <v>86</v>
      </c>
      <c r="Z2769" s="205" t="s">
        <v>76</v>
      </c>
      <c r="AA2769" s="205"/>
      <c r="AB2769" s="205"/>
    </row>
    <row r="2770" spans="1:28" ht="34.5" customHeight="1">
      <c r="A2770" s="152" t="str">
        <f>'Reported burning'!A2776</f>
        <v>305q</v>
      </c>
      <c r="B2770" s="152" t="str">
        <f>'Reported burning'!B2776</f>
        <v>305q.6</v>
      </c>
      <c r="C2770" s="152" t="str">
        <f>'Reported burning'!C2776</f>
        <v>Human, deliberate</v>
      </c>
      <c r="D2770" s="152" t="str">
        <f>'Reported burning'!D2776</f>
        <v>Pyrome management</v>
      </c>
      <c r="E2770" s="152" t="str">
        <f>'Reported burning'!E2776</f>
        <v>Fire suppression agent</v>
      </c>
      <c r="F2770" s="152" t="str">
        <f>'Reported burning'!F2776</f>
        <v>ND</v>
      </c>
      <c r="G2770" s="152" t="str">
        <f>'Reported burning'!G2776</f>
        <v>ND</v>
      </c>
      <c r="H2770" s="152" t="str">
        <f>'Reported burning'!H2776</f>
        <v>Presence</v>
      </c>
      <c r="I2770" s="205"/>
      <c r="J2770" s="205" t="s">
        <v>2276</v>
      </c>
      <c r="K2770" s="205" t="s">
        <v>2276</v>
      </c>
      <c r="L2770" s="205" t="s">
        <v>2276</v>
      </c>
      <c r="M2770" s="205" t="s">
        <v>2276</v>
      </c>
      <c r="N2770" s="205" t="s">
        <v>2276</v>
      </c>
      <c r="O2770" s="205" t="s">
        <v>2276</v>
      </c>
      <c r="P2770" s="205" t="s">
        <v>2276</v>
      </c>
      <c r="Q2770" s="205" t="s">
        <v>2276</v>
      </c>
      <c r="R2770" s="205" t="s">
        <v>2276</v>
      </c>
      <c r="S2770" s="205" t="s">
        <v>2276</v>
      </c>
      <c r="T2770" s="205" t="s">
        <v>2276</v>
      </c>
      <c r="U2770" s="205" t="s">
        <v>2276</v>
      </c>
      <c r="V2770" s="205" t="s">
        <v>2276</v>
      </c>
      <c r="W2770" s="205" t="s">
        <v>2276</v>
      </c>
      <c r="X2770" s="205" t="s">
        <v>68</v>
      </c>
      <c r="Y2770" s="205" t="s">
        <v>86</v>
      </c>
      <c r="Z2770" s="205" t="s">
        <v>76</v>
      </c>
      <c r="AA2770" s="205"/>
      <c r="AB2770" s="205"/>
    </row>
    <row r="2771" spans="1:28" ht="34.5" customHeight="1">
      <c r="A2771" s="152" t="str">
        <f>'Reported burning'!A2777</f>
        <v>305r</v>
      </c>
      <c r="B2771" s="152" t="str">
        <f>'Reported burning'!B2777</f>
        <v>305r.6</v>
      </c>
      <c r="C2771" s="152" t="str">
        <f>'Reported burning'!C2777</f>
        <v>Human, deliberate</v>
      </c>
      <c r="D2771" s="152" t="str">
        <f>'Reported burning'!D2777</f>
        <v>Pyrome management</v>
      </c>
      <c r="E2771" s="152" t="str">
        <f>'Reported burning'!E2777</f>
        <v>Fire suppression agent</v>
      </c>
      <c r="F2771" s="152" t="str">
        <f>'Reported burning'!F2777</f>
        <v>ND</v>
      </c>
      <c r="G2771" s="152" t="str">
        <f>'Reported burning'!G2777</f>
        <v>ND</v>
      </c>
      <c r="H2771" s="152" t="str">
        <f>'Reported burning'!H2777</f>
        <v>Absence</v>
      </c>
      <c r="I2771" s="205"/>
      <c r="J2771" s="21" t="s">
        <v>2364</v>
      </c>
      <c r="K2771" s="21" t="s">
        <v>2364</v>
      </c>
      <c r="L2771" s="21" t="s">
        <v>2364</v>
      </c>
      <c r="M2771" s="21" t="s">
        <v>2364</v>
      </c>
      <c r="N2771" s="21" t="s">
        <v>2364</v>
      </c>
      <c r="O2771" s="21" t="s">
        <v>2364</v>
      </c>
      <c r="P2771" s="21" t="s">
        <v>2364</v>
      </c>
      <c r="Q2771" s="21" t="s">
        <v>2364</v>
      </c>
      <c r="R2771" s="21" t="s">
        <v>2364</v>
      </c>
      <c r="S2771" s="21" t="s">
        <v>2364</v>
      </c>
      <c r="T2771" s="21" t="s">
        <v>2364</v>
      </c>
      <c r="U2771" s="21" t="s">
        <v>2364</v>
      </c>
      <c r="V2771" s="21" t="s">
        <v>2364</v>
      </c>
      <c r="W2771" s="205" t="s">
        <v>2276</v>
      </c>
      <c r="X2771" s="205" t="s">
        <v>68</v>
      </c>
      <c r="Y2771" s="205" t="s">
        <v>86</v>
      </c>
      <c r="Z2771" s="205" t="s">
        <v>76</v>
      </c>
      <c r="AA2771" s="205"/>
      <c r="AB2771" s="205"/>
    </row>
    <row r="2772" spans="1:28" ht="34.5" customHeight="1">
      <c r="A2772" s="152" t="str">
        <f>'Reported burning'!A2778</f>
        <v>305s</v>
      </c>
      <c r="B2772" s="152" t="str">
        <f>'Reported burning'!B2778</f>
        <v>305s.6</v>
      </c>
      <c r="C2772" s="152" t="str">
        <f>'Reported burning'!C2778</f>
        <v>Human, deliberate</v>
      </c>
      <c r="D2772" s="152" t="str">
        <f>'Reported burning'!D2778</f>
        <v>Pyrome management</v>
      </c>
      <c r="E2772" s="152" t="str">
        <f>'Reported burning'!E2778</f>
        <v>Fire suppression agent</v>
      </c>
      <c r="F2772" s="152" t="str">
        <f>'Reported burning'!F2778</f>
        <v>ND</v>
      </c>
      <c r="G2772" s="152" t="str">
        <f>'Reported burning'!G2778</f>
        <v>ND</v>
      </c>
      <c r="H2772" s="152" t="str">
        <f>'Reported burning'!H2778</f>
        <v>Absence</v>
      </c>
      <c r="I2772" s="205"/>
      <c r="J2772" s="21" t="s">
        <v>2364</v>
      </c>
      <c r="K2772" s="21" t="s">
        <v>2364</v>
      </c>
      <c r="L2772" s="21" t="s">
        <v>2364</v>
      </c>
      <c r="M2772" s="21" t="s">
        <v>2364</v>
      </c>
      <c r="N2772" s="21" t="s">
        <v>2364</v>
      </c>
      <c r="O2772" s="21" t="s">
        <v>2364</v>
      </c>
      <c r="P2772" s="21" t="s">
        <v>2364</v>
      </c>
      <c r="Q2772" s="21" t="s">
        <v>2364</v>
      </c>
      <c r="R2772" s="21" t="s">
        <v>2364</v>
      </c>
      <c r="S2772" s="21" t="s">
        <v>2364</v>
      </c>
      <c r="T2772" s="21" t="s">
        <v>2364</v>
      </c>
      <c r="U2772" s="21" t="s">
        <v>2364</v>
      </c>
      <c r="V2772" s="21" t="s">
        <v>2364</v>
      </c>
      <c r="W2772" s="205" t="s">
        <v>2276</v>
      </c>
      <c r="X2772" s="205" t="s">
        <v>68</v>
      </c>
      <c r="Y2772" s="205" t="s">
        <v>86</v>
      </c>
      <c r="Z2772" s="205" t="s">
        <v>76</v>
      </c>
      <c r="AA2772" s="205"/>
      <c r="AB2772" s="205"/>
    </row>
    <row r="2773" spans="1:28" ht="34.5" customHeight="1">
      <c r="A2773" s="152" t="str">
        <f>'Reported burning'!A2779</f>
        <v>305t</v>
      </c>
      <c r="B2773" s="152" t="str">
        <f>'Reported burning'!B2779</f>
        <v>305t.6</v>
      </c>
      <c r="C2773" s="152" t="str">
        <f>'Reported burning'!C2779</f>
        <v>Human, deliberate</v>
      </c>
      <c r="D2773" s="152" t="str">
        <f>'Reported burning'!D2779</f>
        <v>Pyrome management</v>
      </c>
      <c r="E2773" s="152" t="str">
        <f>'Reported burning'!E2779</f>
        <v>Fire suppression agent</v>
      </c>
      <c r="F2773" s="152" t="str">
        <f>'Reported burning'!F2779</f>
        <v>ND</v>
      </c>
      <c r="G2773" s="152" t="str">
        <f>'Reported burning'!G2779</f>
        <v>ND</v>
      </c>
      <c r="H2773" s="152" t="str">
        <f>'Reported burning'!H2779</f>
        <v>Absence</v>
      </c>
      <c r="I2773" s="205"/>
      <c r="J2773" s="21" t="s">
        <v>2364</v>
      </c>
      <c r="K2773" s="21" t="s">
        <v>2364</v>
      </c>
      <c r="L2773" s="21" t="s">
        <v>2364</v>
      </c>
      <c r="M2773" s="21" t="s">
        <v>2364</v>
      </c>
      <c r="N2773" s="21" t="s">
        <v>2364</v>
      </c>
      <c r="O2773" s="21" t="s">
        <v>2364</v>
      </c>
      <c r="P2773" s="21" t="s">
        <v>2364</v>
      </c>
      <c r="Q2773" s="21" t="s">
        <v>2364</v>
      </c>
      <c r="R2773" s="21" t="s">
        <v>2364</v>
      </c>
      <c r="S2773" s="21" t="s">
        <v>2364</v>
      </c>
      <c r="T2773" s="21" t="s">
        <v>2364</v>
      </c>
      <c r="U2773" s="21" t="s">
        <v>2364</v>
      </c>
      <c r="V2773" s="21" t="s">
        <v>2364</v>
      </c>
      <c r="W2773" s="205" t="s">
        <v>2276</v>
      </c>
      <c r="X2773" s="205" t="s">
        <v>68</v>
      </c>
      <c r="Y2773" s="205" t="s">
        <v>86</v>
      </c>
      <c r="Z2773" s="205" t="s">
        <v>76</v>
      </c>
      <c r="AA2773" s="205"/>
      <c r="AB2773" s="205"/>
    </row>
    <row r="2774" spans="1:28" ht="34.5" customHeight="1">
      <c r="A2774" s="152" t="str">
        <f>'Reported burning'!A2780</f>
        <v>305u</v>
      </c>
      <c r="B2774" s="152" t="str">
        <f>'Reported burning'!B2780</f>
        <v>305u.6</v>
      </c>
      <c r="C2774" s="152" t="str">
        <f>'Reported burning'!C2780</f>
        <v>Human, deliberate</v>
      </c>
      <c r="D2774" s="152" t="str">
        <f>'Reported burning'!D2780</f>
        <v>Pyrome management</v>
      </c>
      <c r="E2774" s="152" t="str">
        <f>'Reported burning'!E2780</f>
        <v>Fire suppression agent</v>
      </c>
      <c r="F2774" s="152" t="str">
        <f>'Reported burning'!F2780</f>
        <v>ND</v>
      </c>
      <c r="G2774" s="152" t="str">
        <f>'Reported burning'!G2780</f>
        <v>ND</v>
      </c>
      <c r="H2774" s="152" t="str">
        <f>'Reported burning'!H2780</f>
        <v>Presence</v>
      </c>
      <c r="I2774" s="205"/>
      <c r="J2774" s="205" t="s">
        <v>2276</v>
      </c>
      <c r="K2774" s="205" t="s">
        <v>2276</v>
      </c>
      <c r="L2774" s="205" t="s">
        <v>2276</v>
      </c>
      <c r="M2774" s="205" t="s">
        <v>2276</v>
      </c>
      <c r="N2774" s="205" t="s">
        <v>2276</v>
      </c>
      <c r="O2774" s="205" t="s">
        <v>2276</v>
      </c>
      <c r="P2774" s="205" t="s">
        <v>2276</v>
      </c>
      <c r="Q2774" s="205" t="s">
        <v>2276</v>
      </c>
      <c r="R2774" s="205" t="s">
        <v>2276</v>
      </c>
      <c r="S2774" s="205" t="s">
        <v>2276</v>
      </c>
      <c r="T2774" s="205" t="s">
        <v>2276</v>
      </c>
      <c r="U2774" s="205" t="s">
        <v>2276</v>
      </c>
      <c r="V2774" s="205" t="s">
        <v>2276</v>
      </c>
      <c r="W2774" s="205" t="s">
        <v>2276</v>
      </c>
      <c r="X2774" s="205" t="s">
        <v>68</v>
      </c>
      <c r="Y2774" s="205" t="s">
        <v>86</v>
      </c>
      <c r="Z2774" s="205" t="s">
        <v>76</v>
      </c>
      <c r="AA2774" s="205"/>
      <c r="AB2774" s="205"/>
    </row>
    <row r="2775" spans="1:28" ht="34.5" customHeight="1">
      <c r="A2775" s="152" t="str">
        <f>'Reported burning'!A2781</f>
        <v>305v</v>
      </c>
      <c r="B2775" s="152" t="str">
        <f>'Reported burning'!B2781</f>
        <v>305v.6</v>
      </c>
      <c r="C2775" s="152" t="str">
        <f>'Reported burning'!C2781</f>
        <v>Human, deliberate</v>
      </c>
      <c r="D2775" s="152" t="str">
        <f>'Reported burning'!D2781</f>
        <v>Pyrome management</v>
      </c>
      <c r="E2775" s="152" t="str">
        <f>'Reported burning'!E2781</f>
        <v>Fire suppression agent</v>
      </c>
      <c r="F2775" s="152" t="str">
        <f>'Reported burning'!F2781</f>
        <v>ND</v>
      </c>
      <c r="G2775" s="152" t="str">
        <f>'Reported burning'!G2781</f>
        <v>ND</v>
      </c>
      <c r="H2775" s="152" t="str">
        <f>'Reported burning'!H2781</f>
        <v>Presence</v>
      </c>
      <c r="I2775" s="205"/>
      <c r="J2775" s="205" t="s">
        <v>2276</v>
      </c>
      <c r="K2775" s="205" t="s">
        <v>2276</v>
      </c>
      <c r="L2775" s="205" t="s">
        <v>2276</v>
      </c>
      <c r="M2775" s="205" t="s">
        <v>2276</v>
      </c>
      <c r="N2775" s="205" t="s">
        <v>2276</v>
      </c>
      <c r="O2775" s="205" t="s">
        <v>2276</v>
      </c>
      <c r="P2775" s="205" t="s">
        <v>2276</v>
      </c>
      <c r="Q2775" s="205" t="s">
        <v>2276</v>
      </c>
      <c r="R2775" s="205" t="s">
        <v>2276</v>
      </c>
      <c r="S2775" s="205" t="s">
        <v>2276</v>
      </c>
      <c r="T2775" s="205" t="s">
        <v>2276</v>
      </c>
      <c r="U2775" s="205" t="s">
        <v>2276</v>
      </c>
      <c r="V2775" s="205" t="s">
        <v>2276</v>
      </c>
      <c r="W2775" s="205" t="s">
        <v>2276</v>
      </c>
      <c r="X2775" s="205" t="s">
        <v>68</v>
      </c>
      <c r="Y2775" s="205" t="s">
        <v>86</v>
      </c>
      <c r="Z2775" s="205" t="s">
        <v>76</v>
      </c>
      <c r="AA2775" s="205"/>
      <c r="AB2775" s="205"/>
    </row>
    <row r="2776" spans="1:28" ht="34.5" customHeight="1">
      <c r="A2776" s="152" t="str">
        <f>'Reported burning'!A2782</f>
        <v>305w</v>
      </c>
      <c r="B2776" s="152" t="str">
        <f>'Reported burning'!B2782</f>
        <v>305w.6</v>
      </c>
      <c r="C2776" s="152" t="str">
        <f>'Reported burning'!C2782</f>
        <v>Human, deliberate</v>
      </c>
      <c r="D2776" s="152" t="str">
        <f>'Reported burning'!D2782</f>
        <v>Pyrome management</v>
      </c>
      <c r="E2776" s="152" t="str">
        <f>'Reported burning'!E2782</f>
        <v>Fire suppression agent</v>
      </c>
      <c r="F2776" s="152" t="str">
        <f>'Reported burning'!F2782</f>
        <v>ND</v>
      </c>
      <c r="G2776" s="152" t="str">
        <f>'Reported burning'!G2782</f>
        <v>ND</v>
      </c>
      <c r="H2776" s="152" t="str">
        <f>'Reported burning'!H2782</f>
        <v>Presence</v>
      </c>
      <c r="I2776" s="205"/>
      <c r="J2776" s="205" t="s">
        <v>2276</v>
      </c>
      <c r="K2776" s="205" t="s">
        <v>2276</v>
      </c>
      <c r="L2776" s="205" t="s">
        <v>2276</v>
      </c>
      <c r="M2776" s="205" t="s">
        <v>2276</v>
      </c>
      <c r="N2776" s="205" t="s">
        <v>2276</v>
      </c>
      <c r="O2776" s="205" t="s">
        <v>2276</v>
      </c>
      <c r="P2776" s="205" t="s">
        <v>2276</v>
      </c>
      <c r="Q2776" s="205" t="s">
        <v>2276</v>
      </c>
      <c r="R2776" s="205" t="s">
        <v>2276</v>
      </c>
      <c r="S2776" s="205" t="s">
        <v>2276</v>
      </c>
      <c r="T2776" s="205" t="s">
        <v>2276</v>
      </c>
      <c r="U2776" s="205" t="s">
        <v>2276</v>
      </c>
      <c r="V2776" s="205" t="s">
        <v>2276</v>
      </c>
      <c r="W2776" s="205" t="s">
        <v>2276</v>
      </c>
      <c r="X2776" s="205" t="s">
        <v>68</v>
      </c>
      <c r="Y2776" s="205" t="s">
        <v>86</v>
      </c>
      <c r="Z2776" s="205" t="s">
        <v>76</v>
      </c>
      <c r="AA2776" s="205"/>
      <c r="AB2776" s="205"/>
    </row>
    <row r="2777" spans="1:28" ht="34.5" customHeight="1">
      <c r="A2777" s="152" t="str">
        <f>'Reported burning'!A2783</f>
        <v>305x</v>
      </c>
      <c r="B2777" s="152" t="str">
        <f>'Reported burning'!B2783</f>
        <v>305x.6</v>
      </c>
      <c r="C2777" s="152" t="str">
        <f>'Reported burning'!C2783</f>
        <v>Human, deliberate</v>
      </c>
      <c r="D2777" s="152" t="str">
        <f>'Reported burning'!D2783</f>
        <v>Pyrome management</v>
      </c>
      <c r="E2777" s="152" t="str">
        <f>'Reported burning'!E2783</f>
        <v>Fire suppression agent</v>
      </c>
      <c r="F2777" s="152" t="str">
        <f>'Reported burning'!F2783</f>
        <v>ND</v>
      </c>
      <c r="G2777" s="152" t="str">
        <f>'Reported burning'!G2783</f>
        <v>ND</v>
      </c>
      <c r="H2777" s="152" t="str">
        <f>'Reported burning'!H2783</f>
        <v>Presence</v>
      </c>
      <c r="I2777" s="205"/>
      <c r="J2777" s="205" t="s">
        <v>2276</v>
      </c>
      <c r="K2777" s="205" t="s">
        <v>2276</v>
      </c>
      <c r="L2777" s="205" t="s">
        <v>2276</v>
      </c>
      <c r="M2777" s="205" t="s">
        <v>2276</v>
      </c>
      <c r="N2777" s="205" t="s">
        <v>2276</v>
      </c>
      <c r="O2777" s="205" t="s">
        <v>2276</v>
      </c>
      <c r="P2777" s="205" t="s">
        <v>2276</v>
      </c>
      <c r="Q2777" s="205" t="s">
        <v>2276</v>
      </c>
      <c r="R2777" s="205" t="s">
        <v>2276</v>
      </c>
      <c r="S2777" s="205" t="s">
        <v>2276</v>
      </c>
      <c r="T2777" s="205" t="s">
        <v>2276</v>
      </c>
      <c r="U2777" s="205" t="s">
        <v>2276</v>
      </c>
      <c r="V2777" s="205" t="s">
        <v>2276</v>
      </c>
      <c r="W2777" s="205" t="s">
        <v>2276</v>
      </c>
      <c r="X2777" s="205" t="s">
        <v>68</v>
      </c>
      <c r="Y2777" s="205" t="s">
        <v>86</v>
      </c>
      <c r="Z2777" s="205" t="s">
        <v>76</v>
      </c>
      <c r="AA2777" s="205"/>
      <c r="AB2777" s="205"/>
    </row>
    <row r="2778" spans="1:28" ht="34.5" customHeight="1">
      <c r="A2778" s="152" t="str">
        <f>'Reported burning'!A2784</f>
        <v>305y</v>
      </c>
      <c r="B2778" s="152" t="str">
        <f>'Reported burning'!B2784</f>
        <v>305y.6</v>
      </c>
      <c r="C2778" s="152" t="str">
        <f>'Reported burning'!C2784</f>
        <v>Human, deliberate</v>
      </c>
      <c r="D2778" s="152" t="str">
        <f>'Reported burning'!D2784</f>
        <v>Pyrome management</v>
      </c>
      <c r="E2778" s="152" t="str">
        <f>'Reported burning'!E2784</f>
        <v>Fire suppression agent</v>
      </c>
      <c r="F2778" s="152" t="str">
        <f>'Reported burning'!F2784</f>
        <v>ND</v>
      </c>
      <c r="G2778" s="152" t="str">
        <f>'Reported burning'!G2784</f>
        <v>ND</v>
      </c>
      <c r="H2778" s="152" t="str">
        <f>'Reported burning'!H2784</f>
        <v>Presence</v>
      </c>
      <c r="I2778" s="205"/>
      <c r="J2778" s="205" t="s">
        <v>2276</v>
      </c>
      <c r="K2778" s="205" t="s">
        <v>2276</v>
      </c>
      <c r="L2778" s="205" t="s">
        <v>2276</v>
      </c>
      <c r="M2778" s="205" t="s">
        <v>2276</v>
      </c>
      <c r="N2778" s="205" t="s">
        <v>2276</v>
      </c>
      <c r="O2778" s="205" t="s">
        <v>2276</v>
      </c>
      <c r="P2778" s="205" t="s">
        <v>2276</v>
      </c>
      <c r="Q2778" s="205" t="s">
        <v>2276</v>
      </c>
      <c r="R2778" s="205" t="s">
        <v>2276</v>
      </c>
      <c r="S2778" s="205" t="s">
        <v>2276</v>
      </c>
      <c r="T2778" s="205" t="s">
        <v>2276</v>
      </c>
      <c r="U2778" s="205" t="s">
        <v>2276</v>
      </c>
      <c r="V2778" s="205" t="s">
        <v>2276</v>
      </c>
      <c r="W2778" s="205" t="s">
        <v>2276</v>
      </c>
      <c r="X2778" s="205" t="s">
        <v>68</v>
      </c>
      <c r="Y2778" s="205" t="s">
        <v>86</v>
      </c>
      <c r="Z2778" s="205" t="s">
        <v>76</v>
      </c>
      <c r="AA2778" s="205"/>
      <c r="AB2778" s="205"/>
    </row>
    <row r="2779" spans="1:28" ht="34.5" customHeight="1">
      <c r="A2779" s="152" t="str">
        <f>'Reported burning'!A2785</f>
        <v>305z</v>
      </c>
      <c r="B2779" s="152" t="str">
        <f>'Reported burning'!B2785</f>
        <v>305z.6</v>
      </c>
      <c r="C2779" s="152" t="str">
        <f>'Reported burning'!C2785</f>
        <v>Human, deliberate</v>
      </c>
      <c r="D2779" s="152" t="str">
        <f>'Reported burning'!D2785</f>
        <v>Pyrome management</v>
      </c>
      <c r="E2779" s="152" t="str">
        <f>'Reported burning'!E2785</f>
        <v>Fire suppression agent</v>
      </c>
      <c r="F2779" s="152" t="str">
        <f>'Reported burning'!F2785</f>
        <v>ND</v>
      </c>
      <c r="G2779" s="152" t="str">
        <f>'Reported burning'!G2785</f>
        <v>ND</v>
      </c>
      <c r="H2779" s="152" t="str">
        <f>'Reported burning'!H2785</f>
        <v>Presence</v>
      </c>
      <c r="I2779" s="205"/>
      <c r="J2779" s="205" t="s">
        <v>2276</v>
      </c>
      <c r="K2779" s="205" t="s">
        <v>2276</v>
      </c>
      <c r="L2779" s="205" t="s">
        <v>2276</v>
      </c>
      <c r="M2779" s="205" t="s">
        <v>2276</v>
      </c>
      <c r="N2779" s="205" t="s">
        <v>2276</v>
      </c>
      <c r="O2779" s="205" t="s">
        <v>2276</v>
      </c>
      <c r="P2779" s="205" t="s">
        <v>2276</v>
      </c>
      <c r="Q2779" s="205" t="s">
        <v>2276</v>
      </c>
      <c r="R2779" s="205" t="s">
        <v>2276</v>
      </c>
      <c r="S2779" s="205" t="s">
        <v>2276</v>
      </c>
      <c r="T2779" s="205" t="s">
        <v>2276</v>
      </c>
      <c r="U2779" s="205" t="s">
        <v>2276</v>
      </c>
      <c r="V2779" s="205" t="s">
        <v>2276</v>
      </c>
      <c r="W2779" s="205" t="s">
        <v>2276</v>
      </c>
      <c r="X2779" s="205" t="s">
        <v>68</v>
      </c>
      <c r="Y2779" s="205" t="s">
        <v>86</v>
      </c>
      <c r="Z2779" s="205" t="s">
        <v>76</v>
      </c>
      <c r="AA2779" s="205"/>
      <c r="AB2779" s="205"/>
    </row>
    <row r="2780" spans="1:28" ht="34.5" customHeight="1">
      <c r="A2780" s="152" t="str">
        <f>'Reported burning'!A2786</f>
        <v>305aa</v>
      </c>
      <c r="B2780" s="152" t="str">
        <f>'Reported burning'!B2786</f>
        <v>305aa.6</v>
      </c>
      <c r="C2780" s="152" t="str">
        <f>'Reported burning'!C2786</f>
        <v>Human, deliberate</v>
      </c>
      <c r="D2780" s="152" t="str">
        <f>'Reported burning'!D2786</f>
        <v>Pyrome management</v>
      </c>
      <c r="E2780" s="152" t="str">
        <f>'Reported burning'!E2786</f>
        <v>Fire suppression agent</v>
      </c>
      <c r="F2780" s="152" t="str">
        <f>'Reported burning'!F2786</f>
        <v>ND</v>
      </c>
      <c r="G2780" s="152" t="str">
        <f>'Reported burning'!G2786</f>
        <v>ND</v>
      </c>
      <c r="H2780" s="152" t="str">
        <f>'Reported burning'!H2786</f>
        <v>Presence</v>
      </c>
      <c r="I2780" s="205"/>
      <c r="J2780" s="205" t="s">
        <v>2276</v>
      </c>
      <c r="K2780" s="205" t="s">
        <v>2276</v>
      </c>
      <c r="L2780" s="205" t="s">
        <v>2276</v>
      </c>
      <c r="M2780" s="205" t="s">
        <v>2276</v>
      </c>
      <c r="N2780" s="205" t="s">
        <v>2276</v>
      </c>
      <c r="O2780" s="205" t="s">
        <v>2276</v>
      </c>
      <c r="P2780" s="205" t="s">
        <v>2276</v>
      </c>
      <c r="Q2780" s="205" t="s">
        <v>2276</v>
      </c>
      <c r="R2780" s="205" t="s">
        <v>2276</v>
      </c>
      <c r="S2780" s="205" t="s">
        <v>2276</v>
      </c>
      <c r="T2780" s="205" t="s">
        <v>2276</v>
      </c>
      <c r="U2780" s="205" t="s">
        <v>2276</v>
      </c>
      <c r="V2780" s="205" t="s">
        <v>2276</v>
      </c>
      <c r="W2780" s="205" t="s">
        <v>2276</v>
      </c>
      <c r="X2780" s="205" t="s">
        <v>68</v>
      </c>
      <c r="Y2780" s="205" t="s">
        <v>86</v>
      </c>
      <c r="Z2780" s="205" t="s">
        <v>76</v>
      </c>
      <c r="AA2780" s="205"/>
      <c r="AB2780" s="205"/>
    </row>
    <row r="2781" spans="1:28" ht="34.5" customHeight="1">
      <c r="A2781" s="152" t="str">
        <f>'Reported burning'!A2787</f>
        <v>305ab</v>
      </c>
      <c r="B2781" s="152" t="str">
        <f>'Reported burning'!B2787</f>
        <v>305ab.6</v>
      </c>
      <c r="C2781" s="152" t="str">
        <f>'Reported burning'!C2787</f>
        <v>Human, deliberate</v>
      </c>
      <c r="D2781" s="152" t="str">
        <f>'Reported burning'!D2787</f>
        <v>Pyrome management</v>
      </c>
      <c r="E2781" s="152" t="str">
        <f>'Reported burning'!E2787</f>
        <v>Fire suppression agent</v>
      </c>
      <c r="F2781" s="152" t="str">
        <f>'Reported burning'!F2787</f>
        <v>ND</v>
      </c>
      <c r="G2781" s="152" t="str">
        <f>'Reported burning'!G2787</f>
        <v>ND</v>
      </c>
      <c r="H2781" s="152" t="str">
        <f>'Reported burning'!H2787</f>
        <v>Presence</v>
      </c>
      <c r="I2781" s="205"/>
      <c r="J2781" s="205" t="s">
        <v>2276</v>
      </c>
      <c r="K2781" s="205" t="s">
        <v>2276</v>
      </c>
      <c r="L2781" s="205" t="s">
        <v>2276</v>
      </c>
      <c r="M2781" s="205" t="s">
        <v>2276</v>
      </c>
      <c r="N2781" s="205" t="s">
        <v>2276</v>
      </c>
      <c r="O2781" s="205" t="s">
        <v>2276</v>
      </c>
      <c r="P2781" s="205" t="s">
        <v>2276</v>
      </c>
      <c r="Q2781" s="205" t="s">
        <v>2276</v>
      </c>
      <c r="R2781" s="205" t="s">
        <v>2276</v>
      </c>
      <c r="S2781" s="205" t="s">
        <v>2276</v>
      </c>
      <c r="T2781" s="205" t="s">
        <v>2276</v>
      </c>
      <c r="U2781" s="205" t="s">
        <v>2276</v>
      </c>
      <c r="V2781" s="205" t="s">
        <v>2276</v>
      </c>
      <c r="W2781" s="205" t="s">
        <v>2276</v>
      </c>
      <c r="X2781" s="205" t="s">
        <v>68</v>
      </c>
      <c r="Y2781" s="205" t="s">
        <v>86</v>
      </c>
      <c r="Z2781" s="205" t="s">
        <v>76</v>
      </c>
      <c r="AA2781" s="205"/>
      <c r="AB2781" s="205"/>
    </row>
    <row r="2782" spans="1:28" ht="34.5" customHeight="1">
      <c r="A2782" s="152" t="str">
        <f>'Reported burning'!A2788</f>
        <v>305ac</v>
      </c>
      <c r="B2782" s="152" t="str">
        <f>'Reported burning'!B2788</f>
        <v>305ac.6</v>
      </c>
      <c r="C2782" s="152" t="str">
        <f>'Reported burning'!C2788</f>
        <v>Human, deliberate</v>
      </c>
      <c r="D2782" s="152" t="str">
        <f>'Reported burning'!D2788</f>
        <v>Pyrome management</v>
      </c>
      <c r="E2782" s="152" t="str">
        <f>'Reported burning'!E2788</f>
        <v>Fire suppression agent</v>
      </c>
      <c r="F2782" s="152" t="str">
        <f>'Reported burning'!F2788</f>
        <v>ND</v>
      </c>
      <c r="G2782" s="152" t="str">
        <f>'Reported burning'!G2788</f>
        <v>ND</v>
      </c>
      <c r="H2782" s="152" t="str">
        <f>'Reported burning'!H2788</f>
        <v>Presence</v>
      </c>
      <c r="I2782" s="205"/>
      <c r="J2782" s="205" t="s">
        <v>2276</v>
      </c>
      <c r="K2782" s="205" t="s">
        <v>2276</v>
      </c>
      <c r="L2782" s="205" t="s">
        <v>2276</v>
      </c>
      <c r="M2782" s="205" t="s">
        <v>2276</v>
      </c>
      <c r="N2782" s="205" t="s">
        <v>2276</v>
      </c>
      <c r="O2782" s="205" t="s">
        <v>2276</v>
      </c>
      <c r="P2782" s="205" t="s">
        <v>2276</v>
      </c>
      <c r="Q2782" s="205" t="s">
        <v>2276</v>
      </c>
      <c r="R2782" s="205" t="s">
        <v>2276</v>
      </c>
      <c r="S2782" s="205" t="s">
        <v>2276</v>
      </c>
      <c r="T2782" s="205" t="s">
        <v>2276</v>
      </c>
      <c r="U2782" s="205" t="s">
        <v>2276</v>
      </c>
      <c r="V2782" s="205" t="s">
        <v>2276</v>
      </c>
      <c r="W2782" s="205" t="s">
        <v>2276</v>
      </c>
      <c r="X2782" s="205" t="s">
        <v>68</v>
      </c>
      <c r="Y2782" s="205" t="s">
        <v>86</v>
      </c>
      <c r="Z2782" s="205" t="s">
        <v>76</v>
      </c>
      <c r="AA2782" s="205"/>
      <c r="AB2782" s="205"/>
    </row>
    <row r="2783" spans="1:28" ht="34.5" customHeight="1">
      <c r="A2783" s="152" t="str">
        <f>'Reported burning'!A2789</f>
        <v>305ad</v>
      </c>
      <c r="B2783" s="152" t="str">
        <f>'Reported burning'!B2789</f>
        <v>305ad.6</v>
      </c>
      <c r="C2783" s="152" t="str">
        <f>'Reported burning'!C2789</f>
        <v>Human, deliberate</v>
      </c>
      <c r="D2783" s="152" t="str">
        <f>'Reported burning'!D2789</f>
        <v>Pyrome management</v>
      </c>
      <c r="E2783" s="152" t="str">
        <f>'Reported burning'!E2789</f>
        <v>Fire suppression agent</v>
      </c>
      <c r="F2783" s="152" t="str">
        <f>'Reported burning'!F2789</f>
        <v>ND</v>
      </c>
      <c r="G2783" s="152" t="str">
        <f>'Reported burning'!G2789</f>
        <v>ND</v>
      </c>
      <c r="H2783" s="152" t="str">
        <f>'Reported burning'!H2789</f>
        <v>Presence</v>
      </c>
      <c r="I2783" s="205"/>
      <c r="J2783" s="205" t="s">
        <v>2276</v>
      </c>
      <c r="K2783" s="205" t="s">
        <v>2276</v>
      </c>
      <c r="L2783" s="205" t="s">
        <v>2276</v>
      </c>
      <c r="M2783" s="205" t="s">
        <v>2276</v>
      </c>
      <c r="N2783" s="205" t="s">
        <v>2276</v>
      </c>
      <c r="O2783" s="205" t="s">
        <v>2276</v>
      </c>
      <c r="P2783" s="205" t="s">
        <v>2276</v>
      </c>
      <c r="Q2783" s="205" t="s">
        <v>2276</v>
      </c>
      <c r="R2783" s="205" t="s">
        <v>2276</v>
      </c>
      <c r="S2783" s="205" t="s">
        <v>2276</v>
      </c>
      <c r="T2783" s="205" t="s">
        <v>2276</v>
      </c>
      <c r="U2783" s="205" t="s">
        <v>2276</v>
      </c>
      <c r="V2783" s="205" t="s">
        <v>2276</v>
      </c>
      <c r="W2783" s="205" t="s">
        <v>2276</v>
      </c>
      <c r="X2783" s="205" t="s">
        <v>68</v>
      </c>
      <c r="Y2783" s="205" t="s">
        <v>86</v>
      </c>
      <c r="Z2783" s="205" t="s">
        <v>76</v>
      </c>
      <c r="AA2783" s="205"/>
      <c r="AB2783" s="205"/>
    </row>
    <row r="2784" spans="1:28" ht="34.5" customHeight="1">
      <c r="A2784" s="152" t="str">
        <f>'Reported burning'!A2790</f>
        <v>305ae</v>
      </c>
      <c r="B2784" s="152" t="str">
        <f>'Reported burning'!B2790</f>
        <v>305ae.6</v>
      </c>
      <c r="C2784" s="152" t="str">
        <f>'Reported burning'!C2790</f>
        <v>Human, deliberate</v>
      </c>
      <c r="D2784" s="152" t="str">
        <f>'Reported burning'!D2790</f>
        <v>Pyrome management</v>
      </c>
      <c r="E2784" s="152" t="str">
        <f>'Reported burning'!E2790</f>
        <v>Fire suppression agent</v>
      </c>
      <c r="F2784" s="152" t="str">
        <f>'Reported burning'!F2790</f>
        <v>ND</v>
      </c>
      <c r="G2784" s="152" t="str">
        <f>'Reported burning'!G2790</f>
        <v>ND</v>
      </c>
      <c r="H2784" s="152" t="str">
        <f>'Reported burning'!H2790</f>
        <v>Presence</v>
      </c>
      <c r="I2784" s="205"/>
      <c r="J2784" s="205" t="s">
        <v>2276</v>
      </c>
      <c r="K2784" s="205" t="s">
        <v>2276</v>
      </c>
      <c r="L2784" s="205" t="s">
        <v>2276</v>
      </c>
      <c r="M2784" s="205" t="s">
        <v>2276</v>
      </c>
      <c r="N2784" s="205" t="s">
        <v>2276</v>
      </c>
      <c r="O2784" s="205" t="s">
        <v>2276</v>
      </c>
      <c r="P2784" s="205" t="s">
        <v>2276</v>
      </c>
      <c r="Q2784" s="205" t="s">
        <v>2276</v>
      </c>
      <c r="R2784" s="205" t="s">
        <v>2276</v>
      </c>
      <c r="S2784" s="205" t="s">
        <v>2276</v>
      </c>
      <c r="T2784" s="205" t="s">
        <v>2276</v>
      </c>
      <c r="U2784" s="205" t="s">
        <v>2276</v>
      </c>
      <c r="V2784" s="205" t="s">
        <v>2276</v>
      </c>
      <c r="W2784" s="205" t="s">
        <v>2276</v>
      </c>
      <c r="X2784" s="205" t="s">
        <v>68</v>
      </c>
      <c r="Y2784" s="205" t="s">
        <v>86</v>
      </c>
      <c r="Z2784" s="205" t="s">
        <v>76</v>
      </c>
      <c r="AA2784" s="205"/>
      <c r="AB2784" s="205"/>
    </row>
    <row r="2785" spans="1:28" ht="34.5" customHeight="1">
      <c r="A2785" s="152" t="str">
        <f>'Reported burning'!A2791</f>
        <v>305n</v>
      </c>
      <c r="B2785" s="152" t="str">
        <f>'Reported burning'!B2791</f>
        <v>305n.7</v>
      </c>
      <c r="C2785" s="152" t="str">
        <f>'Reported burning'!C2791</f>
        <v>Human, deliberate</v>
      </c>
      <c r="D2785" s="152" t="str">
        <f>'Reported burning'!D2791</f>
        <v>Pyrome management</v>
      </c>
      <c r="E2785" s="152" t="str">
        <f>'Reported burning'!E2791</f>
        <v>Fire suppression agent</v>
      </c>
      <c r="F2785" s="152" t="str">
        <f>'Reported burning'!F2791</f>
        <v>ND</v>
      </c>
      <c r="G2785" s="152" t="str">
        <f>'Reported burning'!G2791</f>
        <v>ND</v>
      </c>
      <c r="H2785" s="152" t="str">
        <f>'Reported burning'!H2791</f>
        <v>Presence</v>
      </c>
      <c r="I2785" s="205"/>
      <c r="J2785" s="205" t="s">
        <v>2276</v>
      </c>
      <c r="K2785" s="205" t="s">
        <v>2276</v>
      </c>
      <c r="L2785" s="205" t="s">
        <v>2276</v>
      </c>
      <c r="M2785" s="205" t="s">
        <v>2276</v>
      </c>
      <c r="N2785" s="205" t="s">
        <v>2276</v>
      </c>
      <c r="O2785" s="205" t="s">
        <v>2276</v>
      </c>
      <c r="P2785" s="205" t="s">
        <v>2276</v>
      </c>
      <c r="Q2785" s="205" t="s">
        <v>2276</v>
      </c>
      <c r="R2785" s="205" t="s">
        <v>2276</v>
      </c>
      <c r="S2785" s="205" t="s">
        <v>2276</v>
      </c>
      <c r="T2785" s="205" t="s">
        <v>2276</v>
      </c>
      <c r="U2785" s="205" t="s">
        <v>2276</v>
      </c>
      <c r="V2785" s="205" t="s">
        <v>2276</v>
      </c>
      <c r="W2785" s="205" t="s">
        <v>2276</v>
      </c>
      <c r="X2785" s="205" t="s">
        <v>68</v>
      </c>
      <c r="Y2785" s="205" t="s">
        <v>86</v>
      </c>
      <c r="Z2785" s="205" t="s">
        <v>76</v>
      </c>
      <c r="AA2785" s="205"/>
      <c r="AB2785" s="205"/>
    </row>
    <row r="2786" spans="1:28" ht="34.5" customHeight="1">
      <c r="A2786" s="152" t="str">
        <f>'Reported burning'!A2792</f>
        <v>305o</v>
      </c>
      <c r="B2786" s="152" t="str">
        <f>'Reported burning'!B2792</f>
        <v>305o.7</v>
      </c>
      <c r="C2786" s="152" t="str">
        <f>'Reported burning'!C2792</f>
        <v>Human, deliberate</v>
      </c>
      <c r="D2786" s="152" t="str">
        <f>'Reported burning'!D2792</f>
        <v>Pyrome management</v>
      </c>
      <c r="E2786" s="152" t="str">
        <f>'Reported burning'!E2792</f>
        <v>Fire suppression agent</v>
      </c>
      <c r="F2786" s="152" t="str">
        <f>'Reported burning'!F2792</f>
        <v>ND</v>
      </c>
      <c r="G2786" s="152" t="str">
        <f>'Reported burning'!G2792</f>
        <v>ND</v>
      </c>
      <c r="H2786" s="152" t="str">
        <f>'Reported burning'!H2792</f>
        <v>Presence</v>
      </c>
      <c r="I2786" s="205"/>
      <c r="J2786" s="205" t="s">
        <v>2276</v>
      </c>
      <c r="K2786" s="205" t="s">
        <v>2276</v>
      </c>
      <c r="L2786" s="205" t="s">
        <v>2276</v>
      </c>
      <c r="M2786" s="205" t="s">
        <v>2276</v>
      </c>
      <c r="N2786" s="205" t="s">
        <v>2276</v>
      </c>
      <c r="O2786" s="205" t="s">
        <v>2276</v>
      </c>
      <c r="P2786" s="205" t="s">
        <v>2276</v>
      </c>
      <c r="Q2786" s="205" t="s">
        <v>2276</v>
      </c>
      <c r="R2786" s="205" t="s">
        <v>2276</v>
      </c>
      <c r="S2786" s="205" t="s">
        <v>2276</v>
      </c>
      <c r="T2786" s="205" t="s">
        <v>2276</v>
      </c>
      <c r="U2786" s="205" t="s">
        <v>2276</v>
      </c>
      <c r="V2786" s="205" t="s">
        <v>2276</v>
      </c>
      <c r="W2786" s="205" t="s">
        <v>2276</v>
      </c>
      <c r="X2786" s="205" t="s">
        <v>68</v>
      </c>
      <c r="Y2786" s="205" t="s">
        <v>86</v>
      </c>
      <c r="Z2786" s="205" t="s">
        <v>76</v>
      </c>
      <c r="AA2786" s="205"/>
      <c r="AB2786" s="205"/>
    </row>
    <row r="2787" spans="1:28" ht="34.5" customHeight="1">
      <c r="A2787" s="152" t="str">
        <f>'Reported burning'!A2793</f>
        <v>305p</v>
      </c>
      <c r="B2787" s="152" t="str">
        <f>'Reported burning'!B2793</f>
        <v>305p.7</v>
      </c>
      <c r="C2787" s="152" t="str">
        <f>'Reported burning'!C2793</f>
        <v>Human, deliberate</v>
      </c>
      <c r="D2787" s="152" t="str">
        <f>'Reported burning'!D2793</f>
        <v>Pyrome management</v>
      </c>
      <c r="E2787" s="152" t="str">
        <f>'Reported burning'!E2793</f>
        <v>Fire suppression agent</v>
      </c>
      <c r="F2787" s="152" t="str">
        <f>'Reported burning'!F2793</f>
        <v>ND</v>
      </c>
      <c r="G2787" s="152" t="str">
        <f>'Reported burning'!G2793</f>
        <v>ND</v>
      </c>
      <c r="H2787" s="152" t="str">
        <f>'Reported burning'!H2793</f>
        <v>Presence</v>
      </c>
      <c r="I2787" s="205"/>
      <c r="J2787" s="205" t="s">
        <v>2276</v>
      </c>
      <c r="K2787" s="205" t="s">
        <v>2276</v>
      </c>
      <c r="L2787" s="205" t="s">
        <v>2276</v>
      </c>
      <c r="M2787" s="205" t="s">
        <v>2276</v>
      </c>
      <c r="N2787" s="205" t="s">
        <v>2276</v>
      </c>
      <c r="O2787" s="205" t="s">
        <v>2276</v>
      </c>
      <c r="P2787" s="205" t="s">
        <v>2276</v>
      </c>
      <c r="Q2787" s="205" t="s">
        <v>2276</v>
      </c>
      <c r="R2787" s="205" t="s">
        <v>2276</v>
      </c>
      <c r="S2787" s="205" t="s">
        <v>2276</v>
      </c>
      <c r="T2787" s="205" t="s">
        <v>2276</v>
      </c>
      <c r="U2787" s="205" t="s">
        <v>2276</v>
      </c>
      <c r="V2787" s="205" t="s">
        <v>2276</v>
      </c>
      <c r="W2787" s="205" t="s">
        <v>2276</v>
      </c>
      <c r="X2787" s="205" t="s">
        <v>68</v>
      </c>
      <c r="Y2787" s="205" t="s">
        <v>86</v>
      </c>
      <c r="Z2787" s="205" t="s">
        <v>76</v>
      </c>
      <c r="AA2787" s="205"/>
      <c r="AB2787" s="205"/>
    </row>
    <row r="2788" spans="1:28" ht="34.5" customHeight="1">
      <c r="A2788" s="152" t="str">
        <f>'Reported burning'!A2794</f>
        <v>305q</v>
      </c>
      <c r="B2788" s="152" t="str">
        <f>'Reported burning'!B2794</f>
        <v>305q.7</v>
      </c>
      <c r="C2788" s="152" t="str">
        <f>'Reported burning'!C2794</f>
        <v>Human, deliberate</v>
      </c>
      <c r="D2788" s="152" t="str">
        <f>'Reported burning'!D2794</f>
        <v>Pyrome management</v>
      </c>
      <c r="E2788" s="152" t="str">
        <f>'Reported burning'!E2794</f>
        <v>Fire suppression agent</v>
      </c>
      <c r="F2788" s="152" t="str">
        <f>'Reported burning'!F2794</f>
        <v>ND</v>
      </c>
      <c r="G2788" s="152" t="str">
        <f>'Reported burning'!G2794</f>
        <v>ND</v>
      </c>
      <c r="H2788" s="152" t="str">
        <f>'Reported burning'!H2794</f>
        <v>Presence</v>
      </c>
      <c r="I2788" s="205"/>
      <c r="J2788" s="205" t="s">
        <v>2276</v>
      </c>
      <c r="K2788" s="205" t="s">
        <v>2276</v>
      </c>
      <c r="L2788" s="205" t="s">
        <v>2276</v>
      </c>
      <c r="M2788" s="205" t="s">
        <v>2276</v>
      </c>
      <c r="N2788" s="205" t="s">
        <v>2276</v>
      </c>
      <c r="O2788" s="205" t="s">
        <v>2276</v>
      </c>
      <c r="P2788" s="205" t="s">
        <v>2276</v>
      </c>
      <c r="Q2788" s="205" t="s">
        <v>2276</v>
      </c>
      <c r="R2788" s="205" t="s">
        <v>2276</v>
      </c>
      <c r="S2788" s="205" t="s">
        <v>2276</v>
      </c>
      <c r="T2788" s="205" t="s">
        <v>2276</v>
      </c>
      <c r="U2788" s="205" t="s">
        <v>2276</v>
      </c>
      <c r="V2788" s="205" t="s">
        <v>2276</v>
      </c>
      <c r="W2788" s="205" t="s">
        <v>2276</v>
      </c>
      <c r="X2788" s="205" t="s">
        <v>68</v>
      </c>
      <c r="Y2788" s="205" t="s">
        <v>86</v>
      </c>
      <c r="Z2788" s="205" t="s">
        <v>76</v>
      </c>
      <c r="AA2788" s="205"/>
      <c r="AB2788" s="205"/>
    </row>
    <row r="2789" spans="1:28" ht="34.5" customHeight="1">
      <c r="A2789" s="152" t="str">
        <f>'Reported burning'!A2795</f>
        <v>305r</v>
      </c>
      <c r="B2789" s="152" t="str">
        <f>'Reported burning'!B2795</f>
        <v>305r.7</v>
      </c>
      <c r="C2789" s="152" t="str">
        <f>'Reported burning'!C2795</f>
        <v>Human, deliberate</v>
      </c>
      <c r="D2789" s="152" t="str">
        <f>'Reported burning'!D2795</f>
        <v>Pyrome management</v>
      </c>
      <c r="E2789" s="152" t="str">
        <f>'Reported burning'!E2795</f>
        <v>Fire suppression agent</v>
      </c>
      <c r="F2789" s="152" t="str">
        <f>'Reported burning'!F2795</f>
        <v>ND</v>
      </c>
      <c r="G2789" s="152" t="str">
        <f>'Reported burning'!G2795</f>
        <v>ND</v>
      </c>
      <c r="H2789" s="152" t="str">
        <f>'Reported burning'!H2795</f>
        <v>Absence</v>
      </c>
      <c r="I2789" s="205"/>
      <c r="J2789" s="21" t="s">
        <v>2364</v>
      </c>
      <c r="K2789" s="21" t="s">
        <v>2364</v>
      </c>
      <c r="L2789" s="21" t="s">
        <v>2364</v>
      </c>
      <c r="M2789" s="21" t="s">
        <v>2364</v>
      </c>
      <c r="N2789" s="21" t="s">
        <v>2364</v>
      </c>
      <c r="O2789" s="21" t="s">
        <v>2364</v>
      </c>
      <c r="P2789" s="21" t="s">
        <v>2364</v>
      </c>
      <c r="Q2789" s="21" t="s">
        <v>2364</v>
      </c>
      <c r="R2789" s="21" t="s">
        <v>2364</v>
      </c>
      <c r="S2789" s="21" t="s">
        <v>2364</v>
      </c>
      <c r="T2789" s="21" t="s">
        <v>2364</v>
      </c>
      <c r="U2789" s="21" t="s">
        <v>2364</v>
      </c>
      <c r="V2789" s="21" t="s">
        <v>2364</v>
      </c>
      <c r="W2789" s="205" t="s">
        <v>2276</v>
      </c>
      <c r="X2789" s="205" t="s">
        <v>68</v>
      </c>
      <c r="Y2789" s="205" t="s">
        <v>86</v>
      </c>
      <c r="Z2789" s="205" t="s">
        <v>76</v>
      </c>
      <c r="AA2789" s="205"/>
      <c r="AB2789" s="205"/>
    </row>
    <row r="2790" spans="1:28" ht="34.5" customHeight="1">
      <c r="A2790" s="152" t="str">
        <f>'Reported burning'!A2796</f>
        <v>305s</v>
      </c>
      <c r="B2790" s="152" t="str">
        <f>'Reported burning'!B2796</f>
        <v>305s.7</v>
      </c>
      <c r="C2790" s="152" t="str">
        <f>'Reported burning'!C2796</f>
        <v>Human, deliberate</v>
      </c>
      <c r="D2790" s="152" t="str">
        <f>'Reported burning'!D2796</f>
        <v>Pyrome management</v>
      </c>
      <c r="E2790" s="152" t="str">
        <f>'Reported burning'!E2796</f>
        <v>Fire suppression agent</v>
      </c>
      <c r="F2790" s="152" t="str">
        <f>'Reported burning'!F2796</f>
        <v>ND</v>
      </c>
      <c r="G2790" s="152" t="str">
        <f>'Reported burning'!G2796</f>
        <v>ND</v>
      </c>
      <c r="H2790" s="152" t="str">
        <f>'Reported burning'!H2796</f>
        <v>Absence</v>
      </c>
      <c r="I2790" s="205"/>
      <c r="J2790" s="21" t="s">
        <v>2364</v>
      </c>
      <c r="K2790" s="21" t="s">
        <v>2364</v>
      </c>
      <c r="L2790" s="21" t="s">
        <v>2364</v>
      </c>
      <c r="M2790" s="21" t="s">
        <v>2364</v>
      </c>
      <c r="N2790" s="21" t="s">
        <v>2364</v>
      </c>
      <c r="O2790" s="21" t="s">
        <v>2364</v>
      </c>
      <c r="P2790" s="21" t="s">
        <v>2364</v>
      </c>
      <c r="Q2790" s="21" t="s">
        <v>2364</v>
      </c>
      <c r="R2790" s="21" t="s">
        <v>2364</v>
      </c>
      <c r="S2790" s="21" t="s">
        <v>2364</v>
      </c>
      <c r="T2790" s="21" t="s">
        <v>2364</v>
      </c>
      <c r="U2790" s="21" t="s">
        <v>2364</v>
      </c>
      <c r="V2790" s="21" t="s">
        <v>2364</v>
      </c>
      <c r="W2790" s="205" t="s">
        <v>2276</v>
      </c>
      <c r="X2790" s="205" t="s">
        <v>68</v>
      </c>
      <c r="Y2790" s="205" t="s">
        <v>86</v>
      </c>
      <c r="Z2790" s="205" t="s">
        <v>76</v>
      </c>
      <c r="AA2790" s="205"/>
      <c r="AB2790" s="205"/>
    </row>
    <row r="2791" spans="1:28" ht="34.5" customHeight="1">
      <c r="A2791" s="152" t="str">
        <f>'Reported burning'!A2797</f>
        <v>305t</v>
      </c>
      <c r="B2791" s="152" t="str">
        <f>'Reported burning'!B2797</f>
        <v>305t.7</v>
      </c>
      <c r="C2791" s="152" t="str">
        <f>'Reported burning'!C2797</f>
        <v>Human, deliberate</v>
      </c>
      <c r="D2791" s="152" t="str">
        <f>'Reported burning'!D2797</f>
        <v>Pyrome management</v>
      </c>
      <c r="E2791" s="152" t="str">
        <f>'Reported burning'!E2797</f>
        <v>Fire suppression agent</v>
      </c>
      <c r="F2791" s="152" t="str">
        <f>'Reported burning'!F2797</f>
        <v>ND</v>
      </c>
      <c r="G2791" s="152" t="str">
        <f>'Reported burning'!G2797</f>
        <v>ND</v>
      </c>
      <c r="H2791" s="152" t="str">
        <f>'Reported burning'!H2797</f>
        <v>Absence</v>
      </c>
      <c r="I2791" s="205"/>
      <c r="J2791" s="21" t="s">
        <v>2364</v>
      </c>
      <c r="K2791" s="21" t="s">
        <v>2364</v>
      </c>
      <c r="L2791" s="21" t="s">
        <v>2364</v>
      </c>
      <c r="M2791" s="21" t="s">
        <v>2364</v>
      </c>
      <c r="N2791" s="21" t="s">
        <v>2364</v>
      </c>
      <c r="O2791" s="21" t="s">
        <v>2364</v>
      </c>
      <c r="P2791" s="21" t="s">
        <v>2364</v>
      </c>
      <c r="Q2791" s="21" t="s">
        <v>2364</v>
      </c>
      <c r="R2791" s="21" t="s">
        <v>2364</v>
      </c>
      <c r="S2791" s="21" t="s">
        <v>2364</v>
      </c>
      <c r="T2791" s="21" t="s">
        <v>2364</v>
      </c>
      <c r="U2791" s="21" t="s">
        <v>2364</v>
      </c>
      <c r="V2791" s="21" t="s">
        <v>2364</v>
      </c>
      <c r="W2791" s="205" t="s">
        <v>2276</v>
      </c>
      <c r="X2791" s="205" t="s">
        <v>68</v>
      </c>
      <c r="Y2791" s="205" t="s">
        <v>86</v>
      </c>
      <c r="Z2791" s="205" t="s">
        <v>76</v>
      </c>
      <c r="AA2791" s="205"/>
      <c r="AB2791" s="205"/>
    </row>
    <row r="2792" spans="1:28" ht="34.5" customHeight="1">
      <c r="A2792" s="152" t="str">
        <f>'Reported burning'!A2798</f>
        <v>305u</v>
      </c>
      <c r="B2792" s="152" t="str">
        <f>'Reported burning'!B2798</f>
        <v>305u.7</v>
      </c>
      <c r="C2792" s="152" t="str">
        <f>'Reported burning'!C2798</f>
        <v>Human, deliberate</v>
      </c>
      <c r="D2792" s="152" t="str">
        <f>'Reported burning'!D2798</f>
        <v>Pyrome management</v>
      </c>
      <c r="E2792" s="152" t="str">
        <f>'Reported burning'!E2798</f>
        <v>Fire suppression agent</v>
      </c>
      <c r="F2792" s="152" t="str">
        <f>'Reported burning'!F2798</f>
        <v>ND</v>
      </c>
      <c r="G2792" s="152" t="str">
        <f>'Reported burning'!G2798</f>
        <v>ND</v>
      </c>
      <c r="H2792" s="152" t="str">
        <f>'Reported burning'!H2798</f>
        <v>Presence</v>
      </c>
      <c r="I2792" s="205"/>
      <c r="J2792" s="205" t="s">
        <v>2276</v>
      </c>
      <c r="K2792" s="205" t="s">
        <v>2276</v>
      </c>
      <c r="L2792" s="205" t="s">
        <v>2276</v>
      </c>
      <c r="M2792" s="205" t="s">
        <v>2276</v>
      </c>
      <c r="N2792" s="205" t="s">
        <v>2276</v>
      </c>
      <c r="O2792" s="205" t="s">
        <v>2276</v>
      </c>
      <c r="P2792" s="205" t="s">
        <v>2276</v>
      </c>
      <c r="Q2792" s="205" t="s">
        <v>2276</v>
      </c>
      <c r="R2792" s="205" t="s">
        <v>2276</v>
      </c>
      <c r="S2792" s="205" t="s">
        <v>2276</v>
      </c>
      <c r="T2792" s="205" t="s">
        <v>2276</v>
      </c>
      <c r="U2792" s="205" t="s">
        <v>2276</v>
      </c>
      <c r="V2792" s="205" t="s">
        <v>2276</v>
      </c>
      <c r="W2792" s="205" t="s">
        <v>2276</v>
      </c>
      <c r="X2792" s="205" t="s">
        <v>68</v>
      </c>
      <c r="Y2792" s="205" t="s">
        <v>86</v>
      </c>
      <c r="Z2792" s="205" t="s">
        <v>76</v>
      </c>
      <c r="AA2792" s="205"/>
      <c r="AB2792" s="205"/>
    </row>
    <row r="2793" spans="1:28" ht="34.5" customHeight="1">
      <c r="A2793" s="152" t="str">
        <f>'Reported burning'!A2799</f>
        <v>305v</v>
      </c>
      <c r="B2793" s="152" t="str">
        <f>'Reported burning'!B2799</f>
        <v>305v.7</v>
      </c>
      <c r="C2793" s="152" t="str">
        <f>'Reported burning'!C2799</f>
        <v>Human, deliberate</v>
      </c>
      <c r="D2793" s="152" t="str">
        <f>'Reported burning'!D2799</f>
        <v>Pyrome management</v>
      </c>
      <c r="E2793" s="152" t="str">
        <f>'Reported burning'!E2799</f>
        <v>Fire suppression agent</v>
      </c>
      <c r="F2793" s="152" t="str">
        <f>'Reported burning'!F2799</f>
        <v>ND</v>
      </c>
      <c r="G2793" s="152" t="str">
        <f>'Reported burning'!G2799</f>
        <v>ND</v>
      </c>
      <c r="H2793" s="152" t="str">
        <f>'Reported burning'!H2799</f>
        <v>Presence</v>
      </c>
      <c r="I2793" s="205"/>
      <c r="J2793" s="205" t="s">
        <v>2276</v>
      </c>
      <c r="K2793" s="205" t="s">
        <v>2276</v>
      </c>
      <c r="L2793" s="205" t="s">
        <v>2276</v>
      </c>
      <c r="M2793" s="205" t="s">
        <v>2276</v>
      </c>
      <c r="N2793" s="205" t="s">
        <v>2276</v>
      </c>
      <c r="O2793" s="205" t="s">
        <v>2276</v>
      </c>
      <c r="P2793" s="205" t="s">
        <v>2276</v>
      </c>
      <c r="Q2793" s="205" t="s">
        <v>2276</v>
      </c>
      <c r="R2793" s="205" t="s">
        <v>2276</v>
      </c>
      <c r="S2793" s="205" t="s">
        <v>2276</v>
      </c>
      <c r="T2793" s="205" t="s">
        <v>2276</v>
      </c>
      <c r="U2793" s="205" t="s">
        <v>2276</v>
      </c>
      <c r="V2793" s="205" t="s">
        <v>2276</v>
      </c>
      <c r="W2793" s="205" t="s">
        <v>2276</v>
      </c>
      <c r="X2793" s="205" t="s">
        <v>68</v>
      </c>
      <c r="Y2793" s="205" t="s">
        <v>86</v>
      </c>
      <c r="Z2793" s="205" t="s">
        <v>76</v>
      </c>
      <c r="AA2793" s="205"/>
      <c r="AB2793" s="205"/>
    </row>
    <row r="2794" spans="1:28" ht="34.5" customHeight="1">
      <c r="A2794" s="152" t="str">
        <f>'Reported burning'!A2800</f>
        <v>305w</v>
      </c>
      <c r="B2794" s="152" t="str">
        <f>'Reported burning'!B2800</f>
        <v>305w.7</v>
      </c>
      <c r="C2794" s="152" t="str">
        <f>'Reported burning'!C2800</f>
        <v>Human, deliberate</v>
      </c>
      <c r="D2794" s="152" t="str">
        <f>'Reported burning'!D2800</f>
        <v>Pyrome management</v>
      </c>
      <c r="E2794" s="152" t="str">
        <f>'Reported burning'!E2800</f>
        <v>Fire suppression agent</v>
      </c>
      <c r="F2794" s="152" t="str">
        <f>'Reported burning'!F2800</f>
        <v>ND</v>
      </c>
      <c r="G2794" s="152" t="str">
        <f>'Reported burning'!G2800</f>
        <v>ND</v>
      </c>
      <c r="H2794" s="152" t="str">
        <f>'Reported burning'!H2800</f>
        <v>Presence</v>
      </c>
      <c r="I2794" s="205"/>
      <c r="J2794" s="205" t="s">
        <v>2276</v>
      </c>
      <c r="K2794" s="205" t="s">
        <v>2276</v>
      </c>
      <c r="L2794" s="205" t="s">
        <v>2276</v>
      </c>
      <c r="M2794" s="205" t="s">
        <v>2276</v>
      </c>
      <c r="N2794" s="205" t="s">
        <v>2276</v>
      </c>
      <c r="O2794" s="205" t="s">
        <v>2276</v>
      </c>
      <c r="P2794" s="205" t="s">
        <v>2276</v>
      </c>
      <c r="Q2794" s="205" t="s">
        <v>2276</v>
      </c>
      <c r="R2794" s="205" t="s">
        <v>2276</v>
      </c>
      <c r="S2794" s="205" t="s">
        <v>2276</v>
      </c>
      <c r="T2794" s="205" t="s">
        <v>2276</v>
      </c>
      <c r="U2794" s="205" t="s">
        <v>2276</v>
      </c>
      <c r="V2794" s="205" t="s">
        <v>2276</v>
      </c>
      <c r="W2794" s="205" t="s">
        <v>2276</v>
      </c>
      <c r="X2794" s="205" t="s">
        <v>68</v>
      </c>
      <c r="Y2794" s="205" t="s">
        <v>86</v>
      </c>
      <c r="Z2794" s="205" t="s">
        <v>76</v>
      </c>
      <c r="AA2794" s="205"/>
      <c r="AB2794" s="205"/>
    </row>
    <row r="2795" spans="1:28" ht="34.5" customHeight="1">
      <c r="A2795" s="152" t="str">
        <f>'Reported burning'!A2801</f>
        <v>305x</v>
      </c>
      <c r="B2795" s="152" t="str">
        <f>'Reported burning'!B2801</f>
        <v>305x.7</v>
      </c>
      <c r="C2795" s="152" t="str">
        <f>'Reported burning'!C2801</f>
        <v>Human, deliberate</v>
      </c>
      <c r="D2795" s="152" t="str">
        <f>'Reported burning'!D2801</f>
        <v>Pyrome management</v>
      </c>
      <c r="E2795" s="152" t="str">
        <f>'Reported burning'!E2801</f>
        <v>Fire suppression agent</v>
      </c>
      <c r="F2795" s="152" t="str">
        <f>'Reported burning'!F2801</f>
        <v>ND</v>
      </c>
      <c r="G2795" s="152" t="str">
        <f>'Reported burning'!G2801</f>
        <v>ND</v>
      </c>
      <c r="H2795" s="152" t="str">
        <f>'Reported burning'!H2801</f>
        <v>Presence</v>
      </c>
      <c r="I2795" s="205"/>
      <c r="J2795" s="205" t="s">
        <v>2276</v>
      </c>
      <c r="K2795" s="205" t="s">
        <v>2276</v>
      </c>
      <c r="L2795" s="205" t="s">
        <v>2276</v>
      </c>
      <c r="M2795" s="205" t="s">
        <v>2276</v>
      </c>
      <c r="N2795" s="205" t="s">
        <v>2276</v>
      </c>
      <c r="O2795" s="205" t="s">
        <v>2276</v>
      </c>
      <c r="P2795" s="205" t="s">
        <v>2276</v>
      </c>
      <c r="Q2795" s="205" t="s">
        <v>2276</v>
      </c>
      <c r="R2795" s="205" t="s">
        <v>2276</v>
      </c>
      <c r="S2795" s="205" t="s">
        <v>2276</v>
      </c>
      <c r="T2795" s="205" t="s">
        <v>2276</v>
      </c>
      <c r="U2795" s="205" t="s">
        <v>2276</v>
      </c>
      <c r="V2795" s="205" t="s">
        <v>2276</v>
      </c>
      <c r="W2795" s="205" t="s">
        <v>2276</v>
      </c>
      <c r="X2795" s="205" t="s">
        <v>68</v>
      </c>
      <c r="Y2795" s="205" t="s">
        <v>86</v>
      </c>
      <c r="Z2795" s="205" t="s">
        <v>76</v>
      </c>
      <c r="AA2795" s="205"/>
      <c r="AB2795" s="205"/>
    </row>
    <row r="2796" spans="1:28" ht="34.5" customHeight="1">
      <c r="A2796" s="152" t="str">
        <f>'Reported burning'!A2802</f>
        <v>305y</v>
      </c>
      <c r="B2796" s="152" t="str">
        <f>'Reported burning'!B2802</f>
        <v>305y.7</v>
      </c>
      <c r="C2796" s="152" t="str">
        <f>'Reported burning'!C2802</f>
        <v>Human, deliberate</v>
      </c>
      <c r="D2796" s="152" t="str">
        <f>'Reported burning'!D2802</f>
        <v>Pyrome management</v>
      </c>
      <c r="E2796" s="152" t="str">
        <f>'Reported burning'!E2802</f>
        <v>Fire suppression agent</v>
      </c>
      <c r="F2796" s="152" t="str">
        <f>'Reported burning'!F2802</f>
        <v>ND</v>
      </c>
      <c r="G2796" s="152" t="str">
        <f>'Reported burning'!G2802</f>
        <v>ND</v>
      </c>
      <c r="H2796" s="152" t="str">
        <f>'Reported burning'!H2802</f>
        <v>Presence</v>
      </c>
      <c r="I2796" s="205"/>
      <c r="J2796" s="205" t="s">
        <v>2276</v>
      </c>
      <c r="K2796" s="205" t="s">
        <v>2276</v>
      </c>
      <c r="L2796" s="205" t="s">
        <v>2276</v>
      </c>
      <c r="M2796" s="205" t="s">
        <v>2276</v>
      </c>
      <c r="N2796" s="205" t="s">
        <v>2276</v>
      </c>
      <c r="O2796" s="205" t="s">
        <v>2276</v>
      </c>
      <c r="P2796" s="205" t="s">
        <v>2276</v>
      </c>
      <c r="Q2796" s="205" t="s">
        <v>2276</v>
      </c>
      <c r="R2796" s="205" t="s">
        <v>2276</v>
      </c>
      <c r="S2796" s="205" t="s">
        <v>2276</v>
      </c>
      <c r="T2796" s="205" t="s">
        <v>2276</v>
      </c>
      <c r="U2796" s="205" t="s">
        <v>2276</v>
      </c>
      <c r="V2796" s="205" t="s">
        <v>2276</v>
      </c>
      <c r="W2796" s="205" t="s">
        <v>2276</v>
      </c>
      <c r="X2796" s="205" t="s">
        <v>68</v>
      </c>
      <c r="Y2796" s="205" t="s">
        <v>86</v>
      </c>
      <c r="Z2796" s="205" t="s">
        <v>76</v>
      </c>
      <c r="AA2796" s="205"/>
      <c r="AB2796" s="205"/>
    </row>
    <row r="2797" spans="1:28" ht="34.5" customHeight="1">
      <c r="A2797" s="152" t="str">
        <f>'Reported burning'!A2803</f>
        <v>305z</v>
      </c>
      <c r="B2797" s="152" t="str">
        <f>'Reported burning'!B2803</f>
        <v>305z.7</v>
      </c>
      <c r="C2797" s="152" t="str">
        <f>'Reported burning'!C2803</f>
        <v>Human, deliberate</v>
      </c>
      <c r="D2797" s="152" t="str">
        <f>'Reported burning'!D2803</f>
        <v>Pyrome management</v>
      </c>
      <c r="E2797" s="152" t="str">
        <f>'Reported burning'!E2803</f>
        <v>Fire suppression agent</v>
      </c>
      <c r="F2797" s="152" t="str">
        <f>'Reported burning'!F2803</f>
        <v>ND</v>
      </c>
      <c r="G2797" s="152" t="str">
        <f>'Reported burning'!G2803</f>
        <v>ND</v>
      </c>
      <c r="H2797" s="152" t="str">
        <f>'Reported burning'!H2803</f>
        <v>Presence</v>
      </c>
      <c r="I2797" s="205"/>
      <c r="J2797" s="205" t="s">
        <v>2276</v>
      </c>
      <c r="K2797" s="205" t="s">
        <v>2276</v>
      </c>
      <c r="L2797" s="205" t="s">
        <v>2276</v>
      </c>
      <c r="M2797" s="205" t="s">
        <v>2276</v>
      </c>
      <c r="N2797" s="205" t="s">
        <v>2276</v>
      </c>
      <c r="O2797" s="205" t="s">
        <v>2276</v>
      </c>
      <c r="P2797" s="205" t="s">
        <v>2276</v>
      </c>
      <c r="Q2797" s="205" t="s">
        <v>2276</v>
      </c>
      <c r="R2797" s="205" t="s">
        <v>2276</v>
      </c>
      <c r="S2797" s="205" t="s">
        <v>2276</v>
      </c>
      <c r="T2797" s="205" t="s">
        <v>2276</v>
      </c>
      <c r="U2797" s="205" t="s">
        <v>2276</v>
      </c>
      <c r="V2797" s="205" t="s">
        <v>2276</v>
      </c>
      <c r="W2797" s="205" t="s">
        <v>2276</v>
      </c>
      <c r="X2797" s="205" t="s">
        <v>68</v>
      </c>
      <c r="Y2797" s="205" t="s">
        <v>86</v>
      </c>
      <c r="Z2797" s="205" t="s">
        <v>76</v>
      </c>
      <c r="AA2797" s="205"/>
      <c r="AB2797" s="205"/>
    </row>
    <row r="2798" spans="1:28" ht="34.5" customHeight="1">
      <c r="A2798" s="152" t="str">
        <f>'Reported burning'!A2804</f>
        <v>305aa</v>
      </c>
      <c r="B2798" s="152" t="str">
        <f>'Reported burning'!B2804</f>
        <v>305aa.7</v>
      </c>
      <c r="C2798" s="152" t="str">
        <f>'Reported burning'!C2804</f>
        <v>Human, deliberate</v>
      </c>
      <c r="D2798" s="152" t="str">
        <f>'Reported burning'!D2804</f>
        <v>Pyrome management</v>
      </c>
      <c r="E2798" s="152" t="str">
        <f>'Reported burning'!E2804</f>
        <v>Fire suppression agent</v>
      </c>
      <c r="F2798" s="152" t="str">
        <f>'Reported burning'!F2804</f>
        <v>ND</v>
      </c>
      <c r="G2798" s="152" t="str">
        <f>'Reported burning'!G2804</f>
        <v>ND</v>
      </c>
      <c r="H2798" s="152" t="str">
        <f>'Reported burning'!H2804</f>
        <v>Presence</v>
      </c>
      <c r="I2798" s="205"/>
      <c r="J2798" s="205" t="s">
        <v>2276</v>
      </c>
      <c r="K2798" s="205" t="s">
        <v>2276</v>
      </c>
      <c r="L2798" s="205" t="s">
        <v>2276</v>
      </c>
      <c r="M2798" s="205" t="s">
        <v>2276</v>
      </c>
      <c r="N2798" s="205" t="s">
        <v>2276</v>
      </c>
      <c r="O2798" s="205" t="s">
        <v>2276</v>
      </c>
      <c r="P2798" s="205" t="s">
        <v>2276</v>
      </c>
      <c r="Q2798" s="205" t="s">
        <v>2276</v>
      </c>
      <c r="R2798" s="205" t="s">
        <v>2276</v>
      </c>
      <c r="S2798" s="205" t="s">
        <v>2276</v>
      </c>
      <c r="T2798" s="205" t="s">
        <v>2276</v>
      </c>
      <c r="U2798" s="205" t="s">
        <v>2276</v>
      </c>
      <c r="V2798" s="205" t="s">
        <v>2276</v>
      </c>
      <c r="W2798" s="205" t="s">
        <v>2276</v>
      </c>
      <c r="X2798" s="205" t="s">
        <v>68</v>
      </c>
      <c r="Y2798" s="205" t="s">
        <v>86</v>
      </c>
      <c r="Z2798" s="205" t="s">
        <v>76</v>
      </c>
      <c r="AA2798" s="205"/>
      <c r="AB2798" s="205"/>
    </row>
    <row r="2799" spans="1:28" ht="34.5" customHeight="1">
      <c r="A2799" s="152" t="str">
        <f>'Reported burning'!A2805</f>
        <v>305ab</v>
      </c>
      <c r="B2799" s="152" t="str">
        <f>'Reported burning'!B2805</f>
        <v>305ab.7</v>
      </c>
      <c r="C2799" s="152" t="str">
        <f>'Reported burning'!C2805</f>
        <v>Human, deliberate</v>
      </c>
      <c r="D2799" s="152" t="str">
        <f>'Reported burning'!D2805</f>
        <v>Pyrome management</v>
      </c>
      <c r="E2799" s="152" t="str">
        <f>'Reported burning'!E2805</f>
        <v>Fire suppression agent</v>
      </c>
      <c r="F2799" s="152" t="str">
        <f>'Reported burning'!F2805</f>
        <v>ND</v>
      </c>
      <c r="G2799" s="152" t="str">
        <f>'Reported burning'!G2805</f>
        <v>ND</v>
      </c>
      <c r="H2799" s="152" t="str">
        <f>'Reported burning'!H2805</f>
        <v>Presence</v>
      </c>
      <c r="I2799" s="205"/>
      <c r="J2799" s="205" t="s">
        <v>2276</v>
      </c>
      <c r="K2799" s="205" t="s">
        <v>2276</v>
      </c>
      <c r="L2799" s="205" t="s">
        <v>2276</v>
      </c>
      <c r="M2799" s="205" t="s">
        <v>2276</v>
      </c>
      <c r="N2799" s="205" t="s">
        <v>2276</v>
      </c>
      <c r="O2799" s="205" t="s">
        <v>2276</v>
      </c>
      <c r="P2799" s="205" t="s">
        <v>2276</v>
      </c>
      <c r="Q2799" s="205" t="s">
        <v>2276</v>
      </c>
      <c r="R2799" s="205" t="s">
        <v>2276</v>
      </c>
      <c r="S2799" s="205" t="s">
        <v>2276</v>
      </c>
      <c r="T2799" s="205" t="s">
        <v>2276</v>
      </c>
      <c r="U2799" s="205" t="s">
        <v>2276</v>
      </c>
      <c r="V2799" s="205" t="s">
        <v>2276</v>
      </c>
      <c r="W2799" s="205" t="s">
        <v>2276</v>
      </c>
      <c r="X2799" s="205" t="s">
        <v>68</v>
      </c>
      <c r="Y2799" s="205" t="s">
        <v>86</v>
      </c>
      <c r="Z2799" s="205" t="s">
        <v>76</v>
      </c>
      <c r="AA2799" s="205"/>
      <c r="AB2799" s="205"/>
    </row>
    <row r="2800" spans="1:28" ht="34.5" customHeight="1">
      <c r="A2800" s="152" t="str">
        <f>'Reported burning'!A2806</f>
        <v>305ac</v>
      </c>
      <c r="B2800" s="152" t="str">
        <f>'Reported burning'!B2806</f>
        <v>305ac.7</v>
      </c>
      <c r="C2800" s="152" t="str">
        <f>'Reported burning'!C2806</f>
        <v>Human, deliberate</v>
      </c>
      <c r="D2800" s="152" t="str">
        <f>'Reported burning'!D2806</f>
        <v>Pyrome management</v>
      </c>
      <c r="E2800" s="152" t="str">
        <f>'Reported burning'!E2806</f>
        <v>Fire suppression agent</v>
      </c>
      <c r="F2800" s="152" t="str">
        <f>'Reported burning'!F2806</f>
        <v>ND</v>
      </c>
      <c r="G2800" s="152" t="str">
        <f>'Reported burning'!G2806</f>
        <v>ND</v>
      </c>
      <c r="H2800" s="152" t="str">
        <f>'Reported burning'!H2806</f>
        <v>Presence</v>
      </c>
      <c r="I2800" s="205"/>
      <c r="J2800" s="205" t="s">
        <v>2276</v>
      </c>
      <c r="K2800" s="205" t="s">
        <v>2276</v>
      </c>
      <c r="L2800" s="205" t="s">
        <v>2276</v>
      </c>
      <c r="M2800" s="205" t="s">
        <v>2276</v>
      </c>
      <c r="N2800" s="205" t="s">
        <v>2276</v>
      </c>
      <c r="O2800" s="205" t="s">
        <v>2276</v>
      </c>
      <c r="P2800" s="205" t="s">
        <v>2276</v>
      </c>
      <c r="Q2800" s="205" t="s">
        <v>2276</v>
      </c>
      <c r="R2800" s="205" t="s">
        <v>2276</v>
      </c>
      <c r="S2800" s="205" t="s">
        <v>2276</v>
      </c>
      <c r="T2800" s="205" t="s">
        <v>2276</v>
      </c>
      <c r="U2800" s="205" t="s">
        <v>2276</v>
      </c>
      <c r="V2800" s="205" t="s">
        <v>2276</v>
      </c>
      <c r="W2800" s="205" t="s">
        <v>2276</v>
      </c>
      <c r="X2800" s="205" t="s">
        <v>68</v>
      </c>
      <c r="Y2800" s="205" t="s">
        <v>86</v>
      </c>
      <c r="Z2800" s="205" t="s">
        <v>76</v>
      </c>
      <c r="AA2800" s="205"/>
      <c r="AB2800" s="205"/>
    </row>
    <row r="2801" spans="1:28" ht="34.5" customHeight="1">
      <c r="A2801" s="152" t="str">
        <f>'Reported burning'!A2807</f>
        <v>305ad</v>
      </c>
      <c r="B2801" s="152" t="str">
        <f>'Reported burning'!B2807</f>
        <v>305ad.7</v>
      </c>
      <c r="C2801" s="152" t="str">
        <f>'Reported burning'!C2807</f>
        <v>Human, deliberate</v>
      </c>
      <c r="D2801" s="152" t="str">
        <f>'Reported burning'!D2807</f>
        <v>Pyrome management</v>
      </c>
      <c r="E2801" s="152" t="str">
        <f>'Reported burning'!E2807</f>
        <v>Fire suppression agent</v>
      </c>
      <c r="F2801" s="152" t="str">
        <f>'Reported burning'!F2807</f>
        <v>ND</v>
      </c>
      <c r="G2801" s="152" t="str">
        <f>'Reported burning'!G2807</f>
        <v>ND</v>
      </c>
      <c r="H2801" s="152" t="str">
        <f>'Reported burning'!H2807</f>
        <v>Presence</v>
      </c>
      <c r="I2801" s="205"/>
      <c r="J2801" s="205" t="s">
        <v>2276</v>
      </c>
      <c r="K2801" s="205" t="s">
        <v>2276</v>
      </c>
      <c r="L2801" s="205" t="s">
        <v>2276</v>
      </c>
      <c r="M2801" s="205" t="s">
        <v>2276</v>
      </c>
      <c r="N2801" s="205" t="s">
        <v>2276</v>
      </c>
      <c r="O2801" s="205" t="s">
        <v>2276</v>
      </c>
      <c r="P2801" s="205" t="s">
        <v>2276</v>
      </c>
      <c r="Q2801" s="205" t="s">
        <v>2276</v>
      </c>
      <c r="R2801" s="205" t="s">
        <v>2276</v>
      </c>
      <c r="S2801" s="205" t="s">
        <v>2276</v>
      </c>
      <c r="T2801" s="205" t="s">
        <v>2276</v>
      </c>
      <c r="U2801" s="205" t="s">
        <v>2276</v>
      </c>
      <c r="V2801" s="205" t="s">
        <v>2276</v>
      </c>
      <c r="W2801" s="205" t="s">
        <v>2276</v>
      </c>
      <c r="X2801" s="205" t="s">
        <v>68</v>
      </c>
      <c r="Y2801" s="205" t="s">
        <v>86</v>
      </c>
      <c r="Z2801" s="205" t="s">
        <v>76</v>
      </c>
      <c r="AA2801" s="205"/>
      <c r="AB2801" s="205"/>
    </row>
    <row r="2802" spans="1:28" ht="34.5" customHeight="1">
      <c r="A2802" s="152" t="str">
        <f>'Reported burning'!A2808</f>
        <v>305ae</v>
      </c>
      <c r="B2802" s="152" t="str">
        <f>'Reported burning'!B2808</f>
        <v>305ae.7</v>
      </c>
      <c r="C2802" s="152" t="str">
        <f>'Reported burning'!C2808</f>
        <v>Human, deliberate</v>
      </c>
      <c r="D2802" s="152" t="str">
        <f>'Reported burning'!D2808</f>
        <v>Pyrome management</v>
      </c>
      <c r="E2802" s="152" t="str">
        <f>'Reported burning'!E2808</f>
        <v>Fire suppression agent</v>
      </c>
      <c r="F2802" s="152" t="str">
        <f>'Reported burning'!F2808</f>
        <v>ND</v>
      </c>
      <c r="G2802" s="152" t="str">
        <f>'Reported burning'!G2808</f>
        <v>ND</v>
      </c>
      <c r="H2802" s="152" t="str">
        <f>'Reported burning'!H2808</f>
        <v>Presence</v>
      </c>
      <c r="I2802" s="205"/>
      <c r="J2802" s="205" t="s">
        <v>2276</v>
      </c>
      <c r="K2802" s="205" t="s">
        <v>2276</v>
      </c>
      <c r="L2802" s="205" t="s">
        <v>2276</v>
      </c>
      <c r="M2802" s="205" t="s">
        <v>2276</v>
      </c>
      <c r="N2802" s="205" t="s">
        <v>2276</v>
      </c>
      <c r="O2802" s="205" t="s">
        <v>2276</v>
      </c>
      <c r="P2802" s="205" t="s">
        <v>2276</v>
      </c>
      <c r="Q2802" s="205" t="s">
        <v>2276</v>
      </c>
      <c r="R2802" s="205" t="s">
        <v>2276</v>
      </c>
      <c r="S2802" s="205" t="s">
        <v>2276</v>
      </c>
      <c r="T2802" s="205" t="s">
        <v>2276</v>
      </c>
      <c r="U2802" s="205" t="s">
        <v>2276</v>
      </c>
      <c r="V2802" s="205" t="s">
        <v>2276</v>
      </c>
      <c r="W2802" s="205" t="s">
        <v>2276</v>
      </c>
      <c r="X2802" s="205" t="s">
        <v>68</v>
      </c>
      <c r="Y2802" s="205" t="s">
        <v>86</v>
      </c>
      <c r="Z2802" s="205" t="s">
        <v>76</v>
      </c>
      <c r="AA2802" s="205"/>
      <c r="AB2802" s="205"/>
    </row>
    <row r="2803" spans="1:28" ht="34.5" customHeight="1">
      <c r="A2803" s="152" t="str">
        <f>'Reported burning'!A2809</f>
        <v>305n</v>
      </c>
      <c r="B2803" s="152" t="str">
        <f>'Reported burning'!B2809</f>
        <v>305n.8</v>
      </c>
      <c r="C2803" s="152" t="str">
        <f>'Reported burning'!C2809</f>
        <v>Human, deliberate</v>
      </c>
      <c r="D2803" s="152" t="str">
        <f>'Reported burning'!D2809</f>
        <v>Pyrome management</v>
      </c>
      <c r="E2803" s="152" t="str">
        <f>'Reported burning'!E2809</f>
        <v>Fire suppression agent</v>
      </c>
      <c r="F2803" s="152" t="str">
        <f>'Reported burning'!F2809</f>
        <v>ND</v>
      </c>
      <c r="G2803" s="152" t="str">
        <f>'Reported burning'!G2809</f>
        <v>ND</v>
      </c>
      <c r="H2803" s="152" t="str">
        <f>'Reported burning'!H2809</f>
        <v>Presence</v>
      </c>
      <c r="I2803" s="205"/>
      <c r="J2803" s="205" t="s">
        <v>2276</v>
      </c>
      <c r="K2803" s="205" t="s">
        <v>2276</v>
      </c>
      <c r="L2803" s="205" t="s">
        <v>2276</v>
      </c>
      <c r="M2803" s="205" t="s">
        <v>2276</v>
      </c>
      <c r="N2803" s="205" t="s">
        <v>2276</v>
      </c>
      <c r="O2803" s="205" t="s">
        <v>2276</v>
      </c>
      <c r="P2803" s="205" t="s">
        <v>2276</v>
      </c>
      <c r="Q2803" s="205" t="s">
        <v>2276</v>
      </c>
      <c r="R2803" s="205" t="s">
        <v>2276</v>
      </c>
      <c r="S2803" s="205" t="s">
        <v>2276</v>
      </c>
      <c r="T2803" s="205" t="s">
        <v>2276</v>
      </c>
      <c r="U2803" s="205" t="s">
        <v>2276</v>
      </c>
      <c r="V2803" s="205" t="s">
        <v>2276</v>
      </c>
      <c r="W2803" s="205" t="s">
        <v>2276</v>
      </c>
      <c r="X2803" s="205" t="s">
        <v>68</v>
      </c>
      <c r="Y2803" s="205" t="s">
        <v>86</v>
      </c>
      <c r="Z2803" s="205" t="s">
        <v>76</v>
      </c>
      <c r="AA2803" s="205"/>
      <c r="AB2803" s="205"/>
    </row>
    <row r="2804" spans="1:28" ht="34.5" customHeight="1">
      <c r="A2804" s="152" t="str">
        <f>'Reported burning'!A2810</f>
        <v>305o</v>
      </c>
      <c r="B2804" s="152" t="str">
        <f>'Reported burning'!B2810</f>
        <v>305o.8</v>
      </c>
      <c r="C2804" s="152" t="str">
        <f>'Reported burning'!C2810</f>
        <v>Human, deliberate</v>
      </c>
      <c r="D2804" s="152" t="str">
        <f>'Reported burning'!D2810</f>
        <v>Pyrome management</v>
      </c>
      <c r="E2804" s="152" t="str">
        <f>'Reported burning'!E2810</f>
        <v>Fire suppression agent</v>
      </c>
      <c r="F2804" s="152" t="str">
        <f>'Reported burning'!F2810</f>
        <v>ND</v>
      </c>
      <c r="G2804" s="152" t="str">
        <f>'Reported burning'!G2810</f>
        <v>ND</v>
      </c>
      <c r="H2804" s="152" t="str">
        <f>'Reported burning'!H2810</f>
        <v>Presence</v>
      </c>
      <c r="I2804" s="205"/>
      <c r="J2804" s="205" t="s">
        <v>2276</v>
      </c>
      <c r="K2804" s="205" t="s">
        <v>2276</v>
      </c>
      <c r="L2804" s="205" t="s">
        <v>2276</v>
      </c>
      <c r="M2804" s="205" t="s">
        <v>2276</v>
      </c>
      <c r="N2804" s="205" t="s">
        <v>2276</v>
      </c>
      <c r="O2804" s="205" t="s">
        <v>2276</v>
      </c>
      <c r="P2804" s="205" t="s">
        <v>2276</v>
      </c>
      <c r="Q2804" s="205" t="s">
        <v>2276</v>
      </c>
      <c r="R2804" s="205" t="s">
        <v>2276</v>
      </c>
      <c r="S2804" s="205" t="s">
        <v>2276</v>
      </c>
      <c r="T2804" s="205" t="s">
        <v>2276</v>
      </c>
      <c r="U2804" s="205" t="s">
        <v>2276</v>
      </c>
      <c r="V2804" s="205" t="s">
        <v>2276</v>
      </c>
      <c r="W2804" s="205" t="s">
        <v>2276</v>
      </c>
      <c r="X2804" s="205" t="s">
        <v>68</v>
      </c>
      <c r="Y2804" s="205" t="s">
        <v>86</v>
      </c>
      <c r="Z2804" s="205" t="s">
        <v>76</v>
      </c>
      <c r="AA2804" s="205"/>
      <c r="AB2804" s="205"/>
    </row>
    <row r="2805" spans="1:28" ht="34.5" customHeight="1">
      <c r="A2805" s="152" t="str">
        <f>'Reported burning'!A2811</f>
        <v>305p</v>
      </c>
      <c r="B2805" s="152" t="str">
        <f>'Reported burning'!B2811</f>
        <v>305p.8</v>
      </c>
      <c r="C2805" s="152" t="str">
        <f>'Reported burning'!C2811</f>
        <v>Human, deliberate</v>
      </c>
      <c r="D2805" s="152" t="str">
        <f>'Reported burning'!D2811</f>
        <v>Pyrome management</v>
      </c>
      <c r="E2805" s="152" t="str">
        <f>'Reported burning'!E2811</f>
        <v>Fire suppression agent</v>
      </c>
      <c r="F2805" s="152" t="str">
        <f>'Reported burning'!F2811</f>
        <v>ND</v>
      </c>
      <c r="G2805" s="152" t="str">
        <f>'Reported burning'!G2811</f>
        <v>ND</v>
      </c>
      <c r="H2805" s="152" t="str">
        <f>'Reported burning'!H2811</f>
        <v>Presence</v>
      </c>
      <c r="I2805" s="205"/>
      <c r="J2805" s="205" t="s">
        <v>2276</v>
      </c>
      <c r="K2805" s="205" t="s">
        <v>2276</v>
      </c>
      <c r="L2805" s="205" t="s">
        <v>2276</v>
      </c>
      <c r="M2805" s="205" t="s">
        <v>2276</v>
      </c>
      <c r="N2805" s="205" t="s">
        <v>2276</v>
      </c>
      <c r="O2805" s="205" t="s">
        <v>2276</v>
      </c>
      <c r="P2805" s="205" t="s">
        <v>2276</v>
      </c>
      <c r="Q2805" s="205" t="s">
        <v>2276</v>
      </c>
      <c r="R2805" s="205" t="s">
        <v>2276</v>
      </c>
      <c r="S2805" s="205" t="s">
        <v>2276</v>
      </c>
      <c r="T2805" s="205" t="s">
        <v>2276</v>
      </c>
      <c r="U2805" s="205" t="s">
        <v>2276</v>
      </c>
      <c r="V2805" s="205" t="s">
        <v>2276</v>
      </c>
      <c r="W2805" s="205" t="s">
        <v>2276</v>
      </c>
      <c r="X2805" s="205" t="s">
        <v>68</v>
      </c>
      <c r="Y2805" s="205" t="s">
        <v>86</v>
      </c>
      <c r="Z2805" s="205" t="s">
        <v>76</v>
      </c>
      <c r="AA2805" s="205"/>
      <c r="AB2805" s="205"/>
    </row>
    <row r="2806" spans="1:28" ht="34.5" customHeight="1">
      <c r="A2806" s="152" t="str">
        <f>'Reported burning'!A2812</f>
        <v>305q</v>
      </c>
      <c r="B2806" s="152" t="str">
        <f>'Reported burning'!B2812</f>
        <v>305q.8</v>
      </c>
      <c r="C2806" s="152" t="str">
        <f>'Reported burning'!C2812</f>
        <v>Human, deliberate</v>
      </c>
      <c r="D2806" s="152" t="str">
        <f>'Reported burning'!D2812</f>
        <v>Pyrome management</v>
      </c>
      <c r="E2806" s="152" t="str">
        <f>'Reported burning'!E2812</f>
        <v>Fire suppression agent</v>
      </c>
      <c r="F2806" s="152" t="str">
        <f>'Reported burning'!F2812</f>
        <v>ND</v>
      </c>
      <c r="G2806" s="152" t="str">
        <f>'Reported burning'!G2812</f>
        <v>ND</v>
      </c>
      <c r="H2806" s="152" t="str">
        <f>'Reported burning'!H2812</f>
        <v>Presence</v>
      </c>
      <c r="I2806" s="205"/>
      <c r="J2806" s="205" t="s">
        <v>2276</v>
      </c>
      <c r="K2806" s="205" t="s">
        <v>2276</v>
      </c>
      <c r="L2806" s="205" t="s">
        <v>2276</v>
      </c>
      <c r="M2806" s="205" t="s">
        <v>2276</v>
      </c>
      <c r="N2806" s="205" t="s">
        <v>2276</v>
      </c>
      <c r="O2806" s="205" t="s">
        <v>2276</v>
      </c>
      <c r="P2806" s="205" t="s">
        <v>2276</v>
      </c>
      <c r="Q2806" s="205" t="s">
        <v>2276</v>
      </c>
      <c r="R2806" s="205" t="s">
        <v>2276</v>
      </c>
      <c r="S2806" s="205" t="s">
        <v>2276</v>
      </c>
      <c r="T2806" s="205" t="s">
        <v>2276</v>
      </c>
      <c r="U2806" s="205" t="s">
        <v>2276</v>
      </c>
      <c r="V2806" s="205" t="s">
        <v>2276</v>
      </c>
      <c r="W2806" s="205" t="s">
        <v>2276</v>
      </c>
      <c r="X2806" s="205" t="s">
        <v>68</v>
      </c>
      <c r="Y2806" s="205" t="s">
        <v>86</v>
      </c>
      <c r="Z2806" s="205" t="s">
        <v>76</v>
      </c>
      <c r="AA2806" s="205"/>
      <c r="AB2806" s="205"/>
    </row>
    <row r="2807" spans="1:28" ht="34.5" customHeight="1">
      <c r="A2807" s="152" t="str">
        <f>'Reported burning'!A2813</f>
        <v>305r</v>
      </c>
      <c r="B2807" s="152" t="str">
        <f>'Reported burning'!B2813</f>
        <v>305r.8</v>
      </c>
      <c r="C2807" s="152" t="str">
        <f>'Reported burning'!C2813</f>
        <v>Human, deliberate</v>
      </c>
      <c r="D2807" s="152" t="str">
        <f>'Reported burning'!D2813</f>
        <v>Pyrome management</v>
      </c>
      <c r="E2807" s="152" t="str">
        <f>'Reported burning'!E2813</f>
        <v>Fire suppression agent</v>
      </c>
      <c r="F2807" s="152" t="str">
        <f>'Reported burning'!F2813</f>
        <v>ND</v>
      </c>
      <c r="G2807" s="152" t="str">
        <f>'Reported burning'!G2813</f>
        <v>ND</v>
      </c>
      <c r="H2807" s="152" t="str">
        <f>'Reported burning'!H2813</f>
        <v>Absence</v>
      </c>
      <c r="I2807" s="205"/>
      <c r="J2807" s="21" t="s">
        <v>2364</v>
      </c>
      <c r="K2807" s="21" t="s">
        <v>2364</v>
      </c>
      <c r="L2807" s="21" t="s">
        <v>2364</v>
      </c>
      <c r="M2807" s="21" t="s">
        <v>2364</v>
      </c>
      <c r="N2807" s="21" t="s">
        <v>2364</v>
      </c>
      <c r="O2807" s="21" t="s">
        <v>2364</v>
      </c>
      <c r="P2807" s="21" t="s">
        <v>2364</v>
      </c>
      <c r="Q2807" s="21" t="s">
        <v>2364</v>
      </c>
      <c r="R2807" s="21" t="s">
        <v>2364</v>
      </c>
      <c r="S2807" s="21" t="s">
        <v>2364</v>
      </c>
      <c r="T2807" s="21" t="s">
        <v>2364</v>
      </c>
      <c r="U2807" s="21" t="s">
        <v>2364</v>
      </c>
      <c r="V2807" s="21" t="s">
        <v>2364</v>
      </c>
      <c r="W2807" s="205" t="s">
        <v>2276</v>
      </c>
      <c r="X2807" s="205" t="s">
        <v>68</v>
      </c>
      <c r="Y2807" s="205" t="s">
        <v>86</v>
      </c>
      <c r="Z2807" s="205" t="s">
        <v>76</v>
      </c>
      <c r="AA2807" s="205"/>
      <c r="AB2807" s="205"/>
    </row>
    <row r="2808" spans="1:28" ht="34.5" customHeight="1">
      <c r="A2808" s="152" t="str">
        <f>'Reported burning'!A2814</f>
        <v>305s</v>
      </c>
      <c r="B2808" s="152" t="str">
        <f>'Reported burning'!B2814</f>
        <v>305s.8</v>
      </c>
      <c r="C2808" s="152" t="str">
        <f>'Reported burning'!C2814</f>
        <v>Human, deliberate</v>
      </c>
      <c r="D2808" s="152" t="str">
        <f>'Reported burning'!D2814</f>
        <v>Pyrome management</v>
      </c>
      <c r="E2808" s="152" t="str">
        <f>'Reported burning'!E2814</f>
        <v>Fire suppression agent</v>
      </c>
      <c r="F2808" s="152" t="str">
        <f>'Reported burning'!F2814</f>
        <v>ND</v>
      </c>
      <c r="G2808" s="152" t="str">
        <f>'Reported burning'!G2814</f>
        <v>ND</v>
      </c>
      <c r="H2808" s="152" t="str">
        <f>'Reported burning'!H2814</f>
        <v>Absence</v>
      </c>
      <c r="I2808" s="205"/>
      <c r="J2808" s="21" t="s">
        <v>2364</v>
      </c>
      <c r="K2808" s="21" t="s">
        <v>2364</v>
      </c>
      <c r="L2808" s="21" t="s">
        <v>2364</v>
      </c>
      <c r="M2808" s="21" t="s">
        <v>2364</v>
      </c>
      <c r="N2808" s="21" t="s">
        <v>2364</v>
      </c>
      <c r="O2808" s="21" t="s">
        <v>2364</v>
      </c>
      <c r="P2808" s="21" t="s">
        <v>2364</v>
      </c>
      <c r="Q2808" s="21" t="s">
        <v>2364</v>
      </c>
      <c r="R2808" s="21" t="s">
        <v>2364</v>
      </c>
      <c r="S2808" s="21" t="s">
        <v>2364</v>
      </c>
      <c r="T2808" s="21" t="s">
        <v>2364</v>
      </c>
      <c r="U2808" s="21" t="s">
        <v>2364</v>
      </c>
      <c r="V2808" s="21" t="s">
        <v>2364</v>
      </c>
      <c r="W2808" s="205" t="s">
        <v>2276</v>
      </c>
      <c r="X2808" s="205" t="s">
        <v>68</v>
      </c>
      <c r="Y2808" s="205" t="s">
        <v>86</v>
      </c>
      <c r="Z2808" s="205" t="s">
        <v>76</v>
      </c>
      <c r="AA2808" s="205"/>
      <c r="AB2808" s="205"/>
    </row>
    <row r="2809" spans="1:28" ht="34.5" customHeight="1">
      <c r="A2809" s="152" t="str">
        <f>'Reported burning'!A2815</f>
        <v>305t</v>
      </c>
      <c r="B2809" s="152" t="str">
        <f>'Reported burning'!B2815</f>
        <v>305t.8</v>
      </c>
      <c r="C2809" s="152" t="str">
        <f>'Reported burning'!C2815</f>
        <v>Human, deliberate</v>
      </c>
      <c r="D2809" s="152" t="str">
        <f>'Reported burning'!D2815</f>
        <v>Pyrome management</v>
      </c>
      <c r="E2809" s="152" t="str">
        <f>'Reported burning'!E2815</f>
        <v>Fire suppression agent</v>
      </c>
      <c r="F2809" s="152" t="str">
        <f>'Reported burning'!F2815</f>
        <v>ND</v>
      </c>
      <c r="G2809" s="152" t="str">
        <f>'Reported burning'!G2815</f>
        <v>ND</v>
      </c>
      <c r="H2809" s="152" t="str">
        <f>'Reported burning'!H2815</f>
        <v>Absence</v>
      </c>
      <c r="I2809" s="205"/>
      <c r="J2809" s="21" t="s">
        <v>2364</v>
      </c>
      <c r="K2809" s="21" t="s">
        <v>2364</v>
      </c>
      <c r="L2809" s="21" t="s">
        <v>2364</v>
      </c>
      <c r="M2809" s="21" t="s">
        <v>2364</v>
      </c>
      <c r="N2809" s="21" t="s">
        <v>2364</v>
      </c>
      <c r="O2809" s="21" t="s">
        <v>2364</v>
      </c>
      <c r="P2809" s="21" t="s">
        <v>2364</v>
      </c>
      <c r="Q2809" s="21" t="s">
        <v>2364</v>
      </c>
      <c r="R2809" s="21" t="s">
        <v>2364</v>
      </c>
      <c r="S2809" s="21" t="s">
        <v>2364</v>
      </c>
      <c r="T2809" s="21" t="s">
        <v>2364</v>
      </c>
      <c r="U2809" s="21" t="s">
        <v>2364</v>
      </c>
      <c r="V2809" s="21" t="s">
        <v>2364</v>
      </c>
      <c r="W2809" s="205" t="s">
        <v>2276</v>
      </c>
      <c r="X2809" s="205" t="s">
        <v>68</v>
      </c>
      <c r="Y2809" s="205" t="s">
        <v>86</v>
      </c>
      <c r="Z2809" s="205" t="s">
        <v>76</v>
      </c>
      <c r="AA2809" s="205"/>
      <c r="AB2809" s="205"/>
    </row>
    <row r="2810" spans="1:28" ht="34.5" customHeight="1">
      <c r="A2810" s="152" t="str">
        <f>'Reported burning'!A2816</f>
        <v>305u</v>
      </c>
      <c r="B2810" s="152" t="str">
        <f>'Reported burning'!B2816</f>
        <v>305u.8</v>
      </c>
      <c r="C2810" s="152" t="str">
        <f>'Reported burning'!C2816</f>
        <v>Human, deliberate</v>
      </c>
      <c r="D2810" s="152" t="str">
        <f>'Reported burning'!D2816</f>
        <v>Pyrome management</v>
      </c>
      <c r="E2810" s="152" t="str">
        <f>'Reported burning'!E2816</f>
        <v>Fire suppression agent</v>
      </c>
      <c r="F2810" s="152" t="str">
        <f>'Reported burning'!F2816</f>
        <v>ND</v>
      </c>
      <c r="G2810" s="152" t="str">
        <f>'Reported burning'!G2816</f>
        <v>ND</v>
      </c>
      <c r="H2810" s="152" t="str">
        <f>'Reported burning'!H2816</f>
        <v>Presence</v>
      </c>
      <c r="I2810" s="205"/>
      <c r="J2810" s="205" t="s">
        <v>2276</v>
      </c>
      <c r="K2810" s="205" t="s">
        <v>2276</v>
      </c>
      <c r="L2810" s="205" t="s">
        <v>2276</v>
      </c>
      <c r="M2810" s="205" t="s">
        <v>2276</v>
      </c>
      <c r="N2810" s="205" t="s">
        <v>2276</v>
      </c>
      <c r="O2810" s="205" t="s">
        <v>2276</v>
      </c>
      <c r="P2810" s="205" t="s">
        <v>2276</v>
      </c>
      <c r="Q2810" s="205" t="s">
        <v>2276</v>
      </c>
      <c r="R2810" s="205" t="s">
        <v>2276</v>
      </c>
      <c r="S2810" s="205" t="s">
        <v>2276</v>
      </c>
      <c r="T2810" s="205" t="s">
        <v>2276</v>
      </c>
      <c r="U2810" s="205" t="s">
        <v>2276</v>
      </c>
      <c r="V2810" s="205" t="s">
        <v>2276</v>
      </c>
      <c r="W2810" s="205" t="s">
        <v>2276</v>
      </c>
      <c r="X2810" s="205" t="s">
        <v>68</v>
      </c>
      <c r="Y2810" s="205" t="s">
        <v>86</v>
      </c>
      <c r="Z2810" s="205" t="s">
        <v>76</v>
      </c>
      <c r="AA2810" s="205"/>
      <c r="AB2810" s="205"/>
    </row>
    <row r="2811" spans="1:28" ht="34.5" customHeight="1">
      <c r="A2811" s="152" t="str">
        <f>'Reported burning'!A2817</f>
        <v>305v</v>
      </c>
      <c r="B2811" s="152" t="str">
        <f>'Reported burning'!B2817</f>
        <v>305v.8</v>
      </c>
      <c r="C2811" s="152" t="str">
        <f>'Reported burning'!C2817</f>
        <v>Human, deliberate</v>
      </c>
      <c r="D2811" s="152" t="str">
        <f>'Reported burning'!D2817</f>
        <v>Pyrome management</v>
      </c>
      <c r="E2811" s="152" t="str">
        <f>'Reported burning'!E2817</f>
        <v>Fire suppression agent</v>
      </c>
      <c r="F2811" s="152" t="str">
        <f>'Reported burning'!F2817</f>
        <v>ND</v>
      </c>
      <c r="G2811" s="152" t="str">
        <f>'Reported burning'!G2817</f>
        <v>ND</v>
      </c>
      <c r="H2811" s="152" t="str">
        <f>'Reported burning'!H2817</f>
        <v>Presence</v>
      </c>
      <c r="I2811" s="205"/>
      <c r="J2811" s="205" t="s">
        <v>2276</v>
      </c>
      <c r="K2811" s="205" t="s">
        <v>2276</v>
      </c>
      <c r="L2811" s="205" t="s">
        <v>2276</v>
      </c>
      <c r="M2811" s="205" t="s">
        <v>2276</v>
      </c>
      <c r="N2811" s="205" t="s">
        <v>2276</v>
      </c>
      <c r="O2811" s="205" t="s">
        <v>2276</v>
      </c>
      <c r="P2811" s="205" t="s">
        <v>2276</v>
      </c>
      <c r="Q2811" s="205" t="s">
        <v>2276</v>
      </c>
      <c r="R2811" s="205" t="s">
        <v>2276</v>
      </c>
      <c r="S2811" s="205" t="s">
        <v>2276</v>
      </c>
      <c r="T2811" s="205" t="s">
        <v>2276</v>
      </c>
      <c r="U2811" s="205" t="s">
        <v>2276</v>
      </c>
      <c r="V2811" s="205" t="s">
        <v>2276</v>
      </c>
      <c r="W2811" s="205" t="s">
        <v>2276</v>
      </c>
      <c r="X2811" s="205" t="s">
        <v>68</v>
      </c>
      <c r="Y2811" s="205" t="s">
        <v>86</v>
      </c>
      <c r="Z2811" s="205" t="s">
        <v>76</v>
      </c>
      <c r="AA2811" s="205"/>
      <c r="AB2811" s="205"/>
    </row>
    <row r="2812" spans="1:28" ht="34.5" customHeight="1">
      <c r="A2812" s="152" t="str">
        <f>'Reported burning'!A2818</f>
        <v>305w</v>
      </c>
      <c r="B2812" s="152" t="str">
        <f>'Reported burning'!B2818</f>
        <v>305w.8</v>
      </c>
      <c r="C2812" s="152" t="str">
        <f>'Reported burning'!C2818</f>
        <v>Human, deliberate</v>
      </c>
      <c r="D2812" s="152" t="str">
        <f>'Reported burning'!D2818</f>
        <v>Pyrome management</v>
      </c>
      <c r="E2812" s="152" t="str">
        <f>'Reported burning'!E2818</f>
        <v>Fire suppression agent</v>
      </c>
      <c r="F2812" s="152" t="str">
        <f>'Reported burning'!F2818</f>
        <v>ND</v>
      </c>
      <c r="G2812" s="152" t="str">
        <f>'Reported burning'!G2818</f>
        <v>ND</v>
      </c>
      <c r="H2812" s="152" t="str">
        <f>'Reported burning'!H2818</f>
        <v>Presence</v>
      </c>
      <c r="I2812" s="205"/>
      <c r="J2812" s="205" t="s">
        <v>2276</v>
      </c>
      <c r="K2812" s="205" t="s">
        <v>2276</v>
      </c>
      <c r="L2812" s="205" t="s">
        <v>2276</v>
      </c>
      <c r="M2812" s="205" t="s">
        <v>2276</v>
      </c>
      <c r="N2812" s="205" t="s">
        <v>2276</v>
      </c>
      <c r="O2812" s="205" t="s">
        <v>2276</v>
      </c>
      <c r="P2812" s="205" t="s">
        <v>2276</v>
      </c>
      <c r="Q2812" s="205" t="s">
        <v>2276</v>
      </c>
      <c r="R2812" s="205" t="s">
        <v>2276</v>
      </c>
      <c r="S2812" s="205" t="s">
        <v>2276</v>
      </c>
      <c r="T2812" s="205" t="s">
        <v>2276</v>
      </c>
      <c r="U2812" s="205" t="s">
        <v>2276</v>
      </c>
      <c r="V2812" s="205" t="s">
        <v>2276</v>
      </c>
      <c r="W2812" s="205" t="s">
        <v>2276</v>
      </c>
      <c r="X2812" s="205" t="s">
        <v>68</v>
      </c>
      <c r="Y2812" s="205" t="s">
        <v>86</v>
      </c>
      <c r="Z2812" s="205" t="s">
        <v>76</v>
      </c>
      <c r="AA2812" s="205"/>
      <c r="AB2812" s="205"/>
    </row>
    <row r="2813" spans="1:28" ht="34.5" customHeight="1">
      <c r="A2813" s="152" t="str">
        <f>'Reported burning'!A2819</f>
        <v>305x</v>
      </c>
      <c r="B2813" s="152" t="str">
        <f>'Reported burning'!B2819</f>
        <v>305x.8</v>
      </c>
      <c r="C2813" s="152" t="str">
        <f>'Reported burning'!C2819</f>
        <v>Human, deliberate</v>
      </c>
      <c r="D2813" s="152" t="str">
        <f>'Reported burning'!D2819</f>
        <v>Pyrome management</v>
      </c>
      <c r="E2813" s="152" t="str">
        <f>'Reported burning'!E2819</f>
        <v>Fire suppression agent</v>
      </c>
      <c r="F2813" s="152" t="str">
        <f>'Reported burning'!F2819</f>
        <v>ND</v>
      </c>
      <c r="G2813" s="152" t="str">
        <f>'Reported burning'!G2819</f>
        <v>ND</v>
      </c>
      <c r="H2813" s="152" t="str">
        <f>'Reported burning'!H2819</f>
        <v>Presence</v>
      </c>
      <c r="I2813" s="205"/>
      <c r="J2813" s="205" t="s">
        <v>2276</v>
      </c>
      <c r="K2813" s="205" t="s">
        <v>2276</v>
      </c>
      <c r="L2813" s="205" t="s">
        <v>2276</v>
      </c>
      <c r="M2813" s="205" t="s">
        <v>2276</v>
      </c>
      <c r="N2813" s="205" t="s">
        <v>2276</v>
      </c>
      <c r="O2813" s="205" t="s">
        <v>2276</v>
      </c>
      <c r="P2813" s="205" t="s">
        <v>2276</v>
      </c>
      <c r="Q2813" s="205" t="s">
        <v>2276</v>
      </c>
      <c r="R2813" s="205" t="s">
        <v>2276</v>
      </c>
      <c r="S2813" s="205" t="s">
        <v>2276</v>
      </c>
      <c r="T2813" s="205" t="s">
        <v>2276</v>
      </c>
      <c r="U2813" s="205" t="s">
        <v>2276</v>
      </c>
      <c r="V2813" s="205" t="s">
        <v>2276</v>
      </c>
      <c r="W2813" s="205" t="s">
        <v>2276</v>
      </c>
      <c r="X2813" s="205" t="s">
        <v>68</v>
      </c>
      <c r="Y2813" s="205" t="s">
        <v>86</v>
      </c>
      <c r="Z2813" s="205" t="s">
        <v>76</v>
      </c>
      <c r="AA2813" s="205"/>
      <c r="AB2813" s="205"/>
    </row>
    <row r="2814" spans="1:28" ht="34.5" customHeight="1">
      <c r="A2814" s="152" t="str">
        <f>'Reported burning'!A2820</f>
        <v>305y</v>
      </c>
      <c r="B2814" s="152" t="str">
        <f>'Reported burning'!B2820</f>
        <v>305y.8</v>
      </c>
      <c r="C2814" s="152" t="str">
        <f>'Reported burning'!C2820</f>
        <v>Human, deliberate</v>
      </c>
      <c r="D2814" s="152" t="str">
        <f>'Reported burning'!D2820</f>
        <v>Pyrome management</v>
      </c>
      <c r="E2814" s="152" t="str">
        <f>'Reported burning'!E2820</f>
        <v>Fire suppression agent</v>
      </c>
      <c r="F2814" s="152" t="str">
        <f>'Reported burning'!F2820</f>
        <v>ND</v>
      </c>
      <c r="G2814" s="152" t="str">
        <f>'Reported burning'!G2820</f>
        <v>ND</v>
      </c>
      <c r="H2814" s="152" t="str">
        <f>'Reported burning'!H2820</f>
        <v>Presence</v>
      </c>
      <c r="I2814" s="205"/>
      <c r="J2814" s="205" t="s">
        <v>2276</v>
      </c>
      <c r="K2814" s="205" t="s">
        <v>2276</v>
      </c>
      <c r="L2814" s="205" t="s">
        <v>2276</v>
      </c>
      <c r="M2814" s="205" t="s">
        <v>2276</v>
      </c>
      <c r="N2814" s="205" t="s">
        <v>2276</v>
      </c>
      <c r="O2814" s="205" t="s">
        <v>2276</v>
      </c>
      <c r="P2814" s="205" t="s">
        <v>2276</v>
      </c>
      <c r="Q2814" s="205" t="s">
        <v>2276</v>
      </c>
      <c r="R2814" s="205" t="s">
        <v>2276</v>
      </c>
      <c r="S2814" s="205" t="s">
        <v>2276</v>
      </c>
      <c r="T2814" s="205" t="s">
        <v>2276</v>
      </c>
      <c r="U2814" s="205" t="s">
        <v>2276</v>
      </c>
      <c r="V2814" s="205" t="s">
        <v>2276</v>
      </c>
      <c r="W2814" s="205" t="s">
        <v>2276</v>
      </c>
      <c r="X2814" s="205" t="s">
        <v>68</v>
      </c>
      <c r="Y2814" s="205" t="s">
        <v>86</v>
      </c>
      <c r="Z2814" s="205" t="s">
        <v>76</v>
      </c>
      <c r="AA2814" s="205"/>
      <c r="AB2814" s="205"/>
    </row>
    <row r="2815" spans="1:28" ht="34.5" customHeight="1">
      <c r="A2815" s="152" t="str">
        <f>'Reported burning'!A2821</f>
        <v>305z</v>
      </c>
      <c r="B2815" s="152" t="str">
        <f>'Reported burning'!B2821</f>
        <v>305z.8</v>
      </c>
      <c r="C2815" s="152" t="str">
        <f>'Reported burning'!C2821</f>
        <v>Human, deliberate</v>
      </c>
      <c r="D2815" s="152" t="str">
        <f>'Reported burning'!D2821</f>
        <v>Pyrome management</v>
      </c>
      <c r="E2815" s="152" t="str">
        <f>'Reported burning'!E2821</f>
        <v>Fire suppression agent</v>
      </c>
      <c r="F2815" s="152" t="str">
        <f>'Reported burning'!F2821</f>
        <v>ND</v>
      </c>
      <c r="G2815" s="152" t="str">
        <f>'Reported burning'!G2821</f>
        <v>ND</v>
      </c>
      <c r="H2815" s="152" t="str">
        <f>'Reported burning'!H2821</f>
        <v>Presence</v>
      </c>
      <c r="I2815" s="205"/>
      <c r="J2815" s="205" t="s">
        <v>2276</v>
      </c>
      <c r="K2815" s="205" t="s">
        <v>2276</v>
      </c>
      <c r="L2815" s="205" t="s">
        <v>2276</v>
      </c>
      <c r="M2815" s="205" t="s">
        <v>2276</v>
      </c>
      <c r="N2815" s="205" t="s">
        <v>2276</v>
      </c>
      <c r="O2815" s="205" t="s">
        <v>2276</v>
      </c>
      <c r="P2815" s="205" t="s">
        <v>2276</v>
      </c>
      <c r="Q2815" s="205" t="s">
        <v>2276</v>
      </c>
      <c r="R2815" s="205" t="s">
        <v>2276</v>
      </c>
      <c r="S2815" s="205" t="s">
        <v>2276</v>
      </c>
      <c r="T2815" s="205" t="s">
        <v>2276</v>
      </c>
      <c r="U2815" s="205" t="s">
        <v>2276</v>
      </c>
      <c r="V2815" s="205" t="s">
        <v>2276</v>
      </c>
      <c r="W2815" s="205" t="s">
        <v>2276</v>
      </c>
      <c r="X2815" s="205" t="s">
        <v>68</v>
      </c>
      <c r="Y2815" s="205" t="s">
        <v>86</v>
      </c>
      <c r="Z2815" s="205" t="s">
        <v>76</v>
      </c>
      <c r="AA2815" s="205"/>
      <c r="AB2815" s="205"/>
    </row>
    <row r="2816" spans="1:28" ht="34.5" customHeight="1">
      <c r="A2816" s="152" t="str">
        <f>'Reported burning'!A2822</f>
        <v>305aa</v>
      </c>
      <c r="B2816" s="152" t="str">
        <f>'Reported burning'!B2822</f>
        <v>305aa.8</v>
      </c>
      <c r="C2816" s="152" t="str">
        <f>'Reported burning'!C2822</f>
        <v>Human, deliberate</v>
      </c>
      <c r="D2816" s="152" t="str">
        <f>'Reported burning'!D2822</f>
        <v>Pyrome management</v>
      </c>
      <c r="E2816" s="152" t="str">
        <f>'Reported burning'!E2822</f>
        <v>Fire suppression agent</v>
      </c>
      <c r="F2816" s="152" t="str">
        <f>'Reported burning'!F2822</f>
        <v>ND</v>
      </c>
      <c r="G2816" s="152" t="str">
        <f>'Reported burning'!G2822</f>
        <v>ND</v>
      </c>
      <c r="H2816" s="152" t="str">
        <f>'Reported burning'!H2822</f>
        <v>Presence</v>
      </c>
      <c r="I2816" s="205"/>
      <c r="J2816" s="205" t="s">
        <v>2276</v>
      </c>
      <c r="K2816" s="205" t="s">
        <v>2276</v>
      </c>
      <c r="L2816" s="205" t="s">
        <v>2276</v>
      </c>
      <c r="M2816" s="205" t="s">
        <v>2276</v>
      </c>
      <c r="N2816" s="205" t="s">
        <v>2276</v>
      </c>
      <c r="O2816" s="205" t="s">
        <v>2276</v>
      </c>
      <c r="P2816" s="205" t="s">
        <v>2276</v>
      </c>
      <c r="Q2816" s="205" t="s">
        <v>2276</v>
      </c>
      <c r="R2816" s="205" t="s">
        <v>2276</v>
      </c>
      <c r="S2816" s="205" t="s">
        <v>2276</v>
      </c>
      <c r="T2816" s="205" t="s">
        <v>2276</v>
      </c>
      <c r="U2816" s="205" t="s">
        <v>2276</v>
      </c>
      <c r="V2816" s="205" t="s">
        <v>2276</v>
      </c>
      <c r="W2816" s="205" t="s">
        <v>2276</v>
      </c>
      <c r="X2816" s="205" t="s">
        <v>68</v>
      </c>
      <c r="Y2816" s="205" t="s">
        <v>86</v>
      </c>
      <c r="Z2816" s="205" t="s">
        <v>76</v>
      </c>
      <c r="AA2816" s="205"/>
      <c r="AB2816" s="205"/>
    </row>
    <row r="2817" spans="1:28" ht="34.5" customHeight="1">
      <c r="A2817" s="152" t="str">
        <f>'Reported burning'!A2823</f>
        <v>305ab</v>
      </c>
      <c r="B2817" s="152" t="str">
        <f>'Reported burning'!B2823</f>
        <v>305ab.8</v>
      </c>
      <c r="C2817" s="152" t="str">
        <f>'Reported burning'!C2823</f>
        <v>Human, deliberate</v>
      </c>
      <c r="D2817" s="152" t="str">
        <f>'Reported burning'!D2823</f>
        <v>Pyrome management</v>
      </c>
      <c r="E2817" s="152" t="str">
        <f>'Reported burning'!E2823</f>
        <v>Fire suppression agent</v>
      </c>
      <c r="F2817" s="152" t="str">
        <f>'Reported burning'!F2823</f>
        <v>ND</v>
      </c>
      <c r="G2817" s="152" t="str">
        <f>'Reported burning'!G2823</f>
        <v>ND</v>
      </c>
      <c r="H2817" s="152" t="str">
        <f>'Reported burning'!H2823</f>
        <v>Presence</v>
      </c>
      <c r="I2817" s="205"/>
      <c r="J2817" s="205" t="s">
        <v>2276</v>
      </c>
      <c r="K2817" s="205" t="s">
        <v>2276</v>
      </c>
      <c r="L2817" s="205" t="s">
        <v>2276</v>
      </c>
      <c r="M2817" s="205" t="s">
        <v>2276</v>
      </c>
      <c r="N2817" s="205" t="s">
        <v>2276</v>
      </c>
      <c r="O2817" s="205" t="s">
        <v>2276</v>
      </c>
      <c r="P2817" s="205" t="s">
        <v>2276</v>
      </c>
      <c r="Q2817" s="205" t="s">
        <v>2276</v>
      </c>
      <c r="R2817" s="205" t="s">
        <v>2276</v>
      </c>
      <c r="S2817" s="205" t="s">
        <v>2276</v>
      </c>
      <c r="T2817" s="205" t="s">
        <v>2276</v>
      </c>
      <c r="U2817" s="205" t="s">
        <v>2276</v>
      </c>
      <c r="V2817" s="205" t="s">
        <v>2276</v>
      </c>
      <c r="W2817" s="205" t="s">
        <v>2276</v>
      </c>
      <c r="X2817" s="205" t="s">
        <v>68</v>
      </c>
      <c r="Y2817" s="205" t="s">
        <v>86</v>
      </c>
      <c r="Z2817" s="205" t="s">
        <v>76</v>
      </c>
      <c r="AA2817" s="205"/>
      <c r="AB2817" s="205"/>
    </row>
    <row r="2818" spans="1:28" ht="34.5" customHeight="1">
      <c r="A2818" s="152" t="str">
        <f>'Reported burning'!A2824</f>
        <v>305ac</v>
      </c>
      <c r="B2818" s="152" t="str">
        <f>'Reported burning'!B2824</f>
        <v>305ac.8</v>
      </c>
      <c r="C2818" s="152" t="str">
        <f>'Reported burning'!C2824</f>
        <v>Human, deliberate</v>
      </c>
      <c r="D2818" s="152" t="str">
        <f>'Reported burning'!D2824</f>
        <v>Pyrome management</v>
      </c>
      <c r="E2818" s="152" t="str">
        <f>'Reported burning'!E2824</f>
        <v>Fire suppression agent</v>
      </c>
      <c r="F2818" s="152" t="str">
        <f>'Reported burning'!F2824</f>
        <v>ND</v>
      </c>
      <c r="G2818" s="152" t="str">
        <f>'Reported burning'!G2824</f>
        <v>ND</v>
      </c>
      <c r="H2818" s="152" t="str">
        <f>'Reported burning'!H2824</f>
        <v>Presence</v>
      </c>
      <c r="I2818" s="205"/>
      <c r="J2818" s="205" t="s">
        <v>2276</v>
      </c>
      <c r="K2818" s="205" t="s">
        <v>2276</v>
      </c>
      <c r="L2818" s="205" t="s">
        <v>2276</v>
      </c>
      <c r="M2818" s="205" t="s">
        <v>2276</v>
      </c>
      <c r="N2818" s="205" t="s">
        <v>2276</v>
      </c>
      <c r="O2818" s="205" t="s">
        <v>2276</v>
      </c>
      <c r="P2818" s="205" t="s">
        <v>2276</v>
      </c>
      <c r="Q2818" s="205" t="s">
        <v>2276</v>
      </c>
      <c r="R2818" s="205" t="s">
        <v>2276</v>
      </c>
      <c r="S2818" s="205" t="s">
        <v>2276</v>
      </c>
      <c r="T2818" s="205" t="s">
        <v>2276</v>
      </c>
      <c r="U2818" s="205" t="s">
        <v>2276</v>
      </c>
      <c r="V2818" s="205" t="s">
        <v>2276</v>
      </c>
      <c r="W2818" s="205" t="s">
        <v>2276</v>
      </c>
      <c r="X2818" s="205" t="s">
        <v>68</v>
      </c>
      <c r="Y2818" s="205" t="s">
        <v>86</v>
      </c>
      <c r="Z2818" s="205" t="s">
        <v>76</v>
      </c>
      <c r="AA2818" s="205"/>
      <c r="AB2818" s="205"/>
    </row>
    <row r="2819" spans="1:28" ht="34.5" customHeight="1">
      <c r="A2819" s="152" t="str">
        <f>'Reported burning'!A2825</f>
        <v>305ad</v>
      </c>
      <c r="B2819" s="152" t="str">
        <f>'Reported burning'!B2825</f>
        <v>305ad.8</v>
      </c>
      <c r="C2819" s="152" t="str">
        <f>'Reported burning'!C2825</f>
        <v>Human, deliberate</v>
      </c>
      <c r="D2819" s="152" t="str">
        <f>'Reported burning'!D2825</f>
        <v>Pyrome management</v>
      </c>
      <c r="E2819" s="152" t="str">
        <f>'Reported burning'!E2825</f>
        <v>Fire suppression agent</v>
      </c>
      <c r="F2819" s="152" t="str">
        <f>'Reported burning'!F2825</f>
        <v>ND</v>
      </c>
      <c r="G2819" s="152" t="str">
        <f>'Reported burning'!G2825</f>
        <v>ND</v>
      </c>
      <c r="H2819" s="152" t="str">
        <f>'Reported burning'!H2825</f>
        <v>Presence</v>
      </c>
      <c r="I2819" s="205"/>
      <c r="J2819" s="205" t="s">
        <v>2276</v>
      </c>
      <c r="K2819" s="205" t="s">
        <v>2276</v>
      </c>
      <c r="L2819" s="205" t="s">
        <v>2276</v>
      </c>
      <c r="M2819" s="205" t="s">
        <v>2276</v>
      </c>
      <c r="N2819" s="205" t="s">
        <v>2276</v>
      </c>
      <c r="O2819" s="205" t="s">
        <v>2276</v>
      </c>
      <c r="P2819" s="205" t="s">
        <v>2276</v>
      </c>
      <c r="Q2819" s="205" t="s">
        <v>2276</v>
      </c>
      <c r="R2819" s="205" t="s">
        <v>2276</v>
      </c>
      <c r="S2819" s="205" t="s">
        <v>2276</v>
      </c>
      <c r="T2819" s="205" t="s">
        <v>2276</v>
      </c>
      <c r="U2819" s="205" t="s">
        <v>2276</v>
      </c>
      <c r="V2819" s="205" t="s">
        <v>2276</v>
      </c>
      <c r="W2819" s="205" t="s">
        <v>2276</v>
      </c>
      <c r="X2819" s="205" t="s">
        <v>68</v>
      </c>
      <c r="Y2819" s="205" t="s">
        <v>86</v>
      </c>
      <c r="Z2819" s="205" t="s">
        <v>76</v>
      </c>
      <c r="AA2819" s="205"/>
      <c r="AB2819" s="205"/>
    </row>
    <row r="2820" spans="1:28" ht="34.5" customHeight="1">
      <c r="A2820" s="152" t="str">
        <f>'Reported burning'!A2826</f>
        <v>305ae</v>
      </c>
      <c r="B2820" s="152" t="str">
        <f>'Reported burning'!B2826</f>
        <v>305ae.8</v>
      </c>
      <c r="C2820" s="152" t="str">
        <f>'Reported burning'!C2826</f>
        <v>Human, deliberate</v>
      </c>
      <c r="D2820" s="152" t="str">
        <f>'Reported burning'!D2826</f>
        <v>Pyrome management</v>
      </c>
      <c r="E2820" s="152" t="str">
        <f>'Reported burning'!E2826</f>
        <v>Fire suppression agent</v>
      </c>
      <c r="F2820" s="152" t="str">
        <f>'Reported burning'!F2826</f>
        <v>ND</v>
      </c>
      <c r="G2820" s="152" t="str">
        <f>'Reported burning'!G2826</f>
        <v>ND</v>
      </c>
      <c r="H2820" s="152" t="str">
        <f>'Reported burning'!H2826</f>
        <v>Presence</v>
      </c>
      <c r="I2820" s="205"/>
      <c r="J2820" s="205" t="s">
        <v>2276</v>
      </c>
      <c r="K2820" s="205" t="s">
        <v>2276</v>
      </c>
      <c r="L2820" s="205" t="s">
        <v>2276</v>
      </c>
      <c r="M2820" s="205" t="s">
        <v>2276</v>
      </c>
      <c r="N2820" s="205" t="s">
        <v>2276</v>
      </c>
      <c r="O2820" s="205" t="s">
        <v>2276</v>
      </c>
      <c r="P2820" s="205" t="s">
        <v>2276</v>
      </c>
      <c r="Q2820" s="205" t="s">
        <v>2276</v>
      </c>
      <c r="R2820" s="205" t="s">
        <v>2276</v>
      </c>
      <c r="S2820" s="205" t="s">
        <v>2276</v>
      </c>
      <c r="T2820" s="205" t="s">
        <v>2276</v>
      </c>
      <c r="U2820" s="205" t="s">
        <v>2276</v>
      </c>
      <c r="V2820" s="205" t="s">
        <v>2276</v>
      </c>
      <c r="W2820" s="205" t="s">
        <v>2276</v>
      </c>
      <c r="X2820" s="205" t="s">
        <v>68</v>
      </c>
      <c r="Y2820" s="205" t="s">
        <v>86</v>
      </c>
      <c r="Z2820" s="205" t="s">
        <v>76</v>
      </c>
      <c r="AA2820" s="205"/>
      <c r="AB2820" s="205"/>
    </row>
    <row r="2821" spans="1:28" ht="34.5" customHeight="1">
      <c r="A2821" s="152" t="str">
        <f>'Reported burning'!A2827</f>
        <v>305n</v>
      </c>
      <c r="B2821" s="152" t="str">
        <f>'Reported burning'!B2827</f>
        <v>305n.9</v>
      </c>
      <c r="C2821" s="152" t="str">
        <f>'Reported burning'!C2827</f>
        <v>Human, deliberate</v>
      </c>
      <c r="D2821" s="152" t="str">
        <f>'Reported burning'!D2827</f>
        <v>Pyrome management</v>
      </c>
      <c r="E2821" s="152" t="str">
        <f>'Reported burning'!E2827</f>
        <v>Fire suppression agent</v>
      </c>
      <c r="F2821" s="152" t="str">
        <f>'Reported burning'!F2827</f>
        <v>ND</v>
      </c>
      <c r="G2821" s="152" t="str">
        <f>'Reported burning'!G2827</f>
        <v>ND</v>
      </c>
      <c r="H2821" s="152" t="str">
        <f>'Reported burning'!H2827</f>
        <v>Presence</v>
      </c>
      <c r="I2821" s="205"/>
      <c r="J2821" s="205" t="s">
        <v>2276</v>
      </c>
      <c r="K2821" s="205" t="s">
        <v>2276</v>
      </c>
      <c r="L2821" s="205" t="s">
        <v>2276</v>
      </c>
      <c r="M2821" s="205" t="s">
        <v>2276</v>
      </c>
      <c r="N2821" s="205" t="s">
        <v>2276</v>
      </c>
      <c r="O2821" s="205" t="s">
        <v>2276</v>
      </c>
      <c r="P2821" s="205" t="s">
        <v>2276</v>
      </c>
      <c r="Q2821" s="205" t="s">
        <v>2276</v>
      </c>
      <c r="R2821" s="205" t="s">
        <v>2276</v>
      </c>
      <c r="S2821" s="205" t="s">
        <v>2276</v>
      </c>
      <c r="T2821" s="205" t="s">
        <v>2276</v>
      </c>
      <c r="U2821" s="205" t="s">
        <v>2276</v>
      </c>
      <c r="V2821" s="205" t="s">
        <v>2276</v>
      </c>
      <c r="W2821" s="205" t="s">
        <v>2276</v>
      </c>
      <c r="X2821" s="205" t="s">
        <v>68</v>
      </c>
      <c r="Y2821" s="205" t="s">
        <v>86</v>
      </c>
      <c r="Z2821" s="205" t="s">
        <v>76</v>
      </c>
      <c r="AA2821" s="205"/>
      <c r="AB2821" s="205"/>
    </row>
    <row r="2822" spans="1:28" ht="34.5" customHeight="1">
      <c r="A2822" s="152" t="str">
        <f>'Reported burning'!A2828</f>
        <v>305o</v>
      </c>
      <c r="B2822" s="152" t="str">
        <f>'Reported burning'!B2828</f>
        <v>305o.9</v>
      </c>
      <c r="C2822" s="152" t="str">
        <f>'Reported burning'!C2828</f>
        <v>Human, deliberate</v>
      </c>
      <c r="D2822" s="152" t="str">
        <f>'Reported burning'!D2828</f>
        <v>Pyrome management</v>
      </c>
      <c r="E2822" s="152" t="str">
        <f>'Reported burning'!E2828</f>
        <v>Fire suppression agent</v>
      </c>
      <c r="F2822" s="152" t="str">
        <f>'Reported burning'!F2828</f>
        <v>ND</v>
      </c>
      <c r="G2822" s="152" t="str">
        <f>'Reported burning'!G2828</f>
        <v>ND</v>
      </c>
      <c r="H2822" s="152" t="str">
        <f>'Reported burning'!H2828</f>
        <v>Presence</v>
      </c>
      <c r="I2822" s="205"/>
      <c r="J2822" s="205" t="s">
        <v>2276</v>
      </c>
      <c r="K2822" s="205" t="s">
        <v>2276</v>
      </c>
      <c r="L2822" s="205" t="s">
        <v>2276</v>
      </c>
      <c r="M2822" s="205" t="s">
        <v>2276</v>
      </c>
      <c r="N2822" s="205" t="s">
        <v>2276</v>
      </c>
      <c r="O2822" s="205" t="s">
        <v>2276</v>
      </c>
      <c r="P2822" s="205" t="s">
        <v>2276</v>
      </c>
      <c r="Q2822" s="205" t="s">
        <v>2276</v>
      </c>
      <c r="R2822" s="205" t="s">
        <v>2276</v>
      </c>
      <c r="S2822" s="205" t="s">
        <v>2276</v>
      </c>
      <c r="T2822" s="205" t="s">
        <v>2276</v>
      </c>
      <c r="U2822" s="205" t="s">
        <v>2276</v>
      </c>
      <c r="V2822" s="205" t="s">
        <v>2276</v>
      </c>
      <c r="W2822" s="205" t="s">
        <v>2276</v>
      </c>
      <c r="X2822" s="205" t="s">
        <v>68</v>
      </c>
      <c r="Y2822" s="205" t="s">
        <v>86</v>
      </c>
      <c r="Z2822" s="205" t="s">
        <v>76</v>
      </c>
      <c r="AA2822" s="205"/>
      <c r="AB2822" s="205"/>
    </row>
    <row r="2823" spans="1:28" ht="34.5" customHeight="1">
      <c r="A2823" s="152" t="str">
        <f>'Reported burning'!A2829</f>
        <v>305p</v>
      </c>
      <c r="B2823" s="152" t="str">
        <f>'Reported burning'!B2829</f>
        <v>305p.9</v>
      </c>
      <c r="C2823" s="152" t="str">
        <f>'Reported burning'!C2829</f>
        <v>Human, deliberate</v>
      </c>
      <c r="D2823" s="152" t="str">
        <f>'Reported burning'!D2829</f>
        <v>Pyrome management</v>
      </c>
      <c r="E2823" s="152" t="str">
        <f>'Reported burning'!E2829</f>
        <v>Fire suppression agent</v>
      </c>
      <c r="F2823" s="152" t="str">
        <f>'Reported burning'!F2829</f>
        <v>ND</v>
      </c>
      <c r="G2823" s="152" t="str">
        <f>'Reported burning'!G2829</f>
        <v>ND</v>
      </c>
      <c r="H2823" s="152" t="str">
        <f>'Reported burning'!H2829</f>
        <v>Presence</v>
      </c>
      <c r="I2823" s="205"/>
      <c r="J2823" s="205" t="s">
        <v>2276</v>
      </c>
      <c r="K2823" s="205" t="s">
        <v>2276</v>
      </c>
      <c r="L2823" s="205" t="s">
        <v>2276</v>
      </c>
      <c r="M2823" s="205" t="s">
        <v>2276</v>
      </c>
      <c r="N2823" s="205" t="s">
        <v>2276</v>
      </c>
      <c r="O2823" s="205" t="s">
        <v>2276</v>
      </c>
      <c r="P2823" s="205" t="s">
        <v>2276</v>
      </c>
      <c r="Q2823" s="205" t="s">
        <v>2276</v>
      </c>
      <c r="R2823" s="205" t="s">
        <v>2276</v>
      </c>
      <c r="S2823" s="205" t="s">
        <v>2276</v>
      </c>
      <c r="T2823" s="205" t="s">
        <v>2276</v>
      </c>
      <c r="U2823" s="205" t="s">
        <v>2276</v>
      </c>
      <c r="V2823" s="205" t="s">
        <v>2276</v>
      </c>
      <c r="W2823" s="205" t="s">
        <v>2276</v>
      </c>
      <c r="X2823" s="205" t="s">
        <v>68</v>
      </c>
      <c r="Y2823" s="205" t="s">
        <v>86</v>
      </c>
      <c r="Z2823" s="205" t="s">
        <v>76</v>
      </c>
      <c r="AA2823" s="205"/>
      <c r="AB2823" s="205"/>
    </row>
    <row r="2824" spans="1:28" ht="34.5" customHeight="1">
      <c r="A2824" s="152" t="str">
        <f>'Reported burning'!A2830</f>
        <v>305q</v>
      </c>
      <c r="B2824" s="152" t="str">
        <f>'Reported burning'!B2830</f>
        <v>305q.9</v>
      </c>
      <c r="C2824" s="152" t="str">
        <f>'Reported burning'!C2830</f>
        <v>Human, deliberate</v>
      </c>
      <c r="D2824" s="152" t="str">
        <f>'Reported burning'!D2830</f>
        <v>Pyrome management</v>
      </c>
      <c r="E2824" s="152" t="str">
        <f>'Reported burning'!E2830</f>
        <v>Fire suppression agent</v>
      </c>
      <c r="F2824" s="152" t="str">
        <f>'Reported burning'!F2830</f>
        <v>ND</v>
      </c>
      <c r="G2824" s="152" t="str">
        <f>'Reported burning'!G2830</f>
        <v>ND</v>
      </c>
      <c r="H2824" s="152" t="str">
        <f>'Reported burning'!H2830</f>
        <v>Presence</v>
      </c>
      <c r="I2824" s="205"/>
      <c r="J2824" s="205" t="s">
        <v>2276</v>
      </c>
      <c r="K2824" s="205" t="s">
        <v>2276</v>
      </c>
      <c r="L2824" s="205" t="s">
        <v>2276</v>
      </c>
      <c r="M2824" s="205" t="s">
        <v>2276</v>
      </c>
      <c r="N2824" s="205" t="s">
        <v>2276</v>
      </c>
      <c r="O2824" s="205" t="s">
        <v>2276</v>
      </c>
      <c r="P2824" s="205" t="s">
        <v>2276</v>
      </c>
      <c r="Q2824" s="205" t="s">
        <v>2276</v>
      </c>
      <c r="R2824" s="205" t="s">
        <v>2276</v>
      </c>
      <c r="S2824" s="205" t="s">
        <v>2276</v>
      </c>
      <c r="T2824" s="205" t="s">
        <v>2276</v>
      </c>
      <c r="U2824" s="205" t="s">
        <v>2276</v>
      </c>
      <c r="V2824" s="205" t="s">
        <v>2276</v>
      </c>
      <c r="W2824" s="205" t="s">
        <v>2276</v>
      </c>
      <c r="X2824" s="205" t="s">
        <v>68</v>
      </c>
      <c r="Y2824" s="205" t="s">
        <v>86</v>
      </c>
      <c r="Z2824" s="205" t="s">
        <v>76</v>
      </c>
      <c r="AA2824" s="205"/>
      <c r="AB2824" s="205"/>
    </row>
    <row r="2825" spans="1:28" ht="34.5" customHeight="1">
      <c r="A2825" s="152" t="str">
        <f>'Reported burning'!A2831</f>
        <v>305r</v>
      </c>
      <c r="B2825" s="152" t="str">
        <f>'Reported burning'!B2831</f>
        <v>305r.9</v>
      </c>
      <c r="C2825" s="152" t="str">
        <f>'Reported burning'!C2831</f>
        <v>Human, deliberate</v>
      </c>
      <c r="D2825" s="152" t="str">
        <f>'Reported burning'!D2831</f>
        <v>Pyrome management</v>
      </c>
      <c r="E2825" s="152" t="str">
        <f>'Reported burning'!E2831</f>
        <v>Fire suppression agent</v>
      </c>
      <c r="F2825" s="152" t="str">
        <f>'Reported burning'!F2831</f>
        <v>ND</v>
      </c>
      <c r="G2825" s="152" t="str">
        <f>'Reported burning'!G2831</f>
        <v>ND</v>
      </c>
      <c r="H2825" s="152" t="str">
        <f>'Reported burning'!H2831</f>
        <v>Absence</v>
      </c>
      <c r="I2825" s="205"/>
      <c r="J2825" s="21" t="s">
        <v>2364</v>
      </c>
      <c r="K2825" s="21" t="s">
        <v>2364</v>
      </c>
      <c r="L2825" s="21" t="s">
        <v>2364</v>
      </c>
      <c r="M2825" s="21" t="s">
        <v>2364</v>
      </c>
      <c r="N2825" s="21" t="s">
        <v>2364</v>
      </c>
      <c r="O2825" s="21" t="s">
        <v>2364</v>
      </c>
      <c r="P2825" s="21" t="s">
        <v>2364</v>
      </c>
      <c r="Q2825" s="21" t="s">
        <v>2364</v>
      </c>
      <c r="R2825" s="21" t="s">
        <v>2364</v>
      </c>
      <c r="S2825" s="21" t="s">
        <v>2364</v>
      </c>
      <c r="T2825" s="21" t="s">
        <v>2364</v>
      </c>
      <c r="U2825" s="21" t="s">
        <v>2364</v>
      </c>
      <c r="V2825" s="21" t="s">
        <v>2364</v>
      </c>
      <c r="W2825" s="205" t="s">
        <v>2276</v>
      </c>
      <c r="X2825" s="205" t="s">
        <v>68</v>
      </c>
      <c r="Y2825" s="205" t="s">
        <v>86</v>
      </c>
      <c r="Z2825" s="205" t="s">
        <v>76</v>
      </c>
      <c r="AA2825" s="205"/>
      <c r="AB2825" s="205"/>
    </row>
    <row r="2826" spans="1:28" ht="34.5" customHeight="1">
      <c r="A2826" s="152" t="str">
        <f>'Reported burning'!A2832</f>
        <v>305s</v>
      </c>
      <c r="B2826" s="152" t="str">
        <f>'Reported burning'!B2832</f>
        <v>305s.9</v>
      </c>
      <c r="C2826" s="152" t="str">
        <f>'Reported burning'!C2832</f>
        <v>Human, deliberate</v>
      </c>
      <c r="D2826" s="152" t="str">
        <f>'Reported burning'!D2832</f>
        <v>Pyrome management</v>
      </c>
      <c r="E2826" s="152" t="str">
        <f>'Reported burning'!E2832</f>
        <v>Fire suppression agent</v>
      </c>
      <c r="F2826" s="152" t="str">
        <f>'Reported burning'!F2832</f>
        <v>ND</v>
      </c>
      <c r="G2826" s="152" t="str">
        <f>'Reported burning'!G2832</f>
        <v>ND</v>
      </c>
      <c r="H2826" s="152" t="str">
        <f>'Reported burning'!H2832</f>
        <v>Absence</v>
      </c>
      <c r="I2826" s="205"/>
      <c r="J2826" s="21" t="s">
        <v>2364</v>
      </c>
      <c r="K2826" s="21" t="s">
        <v>2364</v>
      </c>
      <c r="L2826" s="21" t="s">
        <v>2364</v>
      </c>
      <c r="M2826" s="21" t="s">
        <v>2364</v>
      </c>
      <c r="N2826" s="21" t="s">
        <v>2364</v>
      </c>
      <c r="O2826" s="21" t="s">
        <v>2364</v>
      </c>
      <c r="P2826" s="21" t="s">
        <v>2364</v>
      </c>
      <c r="Q2826" s="21" t="s">
        <v>2364</v>
      </c>
      <c r="R2826" s="21" t="s">
        <v>2364</v>
      </c>
      <c r="S2826" s="21" t="s">
        <v>2364</v>
      </c>
      <c r="T2826" s="21" t="s">
        <v>2364</v>
      </c>
      <c r="U2826" s="21" t="s">
        <v>2364</v>
      </c>
      <c r="V2826" s="21" t="s">
        <v>2364</v>
      </c>
      <c r="W2826" s="205" t="s">
        <v>2276</v>
      </c>
      <c r="X2826" s="205" t="s">
        <v>68</v>
      </c>
      <c r="Y2826" s="205" t="s">
        <v>86</v>
      </c>
      <c r="Z2826" s="205" t="s">
        <v>76</v>
      </c>
      <c r="AA2826" s="205"/>
      <c r="AB2826" s="205"/>
    </row>
    <row r="2827" spans="1:28" ht="34.5" customHeight="1">
      <c r="A2827" s="152" t="str">
        <f>'Reported burning'!A2833</f>
        <v>305t</v>
      </c>
      <c r="B2827" s="152" t="str">
        <f>'Reported burning'!B2833</f>
        <v>305t.9</v>
      </c>
      <c r="C2827" s="152" t="str">
        <f>'Reported burning'!C2833</f>
        <v>Human, deliberate</v>
      </c>
      <c r="D2827" s="152" t="str">
        <f>'Reported burning'!D2833</f>
        <v>Pyrome management</v>
      </c>
      <c r="E2827" s="152" t="str">
        <f>'Reported burning'!E2833</f>
        <v>Fire suppression agent</v>
      </c>
      <c r="F2827" s="152" t="str">
        <f>'Reported burning'!F2833</f>
        <v>ND</v>
      </c>
      <c r="G2827" s="152" t="str">
        <f>'Reported burning'!G2833</f>
        <v>ND</v>
      </c>
      <c r="H2827" s="152" t="str">
        <f>'Reported burning'!H2833</f>
        <v>Absence</v>
      </c>
      <c r="I2827" s="205"/>
      <c r="J2827" s="21" t="s">
        <v>2364</v>
      </c>
      <c r="K2827" s="21" t="s">
        <v>2364</v>
      </c>
      <c r="L2827" s="21" t="s">
        <v>2364</v>
      </c>
      <c r="M2827" s="21" t="s">
        <v>2364</v>
      </c>
      <c r="N2827" s="21" t="s">
        <v>2364</v>
      </c>
      <c r="O2827" s="21" t="s">
        <v>2364</v>
      </c>
      <c r="P2827" s="21" t="s">
        <v>2364</v>
      </c>
      <c r="Q2827" s="21" t="s">
        <v>2364</v>
      </c>
      <c r="R2827" s="21" t="s">
        <v>2364</v>
      </c>
      <c r="S2827" s="21" t="s">
        <v>2364</v>
      </c>
      <c r="T2827" s="21" t="s">
        <v>2364</v>
      </c>
      <c r="U2827" s="21" t="s">
        <v>2364</v>
      </c>
      <c r="V2827" s="21" t="s">
        <v>2364</v>
      </c>
      <c r="W2827" s="205" t="s">
        <v>2276</v>
      </c>
      <c r="X2827" s="205" t="s">
        <v>68</v>
      </c>
      <c r="Y2827" s="205" t="s">
        <v>86</v>
      </c>
      <c r="Z2827" s="205" t="s">
        <v>76</v>
      </c>
      <c r="AA2827" s="205"/>
      <c r="AB2827" s="205"/>
    </row>
    <row r="2828" spans="1:28" ht="34.5" customHeight="1">
      <c r="A2828" s="152" t="str">
        <f>'Reported burning'!A2834</f>
        <v>305u</v>
      </c>
      <c r="B2828" s="152" t="str">
        <f>'Reported burning'!B2834</f>
        <v>305u.9</v>
      </c>
      <c r="C2828" s="152" t="str">
        <f>'Reported burning'!C2834</f>
        <v>Human, deliberate</v>
      </c>
      <c r="D2828" s="152" t="str">
        <f>'Reported burning'!D2834</f>
        <v>Pyrome management</v>
      </c>
      <c r="E2828" s="152" t="str">
        <f>'Reported burning'!E2834</f>
        <v>Fire suppression agent</v>
      </c>
      <c r="F2828" s="152" t="str">
        <f>'Reported burning'!F2834</f>
        <v>ND</v>
      </c>
      <c r="G2828" s="152" t="str">
        <f>'Reported burning'!G2834</f>
        <v>ND</v>
      </c>
      <c r="H2828" s="152" t="str">
        <f>'Reported burning'!H2834</f>
        <v>Presence</v>
      </c>
      <c r="I2828" s="205"/>
      <c r="J2828" s="205" t="s">
        <v>2276</v>
      </c>
      <c r="K2828" s="205" t="s">
        <v>2276</v>
      </c>
      <c r="L2828" s="205" t="s">
        <v>2276</v>
      </c>
      <c r="M2828" s="205" t="s">
        <v>2276</v>
      </c>
      <c r="N2828" s="205" t="s">
        <v>2276</v>
      </c>
      <c r="O2828" s="205" t="s">
        <v>2276</v>
      </c>
      <c r="P2828" s="205" t="s">
        <v>2276</v>
      </c>
      <c r="Q2828" s="205" t="s">
        <v>2276</v>
      </c>
      <c r="R2828" s="205" t="s">
        <v>2276</v>
      </c>
      <c r="S2828" s="205" t="s">
        <v>2276</v>
      </c>
      <c r="T2828" s="205" t="s">
        <v>2276</v>
      </c>
      <c r="U2828" s="205" t="s">
        <v>2276</v>
      </c>
      <c r="V2828" s="205" t="s">
        <v>2276</v>
      </c>
      <c r="W2828" s="205" t="s">
        <v>2276</v>
      </c>
      <c r="X2828" s="205" t="s">
        <v>68</v>
      </c>
      <c r="Y2828" s="205" t="s">
        <v>86</v>
      </c>
      <c r="Z2828" s="205" t="s">
        <v>76</v>
      </c>
      <c r="AA2828" s="205"/>
      <c r="AB2828" s="205"/>
    </row>
    <row r="2829" spans="1:28" ht="34.5" customHeight="1">
      <c r="A2829" s="152" t="str">
        <f>'Reported burning'!A2835</f>
        <v>305v</v>
      </c>
      <c r="B2829" s="152" t="str">
        <f>'Reported burning'!B2835</f>
        <v>305v.9</v>
      </c>
      <c r="C2829" s="152" t="str">
        <f>'Reported burning'!C2835</f>
        <v>Human, deliberate</v>
      </c>
      <c r="D2829" s="152" t="str">
        <f>'Reported burning'!D2835</f>
        <v>Pyrome management</v>
      </c>
      <c r="E2829" s="152" t="str">
        <f>'Reported burning'!E2835</f>
        <v>Fire suppression agent</v>
      </c>
      <c r="F2829" s="152" t="str">
        <f>'Reported burning'!F2835</f>
        <v>ND</v>
      </c>
      <c r="G2829" s="152" t="str">
        <f>'Reported burning'!G2835</f>
        <v>ND</v>
      </c>
      <c r="H2829" s="152" t="str">
        <f>'Reported burning'!H2835</f>
        <v>Presence</v>
      </c>
      <c r="I2829" s="205"/>
      <c r="J2829" s="205" t="s">
        <v>2276</v>
      </c>
      <c r="K2829" s="205" t="s">
        <v>2276</v>
      </c>
      <c r="L2829" s="205" t="s">
        <v>2276</v>
      </c>
      <c r="M2829" s="205" t="s">
        <v>2276</v>
      </c>
      <c r="N2829" s="205" t="s">
        <v>2276</v>
      </c>
      <c r="O2829" s="205" t="s">
        <v>2276</v>
      </c>
      <c r="P2829" s="205" t="s">
        <v>2276</v>
      </c>
      <c r="Q2829" s="205" t="s">
        <v>2276</v>
      </c>
      <c r="R2829" s="205" t="s">
        <v>2276</v>
      </c>
      <c r="S2829" s="205" t="s">
        <v>2276</v>
      </c>
      <c r="T2829" s="205" t="s">
        <v>2276</v>
      </c>
      <c r="U2829" s="205" t="s">
        <v>2276</v>
      </c>
      <c r="V2829" s="205" t="s">
        <v>2276</v>
      </c>
      <c r="W2829" s="205" t="s">
        <v>2276</v>
      </c>
      <c r="X2829" s="205" t="s">
        <v>68</v>
      </c>
      <c r="Y2829" s="205" t="s">
        <v>86</v>
      </c>
      <c r="Z2829" s="205" t="s">
        <v>76</v>
      </c>
      <c r="AA2829" s="205"/>
      <c r="AB2829" s="205"/>
    </row>
    <row r="2830" spans="1:28" ht="34.5" customHeight="1">
      <c r="A2830" s="152" t="str">
        <f>'Reported burning'!A2836</f>
        <v>305w</v>
      </c>
      <c r="B2830" s="152" t="str">
        <f>'Reported burning'!B2836</f>
        <v>305w.9</v>
      </c>
      <c r="C2830" s="152" t="str">
        <f>'Reported burning'!C2836</f>
        <v>Human, deliberate</v>
      </c>
      <c r="D2830" s="152" t="str">
        <f>'Reported burning'!D2836</f>
        <v>Pyrome management</v>
      </c>
      <c r="E2830" s="152" t="str">
        <f>'Reported burning'!E2836</f>
        <v>Fire suppression agent</v>
      </c>
      <c r="F2830" s="152" t="str">
        <f>'Reported burning'!F2836</f>
        <v>ND</v>
      </c>
      <c r="G2830" s="152" t="str">
        <f>'Reported burning'!G2836</f>
        <v>ND</v>
      </c>
      <c r="H2830" s="152" t="str">
        <f>'Reported burning'!H2836</f>
        <v>Presence</v>
      </c>
      <c r="I2830" s="205"/>
      <c r="J2830" s="205" t="s">
        <v>2276</v>
      </c>
      <c r="K2830" s="205" t="s">
        <v>2276</v>
      </c>
      <c r="L2830" s="205" t="s">
        <v>2276</v>
      </c>
      <c r="M2830" s="205" t="s">
        <v>2276</v>
      </c>
      <c r="N2830" s="205" t="s">
        <v>2276</v>
      </c>
      <c r="O2830" s="205" t="s">
        <v>2276</v>
      </c>
      <c r="P2830" s="205" t="s">
        <v>2276</v>
      </c>
      <c r="Q2830" s="205" t="s">
        <v>2276</v>
      </c>
      <c r="R2830" s="205" t="s">
        <v>2276</v>
      </c>
      <c r="S2830" s="205" t="s">
        <v>2276</v>
      </c>
      <c r="T2830" s="205" t="s">
        <v>2276</v>
      </c>
      <c r="U2830" s="205" t="s">
        <v>2276</v>
      </c>
      <c r="V2830" s="205" t="s">
        <v>2276</v>
      </c>
      <c r="W2830" s="205" t="s">
        <v>2276</v>
      </c>
      <c r="X2830" s="205" t="s">
        <v>68</v>
      </c>
      <c r="Y2830" s="205" t="s">
        <v>86</v>
      </c>
      <c r="Z2830" s="205" t="s">
        <v>76</v>
      </c>
      <c r="AA2830" s="205"/>
      <c r="AB2830" s="205"/>
    </row>
    <row r="2831" spans="1:28" ht="34.5" customHeight="1">
      <c r="A2831" s="152" t="str">
        <f>'Reported burning'!A2837</f>
        <v>305x</v>
      </c>
      <c r="B2831" s="152" t="str">
        <f>'Reported burning'!B2837</f>
        <v>305x.9</v>
      </c>
      <c r="C2831" s="152" t="str">
        <f>'Reported burning'!C2837</f>
        <v>Human, deliberate</v>
      </c>
      <c r="D2831" s="152" t="str">
        <f>'Reported burning'!D2837</f>
        <v>Pyrome management</v>
      </c>
      <c r="E2831" s="152" t="str">
        <f>'Reported burning'!E2837</f>
        <v>Fire suppression agent</v>
      </c>
      <c r="F2831" s="152" t="str">
        <f>'Reported burning'!F2837</f>
        <v>ND</v>
      </c>
      <c r="G2831" s="152" t="str">
        <f>'Reported burning'!G2837</f>
        <v>ND</v>
      </c>
      <c r="H2831" s="152" t="str">
        <f>'Reported burning'!H2837</f>
        <v>Presence</v>
      </c>
      <c r="I2831" s="205"/>
      <c r="J2831" s="205" t="s">
        <v>2276</v>
      </c>
      <c r="K2831" s="205" t="s">
        <v>2276</v>
      </c>
      <c r="L2831" s="205" t="s">
        <v>2276</v>
      </c>
      <c r="M2831" s="205" t="s">
        <v>2276</v>
      </c>
      <c r="N2831" s="205" t="s">
        <v>2276</v>
      </c>
      <c r="O2831" s="205" t="s">
        <v>2276</v>
      </c>
      <c r="P2831" s="205" t="s">
        <v>2276</v>
      </c>
      <c r="Q2831" s="205" t="s">
        <v>2276</v>
      </c>
      <c r="R2831" s="205" t="s">
        <v>2276</v>
      </c>
      <c r="S2831" s="205" t="s">
        <v>2276</v>
      </c>
      <c r="T2831" s="205" t="s">
        <v>2276</v>
      </c>
      <c r="U2831" s="205" t="s">
        <v>2276</v>
      </c>
      <c r="V2831" s="205" t="s">
        <v>2276</v>
      </c>
      <c r="W2831" s="205" t="s">
        <v>2276</v>
      </c>
      <c r="X2831" s="205" t="s">
        <v>68</v>
      </c>
      <c r="Y2831" s="205" t="s">
        <v>86</v>
      </c>
      <c r="Z2831" s="205" t="s">
        <v>76</v>
      </c>
      <c r="AA2831" s="205"/>
      <c r="AB2831" s="205"/>
    </row>
    <row r="2832" spans="1:28" ht="34.5" customHeight="1">
      <c r="A2832" s="152" t="str">
        <f>'Reported burning'!A2838</f>
        <v>305y</v>
      </c>
      <c r="B2832" s="152" t="str">
        <f>'Reported burning'!B2838</f>
        <v>305y.9</v>
      </c>
      <c r="C2832" s="152" t="str">
        <f>'Reported burning'!C2838</f>
        <v>Human, deliberate</v>
      </c>
      <c r="D2832" s="152" t="str">
        <f>'Reported burning'!D2838</f>
        <v>Pyrome management</v>
      </c>
      <c r="E2832" s="152" t="str">
        <f>'Reported burning'!E2838</f>
        <v>Fire suppression agent</v>
      </c>
      <c r="F2832" s="152" t="str">
        <f>'Reported burning'!F2838</f>
        <v>ND</v>
      </c>
      <c r="G2832" s="152" t="str">
        <f>'Reported burning'!G2838</f>
        <v>ND</v>
      </c>
      <c r="H2832" s="152" t="str">
        <f>'Reported burning'!H2838</f>
        <v>Presence</v>
      </c>
      <c r="I2832" s="205"/>
      <c r="J2832" s="205" t="s">
        <v>2276</v>
      </c>
      <c r="K2832" s="205" t="s">
        <v>2276</v>
      </c>
      <c r="L2832" s="205" t="s">
        <v>2276</v>
      </c>
      <c r="M2832" s="205" t="s">
        <v>2276</v>
      </c>
      <c r="N2832" s="205" t="s">
        <v>2276</v>
      </c>
      <c r="O2832" s="205" t="s">
        <v>2276</v>
      </c>
      <c r="P2832" s="205" t="s">
        <v>2276</v>
      </c>
      <c r="Q2832" s="205" t="s">
        <v>2276</v>
      </c>
      <c r="R2832" s="205" t="s">
        <v>2276</v>
      </c>
      <c r="S2832" s="205" t="s">
        <v>2276</v>
      </c>
      <c r="T2832" s="205" t="s">
        <v>2276</v>
      </c>
      <c r="U2832" s="205" t="s">
        <v>2276</v>
      </c>
      <c r="V2832" s="205" t="s">
        <v>2276</v>
      </c>
      <c r="W2832" s="205" t="s">
        <v>2276</v>
      </c>
      <c r="X2832" s="205" t="s">
        <v>68</v>
      </c>
      <c r="Y2832" s="205" t="s">
        <v>86</v>
      </c>
      <c r="Z2832" s="205" t="s">
        <v>76</v>
      </c>
      <c r="AA2832" s="205"/>
      <c r="AB2832" s="205"/>
    </row>
    <row r="2833" spans="1:28" ht="34.5" customHeight="1">
      <c r="A2833" s="152" t="str">
        <f>'Reported burning'!A2839</f>
        <v>305z</v>
      </c>
      <c r="B2833" s="152" t="str">
        <f>'Reported burning'!B2839</f>
        <v>305z.9</v>
      </c>
      <c r="C2833" s="152" t="str">
        <f>'Reported burning'!C2839</f>
        <v>Human, deliberate</v>
      </c>
      <c r="D2833" s="152" t="str">
        <f>'Reported burning'!D2839</f>
        <v>Pyrome management</v>
      </c>
      <c r="E2833" s="152" t="str">
        <f>'Reported burning'!E2839</f>
        <v>Fire suppression agent</v>
      </c>
      <c r="F2833" s="152" t="str">
        <f>'Reported burning'!F2839</f>
        <v>ND</v>
      </c>
      <c r="G2833" s="152" t="str">
        <f>'Reported burning'!G2839</f>
        <v>ND</v>
      </c>
      <c r="H2833" s="152" t="str">
        <f>'Reported burning'!H2839</f>
        <v>Presence</v>
      </c>
      <c r="I2833" s="205"/>
      <c r="J2833" s="205" t="s">
        <v>2276</v>
      </c>
      <c r="K2833" s="205" t="s">
        <v>2276</v>
      </c>
      <c r="L2833" s="205" t="s">
        <v>2276</v>
      </c>
      <c r="M2833" s="205" t="s">
        <v>2276</v>
      </c>
      <c r="N2833" s="205" t="s">
        <v>2276</v>
      </c>
      <c r="O2833" s="205" t="s">
        <v>2276</v>
      </c>
      <c r="P2833" s="205" t="s">
        <v>2276</v>
      </c>
      <c r="Q2833" s="205" t="s">
        <v>2276</v>
      </c>
      <c r="R2833" s="205" t="s">
        <v>2276</v>
      </c>
      <c r="S2833" s="205" t="s">
        <v>2276</v>
      </c>
      <c r="T2833" s="205" t="s">
        <v>2276</v>
      </c>
      <c r="U2833" s="205" t="s">
        <v>2276</v>
      </c>
      <c r="V2833" s="205" t="s">
        <v>2276</v>
      </c>
      <c r="W2833" s="205" t="s">
        <v>2276</v>
      </c>
      <c r="X2833" s="205" t="s">
        <v>68</v>
      </c>
      <c r="Y2833" s="205" t="s">
        <v>86</v>
      </c>
      <c r="Z2833" s="205" t="s">
        <v>76</v>
      </c>
      <c r="AA2833" s="205"/>
      <c r="AB2833" s="205"/>
    </row>
    <row r="2834" spans="1:28" ht="34.5" customHeight="1">
      <c r="A2834" s="152" t="str">
        <f>'Reported burning'!A2840</f>
        <v>305aa</v>
      </c>
      <c r="B2834" s="152" t="str">
        <f>'Reported burning'!B2840</f>
        <v>305aa.9</v>
      </c>
      <c r="C2834" s="152" t="str">
        <f>'Reported burning'!C2840</f>
        <v>Human, deliberate</v>
      </c>
      <c r="D2834" s="152" t="str">
        <f>'Reported burning'!D2840</f>
        <v>Pyrome management</v>
      </c>
      <c r="E2834" s="152" t="str">
        <f>'Reported burning'!E2840</f>
        <v>Fire suppression agent</v>
      </c>
      <c r="F2834" s="152" t="str">
        <f>'Reported burning'!F2840</f>
        <v>ND</v>
      </c>
      <c r="G2834" s="152" t="str">
        <f>'Reported burning'!G2840</f>
        <v>ND</v>
      </c>
      <c r="H2834" s="152" t="str">
        <f>'Reported burning'!H2840</f>
        <v>Presence</v>
      </c>
      <c r="I2834" s="205"/>
      <c r="J2834" s="205" t="s">
        <v>2276</v>
      </c>
      <c r="K2834" s="205" t="s">
        <v>2276</v>
      </c>
      <c r="L2834" s="205" t="s">
        <v>2276</v>
      </c>
      <c r="M2834" s="205" t="s">
        <v>2276</v>
      </c>
      <c r="N2834" s="205" t="s">
        <v>2276</v>
      </c>
      <c r="O2834" s="205" t="s">
        <v>2276</v>
      </c>
      <c r="P2834" s="205" t="s">
        <v>2276</v>
      </c>
      <c r="Q2834" s="205" t="s">
        <v>2276</v>
      </c>
      <c r="R2834" s="205" t="s">
        <v>2276</v>
      </c>
      <c r="S2834" s="205" t="s">
        <v>2276</v>
      </c>
      <c r="T2834" s="205" t="s">
        <v>2276</v>
      </c>
      <c r="U2834" s="205" t="s">
        <v>2276</v>
      </c>
      <c r="V2834" s="205" t="s">
        <v>2276</v>
      </c>
      <c r="W2834" s="205" t="s">
        <v>2276</v>
      </c>
      <c r="X2834" s="205" t="s">
        <v>68</v>
      </c>
      <c r="Y2834" s="205" t="s">
        <v>86</v>
      </c>
      <c r="Z2834" s="205" t="s">
        <v>76</v>
      </c>
      <c r="AA2834" s="205"/>
      <c r="AB2834" s="205"/>
    </row>
    <row r="2835" spans="1:28" ht="34.5" customHeight="1">
      <c r="A2835" s="152" t="str">
        <f>'Reported burning'!A2841</f>
        <v>305ab</v>
      </c>
      <c r="B2835" s="152" t="str">
        <f>'Reported burning'!B2841</f>
        <v>305ab.9</v>
      </c>
      <c r="C2835" s="152" t="str">
        <f>'Reported burning'!C2841</f>
        <v>Human, deliberate</v>
      </c>
      <c r="D2835" s="152" t="str">
        <f>'Reported burning'!D2841</f>
        <v>Pyrome management</v>
      </c>
      <c r="E2835" s="152" t="str">
        <f>'Reported burning'!E2841</f>
        <v>Fire suppression agent</v>
      </c>
      <c r="F2835" s="152" t="str">
        <f>'Reported burning'!F2841</f>
        <v>ND</v>
      </c>
      <c r="G2835" s="152" t="str">
        <f>'Reported burning'!G2841</f>
        <v>ND</v>
      </c>
      <c r="H2835" s="152" t="str">
        <f>'Reported burning'!H2841</f>
        <v>Presence</v>
      </c>
      <c r="I2835" s="205"/>
      <c r="J2835" s="205" t="s">
        <v>2276</v>
      </c>
      <c r="K2835" s="205" t="s">
        <v>2276</v>
      </c>
      <c r="L2835" s="205" t="s">
        <v>2276</v>
      </c>
      <c r="M2835" s="205" t="s">
        <v>2276</v>
      </c>
      <c r="N2835" s="205" t="s">
        <v>2276</v>
      </c>
      <c r="O2835" s="205" t="s">
        <v>2276</v>
      </c>
      <c r="P2835" s="205" t="s">
        <v>2276</v>
      </c>
      <c r="Q2835" s="205" t="s">
        <v>2276</v>
      </c>
      <c r="R2835" s="205" t="s">
        <v>2276</v>
      </c>
      <c r="S2835" s="205" t="s">
        <v>2276</v>
      </c>
      <c r="T2835" s="205" t="s">
        <v>2276</v>
      </c>
      <c r="U2835" s="205" t="s">
        <v>2276</v>
      </c>
      <c r="V2835" s="205" t="s">
        <v>2276</v>
      </c>
      <c r="W2835" s="205" t="s">
        <v>2276</v>
      </c>
      <c r="X2835" s="205" t="s">
        <v>68</v>
      </c>
      <c r="Y2835" s="205" t="s">
        <v>86</v>
      </c>
      <c r="Z2835" s="205" t="s">
        <v>76</v>
      </c>
      <c r="AA2835" s="205"/>
      <c r="AB2835" s="205"/>
    </row>
    <row r="2836" spans="1:28" ht="34.5" customHeight="1">
      <c r="A2836" s="152" t="str">
        <f>'Reported burning'!A2842</f>
        <v>305ac</v>
      </c>
      <c r="B2836" s="152" t="str">
        <f>'Reported burning'!B2842</f>
        <v>305ac.9</v>
      </c>
      <c r="C2836" s="152" t="str">
        <f>'Reported burning'!C2842</f>
        <v>Human, deliberate</v>
      </c>
      <c r="D2836" s="152" t="str">
        <f>'Reported burning'!D2842</f>
        <v>Pyrome management</v>
      </c>
      <c r="E2836" s="152" t="str">
        <f>'Reported burning'!E2842</f>
        <v>Fire suppression agent</v>
      </c>
      <c r="F2836" s="152" t="str">
        <f>'Reported burning'!F2842</f>
        <v>ND</v>
      </c>
      <c r="G2836" s="152" t="str">
        <f>'Reported burning'!G2842</f>
        <v>ND</v>
      </c>
      <c r="H2836" s="152" t="str">
        <f>'Reported burning'!H2842</f>
        <v>Presence</v>
      </c>
      <c r="I2836" s="205"/>
      <c r="J2836" s="205" t="s">
        <v>2276</v>
      </c>
      <c r="K2836" s="205" t="s">
        <v>2276</v>
      </c>
      <c r="L2836" s="205" t="s">
        <v>2276</v>
      </c>
      <c r="M2836" s="205" t="s">
        <v>2276</v>
      </c>
      <c r="N2836" s="205" t="s">
        <v>2276</v>
      </c>
      <c r="O2836" s="205" t="s">
        <v>2276</v>
      </c>
      <c r="P2836" s="205" t="s">
        <v>2276</v>
      </c>
      <c r="Q2836" s="205" t="s">
        <v>2276</v>
      </c>
      <c r="R2836" s="205" t="s">
        <v>2276</v>
      </c>
      <c r="S2836" s="205" t="s">
        <v>2276</v>
      </c>
      <c r="T2836" s="205" t="s">
        <v>2276</v>
      </c>
      <c r="U2836" s="205" t="s">
        <v>2276</v>
      </c>
      <c r="V2836" s="205" t="s">
        <v>2276</v>
      </c>
      <c r="W2836" s="205" t="s">
        <v>2276</v>
      </c>
      <c r="X2836" s="205" t="s">
        <v>68</v>
      </c>
      <c r="Y2836" s="205" t="s">
        <v>86</v>
      </c>
      <c r="Z2836" s="205" t="s">
        <v>76</v>
      </c>
      <c r="AA2836" s="205"/>
      <c r="AB2836" s="205"/>
    </row>
    <row r="2837" spans="1:28" ht="34.5" customHeight="1">
      <c r="A2837" s="152" t="str">
        <f>'Reported burning'!A2843</f>
        <v>305ad</v>
      </c>
      <c r="B2837" s="152" t="str">
        <f>'Reported burning'!B2843</f>
        <v>305ad.9</v>
      </c>
      <c r="C2837" s="152" t="str">
        <f>'Reported burning'!C2843</f>
        <v>Human, deliberate</v>
      </c>
      <c r="D2837" s="152" t="str">
        <f>'Reported burning'!D2843</f>
        <v>Pyrome management</v>
      </c>
      <c r="E2837" s="152" t="str">
        <f>'Reported burning'!E2843</f>
        <v>Fire suppression agent</v>
      </c>
      <c r="F2837" s="152" t="str">
        <f>'Reported burning'!F2843</f>
        <v>ND</v>
      </c>
      <c r="G2837" s="152" t="str">
        <f>'Reported burning'!G2843</f>
        <v>ND</v>
      </c>
      <c r="H2837" s="152" t="str">
        <f>'Reported burning'!H2843</f>
        <v>Presence</v>
      </c>
      <c r="I2837" s="205"/>
      <c r="J2837" s="205" t="s">
        <v>2276</v>
      </c>
      <c r="K2837" s="205" t="s">
        <v>2276</v>
      </c>
      <c r="L2837" s="205" t="s">
        <v>2276</v>
      </c>
      <c r="M2837" s="205" t="s">
        <v>2276</v>
      </c>
      <c r="N2837" s="205" t="s">
        <v>2276</v>
      </c>
      <c r="O2837" s="205" t="s">
        <v>2276</v>
      </c>
      <c r="P2837" s="205" t="s">
        <v>2276</v>
      </c>
      <c r="Q2837" s="205" t="s">
        <v>2276</v>
      </c>
      <c r="R2837" s="205" t="s">
        <v>2276</v>
      </c>
      <c r="S2837" s="205" t="s">
        <v>2276</v>
      </c>
      <c r="T2837" s="205" t="s">
        <v>2276</v>
      </c>
      <c r="U2837" s="205" t="s">
        <v>2276</v>
      </c>
      <c r="V2837" s="205" t="s">
        <v>2276</v>
      </c>
      <c r="W2837" s="205" t="s">
        <v>2276</v>
      </c>
      <c r="X2837" s="205" t="s">
        <v>68</v>
      </c>
      <c r="Y2837" s="205" t="s">
        <v>86</v>
      </c>
      <c r="Z2837" s="205" t="s">
        <v>76</v>
      </c>
      <c r="AA2837" s="205"/>
      <c r="AB2837" s="205"/>
    </row>
    <row r="2838" spans="1:28" ht="34.5" customHeight="1">
      <c r="A2838" s="152" t="str">
        <f>'Reported burning'!A2844</f>
        <v>305ae</v>
      </c>
      <c r="B2838" s="152" t="str">
        <f>'Reported burning'!B2844</f>
        <v>305ae.9</v>
      </c>
      <c r="C2838" s="152" t="str">
        <f>'Reported burning'!C2844</f>
        <v>Human, deliberate</v>
      </c>
      <c r="D2838" s="152" t="str">
        <f>'Reported burning'!D2844</f>
        <v>Pyrome management</v>
      </c>
      <c r="E2838" s="152" t="str">
        <f>'Reported burning'!E2844</f>
        <v>Fire suppression agent</v>
      </c>
      <c r="F2838" s="152" t="str">
        <f>'Reported burning'!F2844</f>
        <v>ND</v>
      </c>
      <c r="G2838" s="152" t="str">
        <f>'Reported burning'!G2844</f>
        <v>ND</v>
      </c>
      <c r="H2838" s="152" t="str">
        <f>'Reported burning'!H2844</f>
        <v>Presence</v>
      </c>
      <c r="I2838" s="205"/>
      <c r="J2838" s="205" t="s">
        <v>2276</v>
      </c>
      <c r="K2838" s="205" t="s">
        <v>2276</v>
      </c>
      <c r="L2838" s="205" t="s">
        <v>2276</v>
      </c>
      <c r="M2838" s="205" t="s">
        <v>2276</v>
      </c>
      <c r="N2838" s="205" t="s">
        <v>2276</v>
      </c>
      <c r="O2838" s="205" t="s">
        <v>2276</v>
      </c>
      <c r="P2838" s="205" t="s">
        <v>2276</v>
      </c>
      <c r="Q2838" s="205" t="s">
        <v>2276</v>
      </c>
      <c r="R2838" s="205" t="s">
        <v>2276</v>
      </c>
      <c r="S2838" s="205" t="s">
        <v>2276</v>
      </c>
      <c r="T2838" s="205" t="s">
        <v>2276</v>
      </c>
      <c r="U2838" s="205" t="s">
        <v>2276</v>
      </c>
      <c r="V2838" s="205" t="s">
        <v>2276</v>
      </c>
      <c r="W2838" s="205" t="s">
        <v>2276</v>
      </c>
      <c r="X2838" s="205" t="s">
        <v>68</v>
      </c>
      <c r="Y2838" s="205" t="s">
        <v>86</v>
      </c>
      <c r="Z2838" s="205" t="s">
        <v>76</v>
      </c>
      <c r="AA2838" s="205"/>
      <c r="AB2838" s="205"/>
    </row>
    <row r="2839" spans="1:28" ht="34.5" customHeight="1">
      <c r="A2839" s="152" t="str">
        <f>'Reported burning'!A2845</f>
        <v>305n</v>
      </c>
      <c r="B2839" s="152" t="str">
        <f>'Reported burning'!B2845</f>
        <v>305n.10</v>
      </c>
      <c r="C2839" s="152" t="str">
        <f>'Reported burning'!C2845</f>
        <v>Human, deliberate</v>
      </c>
      <c r="D2839" s="152" t="str">
        <f>'Reported burning'!D2845</f>
        <v>Pyrome management</v>
      </c>
      <c r="E2839" s="152" t="str">
        <f>'Reported burning'!E2845</f>
        <v>Fire suppression agent</v>
      </c>
      <c r="F2839" s="152" t="str">
        <f>'Reported burning'!F2845</f>
        <v>ND</v>
      </c>
      <c r="G2839" s="152" t="str">
        <f>'Reported burning'!G2845</f>
        <v>ND</v>
      </c>
      <c r="H2839" s="152" t="str">
        <f>'Reported burning'!H2845</f>
        <v>Presence</v>
      </c>
      <c r="I2839" s="205"/>
      <c r="J2839" s="205" t="s">
        <v>2276</v>
      </c>
      <c r="K2839" s="205" t="s">
        <v>2276</v>
      </c>
      <c r="L2839" s="205" t="s">
        <v>2276</v>
      </c>
      <c r="M2839" s="205" t="s">
        <v>2276</v>
      </c>
      <c r="N2839" s="205" t="s">
        <v>2276</v>
      </c>
      <c r="O2839" s="205" t="s">
        <v>2276</v>
      </c>
      <c r="P2839" s="205" t="s">
        <v>2276</v>
      </c>
      <c r="Q2839" s="205" t="s">
        <v>2276</v>
      </c>
      <c r="R2839" s="205" t="s">
        <v>2276</v>
      </c>
      <c r="S2839" s="205" t="s">
        <v>2276</v>
      </c>
      <c r="T2839" s="205" t="s">
        <v>2276</v>
      </c>
      <c r="U2839" s="205" t="s">
        <v>2276</v>
      </c>
      <c r="V2839" s="205" t="s">
        <v>2276</v>
      </c>
      <c r="W2839" s="205" t="s">
        <v>2276</v>
      </c>
      <c r="X2839" s="205" t="s">
        <v>68</v>
      </c>
      <c r="Y2839" s="205" t="s">
        <v>86</v>
      </c>
      <c r="Z2839" s="205" t="s">
        <v>76</v>
      </c>
      <c r="AA2839" s="205"/>
      <c r="AB2839" s="205"/>
    </row>
    <row r="2840" spans="1:28" ht="34.5" customHeight="1">
      <c r="A2840" s="152" t="str">
        <f>'Reported burning'!A2846</f>
        <v>305o</v>
      </c>
      <c r="B2840" s="152" t="str">
        <f>'Reported burning'!B2846</f>
        <v>305o.10</v>
      </c>
      <c r="C2840" s="152" t="str">
        <f>'Reported burning'!C2846</f>
        <v>Human, deliberate</v>
      </c>
      <c r="D2840" s="152" t="str">
        <f>'Reported burning'!D2846</f>
        <v>Pyrome management</v>
      </c>
      <c r="E2840" s="152" t="str">
        <f>'Reported burning'!E2846</f>
        <v>Fire suppression agent</v>
      </c>
      <c r="F2840" s="152" t="str">
        <f>'Reported burning'!F2846</f>
        <v>ND</v>
      </c>
      <c r="G2840" s="152" t="str">
        <f>'Reported burning'!G2846</f>
        <v>ND</v>
      </c>
      <c r="H2840" s="152" t="str">
        <f>'Reported burning'!H2846</f>
        <v>Presence</v>
      </c>
      <c r="I2840" s="205"/>
      <c r="J2840" s="205" t="s">
        <v>2276</v>
      </c>
      <c r="K2840" s="205" t="s">
        <v>2276</v>
      </c>
      <c r="L2840" s="205" t="s">
        <v>2276</v>
      </c>
      <c r="M2840" s="205" t="s">
        <v>2276</v>
      </c>
      <c r="N2840" s="205" t="s">
        <v>2276</v>
      </c>
      <c r="O2840" s="205" t="s">
        <v>2276</v>
      </c>
      <c r="P2840" s="205" t="s">
        <v>2276</v>
      </c>
      <c r="Q2840" s="205" t="s">
        <v>2276</v>
      </c>
      <c r="R2840" s="205" t="s">
        <v>2276</v>
      </c>
      <c r="S2840" s="205" t="s">
        <v>2276</v>
      </c>
      <c r="T2840" s="205" t="s">
        <v>2276</v>
      </c>
      <c r="U2840" s="205" t="s">
        <v>2276</v>
      </c>
      <c r="V2840" s="205" t="s">
        <v>2276</v>
      </c>
      <c r="W2840" s="205" t="s">
        <v>2276</v>
      </c>
      <c r="X2840" s="205" t="s">
        <v>68</v>
      </c>
      <c r="Y2840" s="205" t="s">
        <v>86</v>
      </c>
      <c r="Z2840" s="205" t="s">
        <v>76</v>
      </c>
      <c r="AA2840" s="205"/>
      <c r="AB2840" s="205"/>
    </row>
    <row r="2841" spans="1:28" ht="34.5" customHeight="1">
      <c r="A2841" s="152" t="str">
        <f>'Reported burning'!A2847</f>
        <v>305p</v>
      </c>
      <c r="B2841" s="152" t="str">
        <f>'Reported burning'!B2847</f>
        <v>305p.10</v>
      </c>
      <c r="C2841" s="152" t="str">
        <f>'Reported burning'!C2847</f>
        <v>Human, deliberate</v>
      </c>
      <c r="D2841" s="152" t="str">
        <f>'Reported burning'!D2847</f>
        <v>Pyrome management</v>
      </c>
      <c r="E2841" s="152" t="str">
        <f>'Reported burning'!E2847</f>
        <v>Fire suppression agent</v>
      </c>
      <c r="F2841" s="152" t="str">
        <f>'Reported burning'!F2847</f>
        <v>ND</v>
      </c>
      <c r="G2841" s="152" t="str">
        <f>'Reported burning'!G2847</f>
        <v>ND</v>
      </c>
      <c r="H2841" s="152" t="str">
        <f>'Reported burning'!H2847</f>
        <v>Presence</v>
      </c>
      <c r="I2841" s="205"/>
      <c r="J2841" s="205" t="s">
        <v>2276</v>
      </c>
      <c r="K2841" s="205" t="s">
        <v>2276</v>
      </c>
      <c r="L2841" s="205" t="s">
        <v>2276</v>
      </c>
      <c r="M2841" s="205" t="s">
        <v>2276</v>
      </c>
      <c r="N2841" s="205" t="s">
        <v>2276</v>
      </c>
      <c r="O2841" s="205" t="s">
        <v>2276</v>
      </c>
      <c r="P2841" s="205" t="s">
        <v>2276</v>
      </c>
      <c r="Q2841" s="205" t="s">
        <v>2276</v>
      </c>
      <c r="R2841" s="205" t="s">
        <v>2276</v>
      </c>
      <c r="S2841" s="205" t="s">
        <v>2276</v>
      </c>
      <c r="T2841" s="205" t="s">
        <v>2276</v>
      </c>
      <c r="U2841" s="205" t="s">
        <v>2276</v>
      </c>
      <c r="V2841" s="205" t="s">
        <v>2276</v>
      </c>
      <c r="W2841" s="205" t="s">
        <v>2276</v>
      </c>
      <c r="X2841" s="205" t="s">
        <v>68</v>
      </c>
      <c r="Y2841" s="205" t="s">
        <v>86</v>
      </c>
      <c r="Z2841" s="205" t="s">
        <v>76</v>
      </c>
      <c r="AA2841" s="205"/>
      <c r="AB2841" s="205"/>
    </row>
    <row r="2842" spans="1:28" ht="34.5" customHeight="1">
      <c r="A2842" s="152" t="str">
        <f>'Reported burning'!A2848</f>
        <v>305q</v>
      </c>
      <c r="B2842" s="152" t="str">
        <f>'Reported burning'!B2848</f>
        <v>305q.10</v>
      </c>
      <c r="C2842" s="152" t="str">
        <f>'Reported burning'!C2848</f>
        <v>Human, deliberate</v>
      </c>
      <c r="D2842" s="152" t="str">
        <f>'Reported burning'!D2848</f>
        <v>Pyrome management</v>
      </c>
      <c r="E2842" s="152" t="str">
        <f>'Reported burning'!E2848</f>
        <v>Fire suppression agent</v>
      </c>
      <c r="F2842" s="152" t="str">
        <f>'Reported burning'!F2848</f>
        <v>ND</v>
      </c>
      <c r="G2842" s="152" t="str">
        <f>'Reported burning'!G2848</f>
        <v>ND</v>
      </c>
      <c r="H2842" s="152" t="str">
        <f>'Reported burning'!H2848</f>
        <v>Presence</v>
      </c>
      <c r="I2842" s="205"/>
      <c r="J2842" s="205" t="s">
        <v>2276</v>
      </c>
      <c r="K2842" s="205" t="s">
        <v>2276</v>
      </c>
      <c r="L2842" s="205" t="s">
        <v>2276</v>
      </c>
      <c r="M2842" s="205" t="s">
        <v>2276</v>
      </c>
      <c r="N2842" s="205" t="s">
        <v>2276</v>
      </c>
      <c r="O2842" s="205" t="s">
        <v>2276</v>
      </c>
      <c r="P2842" s="205" t="s">
        <v>2276</v>
      </c>
      <c r="Q2842" s="205" t="s">
        <v>2276</v>
      </c>
      <c r="R2842" s="205" t="s">
        <v>2276</v>
      </c>
      <c r="S2842" s="205" t="s">
        <v>2276</v>
      </c>
      <c r="T2842" s="205" t="s">
        <v>2276</v>
      </c>
      <c r="U2842" s="205" t="s">
        <v>2276</v>
      </c>
      <c r="V2842" s="205" t="s">
        <v>2276</v>
      </c>
      <c r="W2842" s="205" t="s">
        <v>2276</v>
      </c>
      <c r="X2842" s="205" t="s">
        <v>68</v>
      </c>
      <c r="Y2842" s="205" t="s">
        <v>86</v>
      </c>
      <c r="Z2842" s="205" t="s">
        <v>76</v>
      </c>
      <c r="AA2842" s="205"/>
      <c r="AB2842" s="205"/>
    </row>
    <row r="2843" spans="1:28" ht="34.5" customHeight="1">
      <c r="A2843" s="152" t="str">
        <f>'Reported burning'!A2849</f>
        <v>305r</v>
      </c>
      <c r="B2843" s="152" t="str">
        <f>'Reported burning'!B2849</f>
        <v>305r.10</v>
      </c>
      <c r="C2843" s="152" t="str">
        <f>'Reported burning'!C2849</f>
        <v>Human, deliberate</v>
      </c>
      <c r="D2843" s="152" t="str">
        <f>'Reported burning'!D2849</f>
        <v>Pyrome management</v>
      </c>
      <c r="E2843" s="152" t="str">
        <f>'Reported burning'!E2849</f>
        <v>Fire suppression agent</v>
      </c>
      <c r="F2843" s="152" t="str">
        <f>'Reported burning'!F2849</f>
        <v>ND</v>
      </c>
      <c r="G2843" s="152" t="str">
        <f>'Reported burning'!G2849</f>
        <v>ND</v>
      </c>
      <c r="H2843" s="152" t="str">
        <f>'Reported burning'!H2849</f>
        <v>Absence</v>
      </c>
      <c r="I2843" s="205"/>
      <c r="J2843" s="21" t="s">
        <v>2364</v>
      </c>
      <c r="K2843" s="21" t="s">
        <v>2364</v>
      </c>
      <c r="L2843" s="21" t="s">
        <v>2364</v>
      </c>
      <c r="M2843" s="21" t="s">
        <v>2364</v>
      </c>
      <c r="N2843" s="21" t="s">
        <v>2364</v>
      </c>
      <c r="O2843" s="21" t="s">
        <v>2364</v>
      </c>
      <c r="P2843" s="21" t="s">
        <v>2364</v>
      </c>
      <c r="Q2843" s="21" t="s">
        <v>2364</v>
      </c>
      <c r="R2843" s="21" t="s">
        <v>2364</v>
      </c>
      <c r="S2843" s="21" t="s">
        <v>2364</v>
      </c>
      <c r="T2843" s="21" t="s">
        <v>2364</v>
      </c>
      <c r="U2843" s="21" t="s">
        <v>2364</v>
      </c>
      <c r="V2843" s="21" t="s">
        <v>2364</v>
      </c>
      <c r="W2843" s="205" t="s">
        <v>2276</v>
      </c>
      <c r="X2843" s="205" t="s">
        <v>68</v>
      </c>
      <c r="Y2843" s="205" t="s">
        <v>86</v>
      </c>
      <c r="Z2843" s="205" t="s">
        <v>76</v>
      </c>
      <c r="AA2843" s="205"/>
      <c r="AB2843" s="205"/>
    </row>
    <row r="2844" spans="1:28" ht="34.5" customHeight="1">
      <c r="A2844" s="152" t="str">
        <f>'Reported burning'!A2850</f>
        <v>305s</v>
      </c>
      <c r="B2844" s="152" t="str">
        <f>'Reported burning'!B2850</f>
        <v>305s.10</v>
      </c>
      <c r="C2844" s="152" t="str">
        <f>'Reported burning'!C2850</f>
        <v>Human, deliberate</v>
      </c>
      <c r="D2844" s="152" t="str">
        <f>'Reported burning'!D2850</f>
        <v>Pyrome management</v>
      </c>
      <c r="E2844" s="152" t="str">
        <f>'Reported burning'!E2850</f>
        <v>Fire suppression agent</v>
      </c>
      <c r="F2844" s="152" t="str">
        <f>'Reported burning'!F2850</f>
        <v>ND</v>
      </c>
      <c r="G2844" s="152" t="str">
        <f>'Reported burning'!G2850</f>
        <v>ND</v>
      </c>
      <c r="H2844" s="152" t="str">
        <f>'Reported burning'!H2850</f>
        <v>Absence</v>
      </c>
      <c r="I2844" s="205"/>
      <c r="J2844" s="21" t="s">
        <v>2364</v>
      </c>
      <c r="K2844" s="21" t="s">
        <v>2364</v>
      </c>
      <c r="L2844" s="21" t="s">
        <v>2364</v>
      </c>
      <c r="M2844" s="21" t="s">
        <v>2364</v>
      </c>
      <c r="N2844" s="21" t="s">
        <v>2364</v>
      </c>
      <c r="O2844" s="21" t="s">
        <v>2364</v>
      </c>
      <c r="P2844" s="21" t="s">
        <v>2364</v>
      </c>
      <c r="Q2844" s="21" t="s">
        <v>2364</v>
      </c>
      <c r="R2844" s="21" t="s">
        <v>2364</v>
      </c>
      <c r="S2844" s="21" t="s">
        <v>2364</v>
      </c>
      <c r="T2844" s="21" t="s">
        <v>2364</v>
      </c>
      <c r="U2844" s="21" t="s">
        <v>2364</v>
      </c>
      <c r="V2844" s="21" t="s">
        <v>2364</v>
      </c>
      <c r="W2844" s="205" t="s">
        <v>2276</v>
      </c>
      <c r="X2844" s="205" t="s">
        <v>68</v>
      </c>
      <c r="Y2844" s="205" t="s">
        <v>86</v>
      </c>
      <c r="Z2844" s="205" t="s">
        <v>76</v>
      </c>
      <c r="AA2844" s="205"/>
      <c r="AB2844" s="205"/>
    </row>
    <row r="2845" spans="1:28" ht="34.5" customHeight="1">
      <c r="A2845" s="152" t="str">
        <f>'Reported burning'!A2851</f>
        <v>305t</v>
      </c>
      <c r="B2845" s="152" t="str">
        <f>'Reported burning'!B2851</f>
        <v>305t.10</v>
      </c>
      <c r="C2845" s="152" t="str">
        <f>'Reported burning'!C2851</f>
        <v>Human, deliberate</v>
      </c>
      <c r="D2845" s="152" t="str">
        <f>'Reported burning'!D2851</f>
        <v>Pyrome management</v>
      </c>
      <c r="E2845" s="152" t="str">
        <f>'Reported burning'!E2851</f>
        <v>Fire suppression agent</v>
      </c>
      <c r="F2845" s="152" t="str">
        <f>'Reported burning'!F2851</f>
        <v>ND</v>
      </c>
      <c r="G2845" s="152" t="str">
        <f>'Reported burning'!G2851</f>
        <v>ND</v>
      </c>
      <c r="H2845" s="152" t="str">
        <f>'Reported burning'!H2851</f>
        <v>Absence</v>
      </c>
      <c r="I2845" s="205"/>
      <c r="J2845" s="21" t="s">
        <v>2364</v>
      </c>
      <c r="K2845" s="21" t="s">
        <v>2364</v>
      </c>
      <c r="L2845" s="21" t="s">
        <v>2364</v>
      </c>
      <c r="M2845" s="21" t="s">
        <v>2364</v>
      </c>
      <c r="N2845" s="21" t="s">
        <v>2364</v>
      </c>
      <c r="O2845" s="21" t="s">
        <v>2364</v>
      </c>
      <c r="P2845" s="21" t="s">
        <v>2364</v>
      </c>
      <c r="Q2845" s="21" t="s">
        <v>2364</v>
      </c>
      <c r="R2845" s="21" t="s">
        <v>2364</v>
      </c>
      <c r="S2845" s="21" t="s">
        <v>2364</v>
      </c>
      <c r="T2845" s="21" t="s">
        <v>2364</v>
      </c>
      <c r="U2845" s="21" t="s">
        <v>2364</v>
      </c>
      <c r="V2845" s="21" t="s">
        <v>2364</v>
      </c>
      <c r="W2845" s="205" t="s">
        <v>2276</v>
      </c>
      <c r="X2845" s="205" t="s">
        <v>68</v>
      </c>
      <c r="Y2845" s="205" t="s">
        <v>86</v>
      </c>
      <c r="Z2845" s="205" t="s">
        <v>76</v>
      </c>
      <c r="AA2845" s="205"/>
      <c r="AB2845" s="205"/>
    </row>
    <row r="2846" spans="1:28" ht="34.5" customHeight="1">
      <c r="A2846" s="152" t="str">
        <f>'Reported burning'!A2852</f>
        <v>305u</v>
      </c>
      <c r="B2846" s="152" t="str">
        <f>'Reported burning'!B2852</f>
        <v>305u.10</v>
      </c>
      <c r="C2846" s="152" t="str">
        <f>'Reported burning'!C2852</f>
        <v>Human, deliberate</v>
      </c>
      <c r="D2846" s="152" t="str">
        <f>'Reported burning'!D2852</f>
        <v>Pyrome management</v>
      </c>
      <c r="E2846" s="152" t="str">
        <f>'Reported burning'!E2852</f>
        <v>Fire suppression agent</v>
      </c>
      <c r="F2846" s="152" t="str">
        <f>'Reported burning'!F2852</f>
        <v>ND</v>
      </c>
      <c r="G2846" s="152" t="str">
        <f>'Reported burning'!G2852</f>
        <v>ND</v>
      </c>
      <c r="H2846" s="152" t="str">
        <f>'Reported burning'!H2852</f>
        <v>Presence</v>
      </c>
      <c r="I2846" s="205"/>
      <c r="J2846" s="205" t="s">
        <v>2276</v>
      </c>
      <c r="K2846" s="205" t="s">
        <v>2276</v>
      </c>
      <c r="L2846" s="205" t="s">
        <v>2276</v>
      </c>
      <c r="M2846" s="205" t="s">
        <v>2276</v>
      </c>
      <c r="N2846" s="205" t="s">
        <v>2276</v>
      </c>
      <c r="O2846" s="205" t="s">
        <v>2276</v>
      </c>
      <c r="P2846" s="205" t="s">
        <v>2276</v>
      </c>
      <c r="Q2846" s="205" t="s">
        <v>2276</v>
      </c>
      <c r="R2846" s="205" t="s">
        <v>2276</v>
      </c>
      <c r="S2846" s="205" t="s">
        <v>2276</v>
      </c>
      <c r="T2846" s="205" t="s">
        <v>2276</v>
      </c>
      <c r="U2846" s="205" t="s">
        <v>2276</v>
      </c>
      <c r="V2846" s="205" t="s">
        <v>2276</v>
      </c>
      <c r="W2846" s="205" t="s">
        <v>2276</v>
      </c>
      <c r="X2846" s="205" t="s">
        <v>68</v>
      </c>
      <c r="Y2846" s="205" t="s">
        <v>86</v>
      </c>
      <c r="Z2846" s="205" t="s">
        <v>76</v>
      </c>
      <c r="AA2846" s="205"/>
      <c r="AB2846" s="205"/>
    </row>
    <row r="2847" spans="1:28" ht="34.5" customHeight="1">
      <c r="A2847" s="152" t="str">
        <f>'Reported burning'!A2853</f>
        <v>305v</v>
      </c>
      <c r="B2847" s="152" t="str">
        <f>'Reported burning'!B2853</f>
        <v>305v.10</v>
      </c>
      <c r="C2847" s="152" t="str">
        <f>'Reported burning'!C2853</f>
        <v>Human, deliberate</v>
      </c>
      <c r="D2847" s="152" t="str">
        <f>'Reported burning'!D2853</f>
        <v>Pyrome management</v>
      </c>
      <c r="E2847" s="152" t="str">
        <f>'Reported burning'!E2853</f>
        <v>Fire suppression agent</v>
      </c>
      <c r="F2847" s="152" t="str">
        <f>'Reported burning'!F2853</f>
        <v>ND</v>
      </c>
      <c r="G2847" s="152" t="str">
        <f>'Reported burning'!G2853</f>
        <v>ND</v>
      </c>
      <c r="H2847" s="152" t="str">
        <f>'Reported burning'!H2853</f>
        <v>Presence</v>
      </c>
      <c r="I2847" s="205"/>
      <c r="J2847" s="205" t="s">
        <v>2276</v>
      </c>
      <c r="K2847" s="205" t="s">
        <v>2276</v>
      </c>
      <c r="L2847" s="205" t="s">
        <v>2276</v>
      </c>
      <c r="M2847" s="205" t="s">
        <v>2276</v>
      </c>
      <c r="N2847" s="205" t="s">
        <v>2276</v>
      </c>
      <c r="O2847" s="205" t="s">
        <v>2276</v>
      </c>
      <c r="P2847" s="205" t="s">
        <v>2276</v>
      </c>
      <c r="Q2847" s="205" t="s">
        <v>2276</v>
      </c>
      <c r="R2847" s="205" t="s">
        <v>2276</v>
      </c>
      <c r="S2847" s="205" t="s">
        <v>2276</v>
      </c>
      <c r="T2847" s="205" t="s">
        <v>2276</v>
      </c>
      <c r="U2847" s="205" t="s">
        <v>2276</v>
      </c>
      <c r="V2847" s="205" t="s">
        <v>2276</v>
      </c>
      <c r="W2847" s="205" t="s">
        <v>2276</v>
      </c>
      <c r="X2847" s="205" t="s">
        <v>68</v>
      </c>
      <c r="Y2847" s="205" t="s">
        <v>86</v>
      </c>
      <c r="Z2847" s="205" t="s">
        <v>76</v>
      </c>
      <c r="AA2847" s="205"/>
      <c r="AB2847" s="205"/>
    </row>
    <row r="2848" spans="1:28" ht="34.5" customHeight="1">
      <c r="A2848" s="152" t="str">
        <f>'Reported burning'!A2854</f>
        <v>305w</v>
      </c>
      <c r="B2848" s="152" t="str">
        <f>'Reported burning'!B2854</f>
        <v>305w.10</v>
      </c>
      <c r="C2848" s="152" t="str">
        <f>'Reported burning'!C2854</f>
        <v>Human, deliberate</v>
      </c>
      <c r="D2848" s="152" t="str">
        <f>'Reported burning'!D2854</f>
        <v>Pyrome management</v>
      </c>
      <c r="E2848" s="152" t="str">
        <f>'Reported burning'!E2854</f>
        <v>Fire suppression agent</v>
      </c>
      <c r="F2848" s="152" t="str">
        <f>'Reported burning'!F2854</f>
        <v>ND</v>
      </c>
      <c r="G2848" s="152" t="str">
        <f>'Reported burning'!G2854</f>
        <v>ND</v>
      </c>
      <c r="H2848" s="152" t="str">
        <f>'Reported burning'!H2854</f>
        <v>Presence</v>
      </c>
      <c r="I2848" s="205"/>
      <c r="J2848" s="205" t="s">
        <v>2276</v>
      </c>
      <c r="K2848" s="205" t="s">
        <v>2276</v>
      </c>
      <c r="L2848" s="205" t="s">
        <v>2276</v>
      </c>
      <c r="M2848" s="205" t="s">
        <v>2276</v>
      </c>
      <c r="N2848" s="205" t="s">
        <v>2276</v>
      </c>
      <c r="O2848" s="205" t="s">
        <v>2276</v>
      </c>
      <c r="P2848" s="205" t="s">
        <v>2276</v>
      </c>
      <c r="Q2848" s="205" t="s">
        <v>2276</v>
      </c>
      <c r="R2848" s="205" t="s">
        <v>2276</v>
      </c>
      <c r="S2848" s="205" t="s">
        <v>2276</v>
      </c>
      <c r="T2848" s="205" t="s">
        <v>2276</v>
      </c>
      <c r="U2848" s="205" t="s">
        <v>2276</v>
      </c>
      <c r="V2848" s="205" t="s">
        <v>2276</v>
      </c>
      <c r="W2848" s="205" t="s">
        <v>2276</v>
      </c>
      <c r="X2848" s="205" t="s">
        <v>68</v>
      </c>
      <c r="Y2848" s="205" t="s">
        <v>86</v>
      </c>
      <c r="Z2848" s="205" t="s">
        <v>76</v>
      </c>
      <c r="AA2848" s="205"/>
      <c r="AB2848" s="205"/>
    </row>
    <row r="2849" spans="1:28" ht="34.5" customHeight="1">
      <c r="A2849" s="152" t="str">
        <f>'Reported burning'!A2855</f>
        <v>305x</v>
      </c>
      <c r="B2849" s="152" t="str">
        <f>'Reported burning'!B2855</f>
        <v>305x.10</v>
      </c>
      <c r="C2849" s="152" t="str">
        <f>'Reported burning'!C2855</f>
        <v>Human, deliberate</v>
      </c>
      <c r="D2849" s="152" t="str">
        <f>'Reported burning'!D2855</f>
        <v>Pyrome management</v>
      </c>
      <c r="E2849" s="152" t="str">
        <f>'Reported burning'!E2855</f>
        <v>Fire suppression agent</v>
      </c>
      <c r="F2849" s="152" t="str">
        <f>'Reported burning'!F2855</f>
        <v>ND</v>
      </c>
      <c r="G2849" s="152" t="str">
        <f>'Reported burning'!G2855</f>
        <v>ND</v>
      </c>
      <c r="H2849" s="152" t="str">
        <f>'Reported burning'!H2855</f>
        <v>Presence</v>
      </c>
      <c r="I2849" s="205"/>
      <c r="J2849" s="205" t="s">
        <v>2276</v>
      </c>
      <c r="K2849" s="205" t="s">
        <v>2276</v>
      </c>
      <c r="L2849" s="205" t="s">
        <v>2276</v>
      </c>
      <c r="M2849" s="205" t="s">
        <v>2276</v>
      </c>
      <c r="N2849" s="205" t="s">
        <v>2276</v>
      </c>
      <c r="O2849" s="205" t="s">
        <v>2276</v>
      </c>
      <c r="P2849" s="205" t="s">
        <v>2276</v>
      </c>
      <c r="Q2849" s="205" t="s">
        <v>2276</v>
      </c>
      <c r="R2849" s="205" t="s">
        <v>2276</v>
      </c>
      <c r="S2849" s="205" t="s">
        <v>2276</v>
      </c>
      <c r="T2849" s="205" t="s">
        <v>2276</v>
      </c>
      <c r="U2849" s="205" t="s">
        <v>2276</v>
      </c>
      <c r="V2849" s="205" t="s">
        <v>2276</v>
      </c>
      <c r="W2849" s="205" t="s">
        <v>2276</v>
      </c>
      <c r="X2849" s="205" t="s">
        <v>68</v>
      </c>
      <c r="Y2849" s="205" t="s">
        <v>86</v>
      </c>
      <c r="Z2849" s="205" t="s">
        <v>76</v>
      </c>
      <c r="AA2849" s="205"/>
      <c r="AB2849" s="205"/>
    </row>
    <row r="2850" spans="1:28" ht="34.5" customHeight="1">
      <c r="A2850" s="152" t="str">
        <f>'Reported burning'!A2856</f>
        <v>305y</v>
      </c>
      <c r="B2850" s="152" t="str">
        <f>'Reported burning'!B2856</f>
        <v>305y.10</v>
      </c>
      <c r="C2850" s="152" t="str">
        <f>'Reported burning'!C2856</f>
        <v>Human, deliberate</v>
      </c>
      <c r="D2850" s="152" t="str">
        <f>'Reported burning'!D2856</f>
        <v>Pyrome management</v>
      </c>
      <c r="E2850" s="152" t="str">
        <f>'Reported burning'!E2856</f>
        <v>Fire suppression agent</v>
      </c>
      <c r="F2850" s="152" t="str">
        <f>'Reported burning'!F2856</f>
        <v>ND</v>
      </c>
      <c r="G2850" s="152" t="str">
        <f>'Reported burning'!G2856</f>
        <v>ND</v>
      </c>
      <c r="H2850" s="152" t="str">
        <f>'Reported burning'!H2856</f>
        <v>Presence</v>
      </c>
      <c r="I2850" s="205"/>
      <c r="J2850" s="205" t="s">
        <v>2276</v>
      </c>
      <c r="K2850" s="205" t="s">
        <v>2276</v>
      </c>
      <c r="L2850" s="205" t="s">
        <v>2276</v>
      </c>
      <c r="M2850" s="205" t="s">
        <v>2276</v>
      </c>
      <c r="N2850" s="205" t="s">
        <v>2276</v>
      </c>
      <c r="O2850" s="205" t="s">
        <v>2276</v>
      </c>
      <c r="P2850" s="205" t="s">
        <v>2276</v>
      </c>
      <c r="Q2850" s="205" t="s">
        <v>2276</v>
      </c>
      <c r="R2850" s="205" t="s">
        <v>2276</v>
      </c>
      <c r="S2850" s="205" t="s">
        <v>2276</v>
      </c>
      <c r="T2850" s="205" t="s">
        <v>2276</v>
      </c>
      <c r="U2850" s="205" t="s">
        <v>2276</v>
      </c>
      <c r="V2850" s="205" t="s">
        <v>2276</v>
      </c>
      <c r="W2850" s="205" t="s">
        <v>2276</v>
      </c>
      <c r="X2850" s="205" t="s">
        <v>68</v>
      </c>
      <c r="Y2850" s="205" t="s">
        <v>86</v>
      </c>
      <c r="Z2850" s="205" t="s">
        <v>76</v>
      </c>
      <c r="AA2850" s="205"/>
      <c r="AB2850" s="205"/>
    </row>
    <row r="2851" spans="1:28" ht="34.5" customHeight="1">
      <c r="A2851" s="152" t="str">
        <f>'Reported burning'!A2857</f>
        <v>305z</v>
      </c>
      <c r="B2851" s="152" t="str">
        <f>'Reported burning'!B2857</f>
        <v>305z.10</v>
      </c>
      <c r="C2851" s="152" t="str">
        <f>'Reported burning'!C2857</f>
        <v>Human, deliberate</v>
      </c>
      <c r="D2851" s="152" t="str">
        <f>'Reported burning'!D2857</f>
        <v>Pyrome management</v>
      </c>
      <c r="E2851" s="152" t="str">
        <f>'Reported burning'!E2857</f>
        <v>Fire suppression agent</v>
      </c>
      <c r="F2851" s="152" t="str">
        <f>'Reported burning'!F2857</f>
        <v>ND</v>
      </c>
      <c r="G2851" s="152" t="str">
        <f>'Reported burning'!G2857</f>
        <v>ND</v>
      </c>
      <c r="H2851" s="152" t="str">
        <f>'Reported burning'!H2857</f>
        <v>Presence</v>
      </c>
      <c r="I2851" s="205"/>
      <c r="J2851" s="205" t="s">
        <v>2276</v>
      </c>
      <c r="K2851" s="205" t="s">
        <v>2276</v>
      </c>
      <c r="L2851" s="205" t="s">
        <v>2276</v>
      </c>
      <c r="M2851" s="205" t="s">
        <v>2276</v>
      </c>
      <c r="N2851" s="205" t="s">
        <v>2276</v>
      </c>
      <c r="O2851" s="205" t="s">
        <v>2276</v>
      </c>
      <c r="P2851" s="205" t="s">
        <v>2276</v>
      </c>
      <c r="Q2851" s="205" t="s">
        <v>2276</v>
      </c>
      <c r="R2851" s="205" t="s">
        <v>2276</v>
      </c>
      <c r="S2851" s="205" t="s">
        <v>2276</v>
      </c>
      <c r="T2851" s="205" t="s">
        <v>2276</v>
      </c>
      <c r="U2851" s="205" t="s">
        <v>2276</v>
      </c>
      <c r="V2851" s="205" t="s">
        <v>2276</v>
      </c>
      <c r="W2851" s="205" t="s">
        <v>2276</v>
      </c>
      <c r="X2851" s="205" t="s">
        <v>68</v>
      </c>
      <c r="Y2851" s="205" t="s">
        <v>86</v>
      </c>
      <c r="Z2851" s="205" t="s">
        <v>76</v>
      </c>
      <c r="AA2851" s="205"/>
      <c r="AB2851" s="205"/>
    </row>
    <row r="2852" spans="1:28" ht="34.5" customHeight="1">
      <c r="A2852" s="152" t="str">
        <f>'Reported burning'!A2858</f>
        <v>305aa</v>
      </c>
      <c r="B2852" s="152" t="str">
        <f>'Reported burning'!B2858</f>
        <v>305aa.10</v>
      </c>
      <c r="C2852" s="152" t="str">
        <f>'Reported burning'!C2858</f>
        <v>Human, deliberate</v>
      </c>
      <c r="D2852" s="152" t="str">
        <f>'Reported burning'!D2858</f>
        <v>Pyrome management</v>
      </c>
      <c r="E2852" s="152" t="str">
        <f>'Reported burning'!E2858</f>
        <v>Fire suppression agent</v>
      </c>
      <c r="F2852" s="152" t="str">
        <f>'Reported burning'!F2858</f>
        <v>ND</v>
      </c>
      <c r="G2852" s="152" t="str">
        <f>'Reported burning'!G2858</f>
        <v>ND</v>
      </c>
      <c r="H2852" s="152" t="str">
        <f>'Reported burning'!H2858</f>
        <v>Presence</v>
      </c>
      <c r="I2852" s="205"/>
      <c r="J2852" s="205" t="s">
        <v>2276</v>
      </c>
      <c r="K2852" s="205" t="s">
        <v>2276</v>
      </c>
      <c r="L2852" s="205" t="s">
        <v>2276</v>
      </c>
      <c r="M2852" s="205" t="s">
        <v>2276</v>
      </c>
      <c r="N2852" s="205" t="s">
        <v>2276</v>
      </c>
      <c r="O2852" s="205" t="s">
        <v>2276</v>
      </c>
      <c r="P2852" s="205" t="s">
        <v>2276</v>
      </c>
      <c r="Q2852" s="205" t="s">
        <v>2276</v>
      </c>
      <c r="R2852" s="205" t="s">
        <v>2276</v>
      </c>
      <c r="S2852" s="205" t="s">
        <v>2276</v>
      </c>
      <c r="T2852" s="205" t="s">
        <v>2276</v>
      </c>
      <c r="U2852" s="205" t="s">
        <v>2276</v>
      </c>
      <c r="V2852" s="205" t="s">
        <v>2276</v>
      </c>
      <c r="W2852" s="205" t="s">
        <v>2276</v>
      </c>
      <c r="X2852" s="205" t="s">
        <v>68</v>
      </c>
      <c r="Y2852" s="205" t="s">
        <v>86</v>
      </c>
      <c r="Z2852" s="205" t="s">
        <v>76</v>
      </c>
      <c r="AA2852" s="205"/>
      <c r="AB2852" s="205"/>
    </row>
    <row r="2853" spans="1:28" ht="34.5" customHeight="1">
      <c r="A2853" s="152" t="str">
        <f>'Reported burning'!A2859</f>
        <v>305ab</v>
      </c>
      <c r="B2853" s="152" t="str">
        <f>'Reported burning'!B2859</f>
        <v>305ab.10</v>
      </c>
      <c r="C2853" s="152" t="str">
        <f>'Reported burning'!C2859</f>
        <v>Human, deliberate</v>
      </c>
      <c r="D2853" s="152" t="str">
        <f>'Reported burning'!D2859</f>
        <v>Pyrome management</v>
      </c>
      <c r="E2853" s="152" t="str">
        <f>'Reported burning'!E2859</f>
        <v>Fire suppression agent</v>
      </c>
      <c r="F2853" s="152" t="str">
        <f>'Reported burning'!F2859</f>
        <v>ND</v>
      </c>
      <c r="G2853" s="152" t="str">
        <f>'Reported burning'!G2859</f>
        <v>ND</v>
      </c>
      <c r="H2853" s="152" t="str">
        <f>'Reported burning'!H2859</f>
        <v>Presence</v>
      </c>
      <c r="I2853" s="205"/>
      <c r="J2853" s="205" t="s">
        <v>2276</v>
      </c>
      <c r="K2853" s="205" t="s">
        <v>2276</v>
      </c>
      <c r="L2853" s="205" t="s">
        <v>2276</v>
      </c>
      <c r="M2853" s="205" t="s">
        <v>2276</v>
      </c>
      <c r="N2853" s="205" t="s">
        <v>2276</v>
      </c>
      <c r="O2853" s="205" t="s">
        <v>2276</v>
      </c>
      <c r="P2853" s="205" t="s">
        <v>2276</v>
      </c>
      <c r="Q2853" s="205" t="s">
        <v>2276</v>
      </c>
      <c r="R2853" s="205" t="s">
        <v>2276</v>
      </c>
      <c r="S2853" s="205" t="s">
        <v>2276</v>
      </c>
      <c r="T2853" s="205" t="s">
        <v>2276</v>
      </c>
      <c r="U2853" s="205" t="s">
        <v>2276</v>
      </c>
      <c r="V2853" s="205" t="s">
        <v>2276</v>
      </c>
      <c r="W2853" s="205" t="s">
        <v>2276</v>
      </c>
      <c r="X2853" s="205" t="s">
        <v>68</v>
      </c>
      <c r="Y2853" s="205" t="s">
        <v>86</v>
      </c>
      <c r="Z2853" s="205" t="s">
        <v>76</v>
      </c>
      <c r="AA2853" s="205"/>
      <c r="AB2853" s="205"/>
    </row>
    <row r="2854" spans="1:28" ht="34.5" customHeight="1">
      <c r="A2854" s="152" t="str">
        <f>'Reported burning'!A2860</f>
        <v>305ac</v>
      </c>
      <c r="B2854" s="152" t="str">
        <f>'Reported burning'!B2860</f>
        <v>305ac.10</v>
      </c>
      <c r="C2854" s="152" t="str">
        <f>'Reported burning'!C2860</f>
        <v>Human, deliberate</v>
      </c>
      <c r="D2854" s="152" t="str">
        <f>'Reported burning'!D2860</f>
        <v>Pyrome management</v>
      </c>
      <c r="E2854" s="152" t="str">
        <f>'Reported burning'!E2860</f>
        <v>Fire suppression agent</v>
      </c>
      <c r="F2854" s="152" t="str">
        <f>'Reported burning'!F2860</f>
        <v>ND</v>
      </c>
      <c r="G2854" s="152" t="str">
        <f>'Reported burning'!G2860</f>
        <v>ND</v>
      </c>
      <c r="H2854" s="152" t="str">
        <f>'Reported burning'!H2860</f>
        <v>Presence</v>
      </c>
      <c r="I2854" s="205"/>
      <c r="J2854" s="205" t="s">
        <v>2276</v>
      </c>
      <c r="K2854" s="205" t="s">
        <v>2276</v>
      </c>
      <c r="L2854" s="205" t="s">
        <v>2276</v>
      </c>
      <c r="M2854" s="205" t="s">
        <v>2276</v>
      </c>
      <c r="N2854" s="205" t="s">
        <v>2276</v>
      </c>
      <c r="O2854" s="205" t="s">
        <v>2276</v>
      </c>
      <c r="P2854" s="205" t="s">
        <v>2276</v>
      </c>
      <c r="Q2854" s="205" t="s">
        <v>2276</v>
      </c>
      <c r="R2854" s="205" t="s">
        <v>2276</v>
      </c>
      <c r="S2854" s="205" t="s">
        <v>2276</v>
      </c>
      <c r="T2854" s="205" t="s">
        <v>2276</v>
      </c>
      <c r="U2854" s="205" t="s">
        <v>2276</v>
      </c>
      <c r="V2854" s="205" t="s">
        <v>2276</v>
      </c>
      <c r="W2854" s="205" t="s">
        <v>2276</v>
      </c>
      <c r="X2854" s="205" t="s">
        <v>68</v>
      </c>
      <c r="Y2854" s="205" t="s">
        <v>86</v>
      </c>
      <c r="Z2854" s="205" t="s">
        <v>76</v>
      </c>
      <c r="AA2854" s="205"/>
      <c r="AB2854" s="205"/>
    </row>
    <row r="2855" spans="1:28" ht="34.5" customHeight="1">
      <c r="A2855" s="152" t="str">
        <f>'Reported burning'!A2861</f>
        <v>305ad</v>
      </c>
      <c r="B2855" s="152" t="str">
        <f>'Reported burning'!B2861</f>
        <v>305ad.10</v>
      </c>
      <c r="C2855" s="152" t="str">
        <f>'Reported burning'!C2861</f>
        <v>Human, deliberate</v>
      </c>
      <c r="D2855" s="152" t="str">
        <f>'Reported burning'!D2861</f>
        <v>Pyrome management</v>
      </c>
      <c r="E2855" s="152" t="str">
        <f>'Reported burning'!E2861</f>
        <v>Fire suppression agent</v>
      </c>
      <c r="F2855" s="152" t="str">
        <f>'Reported burning'!F2861</f>
        <v>ND</v>
      </c>
      <c r="G2855" s="152" t="str">
        <f>'Reported burning'!G2861</f>
        <v>ND</v>
      </c>
      <c r="H2855" s="152" t="str">
        <f>'Reported burning'!H2861</f>
        <v>Presence</v>
      </c>
      <c r="I2855" s="205"/>
      <c r="J2855" s="205" t="s">
        <v>2276</v>
      </c>
      <c r="K2855" s="205" t="s">
        <v>2276</v>
      </c>
      <c r="L2855" s="205" t="s">
        <v>2276</v>
      </c>
      <c r="M2855" s="205" t="s">
        <v>2276</v>
      </c>
      <c r="N2855" s="205" t="s">
        <v>2276</v>
      </c>
      <c r="O2855" s="205" t="s">
        <v>2276</v>
      </c>
      <c r="P2855" s="205" t="s">
        <v>2276</v>
      </c>
      <c r="Q2855" s="205" t="s">
        <v>2276</v>
      </c>
      <c r="R2855" s="205" t="s">
        <v>2276</v>
      </c>
      <c r="S2855" s="205" t="s">
        <v>2276</v>
      </c>
      <c r="T2855" s="205" t="s">
        <v>2276</v>
      </c>
      <c r="U2855" s="205" t="s">
        <v>2276</v>
      </c>
      <c r="V2855" s="205" t="s">
        <v>2276</v>
      </c>
      <c r="W2855" s="205" t="s">
        <v>2276</v>
      </c>
      <c r="X2855" s="205" t="s">
        <v>68</v>
      </c>
      <c r="Y2855" s="205" t="s">
        <v>86</v>
      </c>
      <c r="Z2855" s="205" t="s">
        <v>76</v>
      </c>
      <c r="AA2855" s="205"/>
      <c r="AB2855" s="205"/>
    </row>
    <row r="2856" spans="1:28" ht="34.5" customHeight="1">
      <c r="A2856" s="152" t="str">
        <f>'Reported burning'!A2862</f>
        <v>305ae</v>
      </c>
      <c r="B2856" s="152" t="str">
        <f>'Reported burning'!B2862</f>
        <v>305ae.10</v>
      </c>
      <c r="C2856" s="152" t="str">
        <f>'Reported burning'!C2862</f>
        <v>Human, deliberate</v>
      </c>
      <c r="D2856" s="152" t="str">
        <f>'Reported burning'!D2862</f>
        <v>Pyrome management</v>
      </c>
      <c r="E2856" s="152" t="str">
        <f>'Reported burning'!E2862</f>
        <v>Fire suppression agent</v>
      </c>
      <c r="F2856" s="152" t="str">
        <f>'Reported burning'!F2862</f>
        <v>ND</v>
      </c>
      <c r="G2856" s="152" t="str">
        <f>'Reported burning'!G2862</f>
        <v>ND</v>
      </c>
      <c r="H2856" s="152" t="str">
        <f>'Reported burning'!H2862</f>
        <v>Presence</v>
      </c>
      <c r="I2856" s="205"/>
      <c r="J2856" s="205" t="s">
        <v>2276</v>
      </c>
      <c r="K2856" s="205" t="s">
        <v>2276</v>
      </c>
      <c r="L2856" s="205" t="s">
        <v>2276</v>
      </c>
      <c r="M2856" s="205" t="s">
        <v>2276</v>
      </c>
      <c r="N2856" s="205" t="s">
        <v>2276</v>
      </c>
      <c r="O2856" s="205" t="s">
        <v>2276</v>
      </c>
      <c r="P2856" s="205" t="s">
        <v>2276</v>
      </c>
      <c r="Q2856" s="205" t="s">
        <v>2276</v>
      </c>
      <c r="R2856" s="205" t="s">
        <v>2276</v>
      </c>
      <c r="S2856" s="205" t="s">
        <v>2276</v>
      </c>
      <c r="T2856" s="205" t="s">
        <v>2276</v>
      </c>
      <c r="U2856" s="205" t="s">
        <v>2276</v>
      </c>
      <c r="V2856" s="205" t="s">
        <v>2276</v>
      </c>
      <c r="W2856" s="205" t="s">
        <v>2276</v>
      </c>
      <c r="X2856" s="205" t="s">
        <v>68</v>
      </c>
      <c r="Y2856" s="205" t="s">
        <v>86</v>
      </c>
      <c r="Z2856" s="205" t="s">
        <v>76</v>
      </c>
      <c r="AA2856" s="205"/>
      <c r="AB2856" s="205"/>
    </row>
    <row r="2857" spans="1:28" ht="29" customHeight="1">
      <c r="A2857" s="156" t="str">
        <f>'Reported burning'!A2863</f>
        <v>305af</v>
      </c>
      <c r="B2857" s="156" t="str">
        <f>'Reported burning'!B2863</f>
        <v>305af.1</v>
      </c>
      <c r="C2857" s="156" t="str">
        <f>'Reported burning'!C2863</f>
        <v>Human, deliberate</v>
      </c>
      <c r="D2857" s="156" t="str">
        <f>'Reported burning'!D2863</f>
        <v>Pyrome management</v>
      </c>
      <c r="E2857" s="156" t="str">
        <f>'Reported burning'!E2863</f>
        <v>Fire suppression agent</v>
      </c>
      <c r="F2857" s="156" t="str">
        <f>'Reported burning'!F2863</f>
        <v>ND</v>
      </c>
      <c r="G2857" s="156" t="str">
        <f>'Reported burning'!G2863</f>
        <v>ND</v>
      </c>
      <c r="H2857" s="156" t="str">
        <f>'Reported burning'!H2863</f>
        <v>Presence</v>
      </c>
      <c r="I2857" s="5"/>
      <c r="J2857" s="205" t="s">
        <v>2276</v>
      </c>
      <c r="K2857" s="205" t="s">
        <v>2276</v>
      </c>
      <c r="L2857" s="205" t="s">
        <v>2276</v>
      </c>
      <c r="M2857" s="205" t="s">
        <v>2276</v>
      </c>
      <c r="N2857" s="205" t="s">
        <v>2276</v>
      </c>
      <c r="O2857" s="205" t="s">
        <v>2276</v>
      </c>
      <c r="P2857" s="205" t="s">
        <v>2276</v>
      </c>
      <c r="Q2857" s="205" t="s">
        <v>2276</v>
      </c>
      <c r="R2857" s="205" t="s">
        <v>2276</v>
      </c>
      <c r="S2857" s="205" t="s">
        <v>2276</v>
      </c>
      <c r="T2857" s="205" t="s">
        <v>2276</v>
      </c>
      <c r="U2857" s="205" t="s">
        <v>2276</v>
      </c>
      <c r="V2857" s="205" t="s">
        <v>2276</v>
      </c>
      <c r="W2857" s="205" t="s">
        <v>2276</v>
      </c>
      <c r="X2857" s="205" t="s">
        <v>188</v>
      </c>
      <c r="Y2857" s="205" t="s">
        <v>189</v>
      </c>
      <c r="Z2857" s="205" t="s">
        <v>64</v>
      </c>
      <c r="AA2857" s="205"/>
      <c r="AB2857" s="205"/>
    </row>
    <row r="2858" spans="1:28" ht="29" customHeight="1">
      <c r="A2858" s="156" t="str">
        <f>'Reported burning'!A2864</f>
        <v>305af</v>
      </c>
      <c r="B2858" s="156" t="str">
        <f>'Reported burning'!B2864</f>
        <v>305af.2</v>
      </c>
      <c r="C2858" s="156" t="str">
        <f>'Reported burning'!C2864</f>
        <v>Human, deliberate</v>
      </c>
      <c r="D2858" s="156" t="str">
        <f>'Reported burning'!D2864</f>
        <v>Pyrome management</v>
      </c>
      <c r="E2858" s="156" t="str">
        <f>'Reported burning'!E2864</f>
        <v>Fire suppression agent</v>
      </c>
      <c r="F2858" s="156" t="str">
        <f>'Reported burning'!F2864</f>
        <v>ND</v>
      </c>
      <c r="G2858" s="156" t="str">
        <f>'Reported burning'!G2864</f>
        <v>ND</v>
      </c>
      <c r="H2858" s="156" t="str">
        <f>'Reported burning'!H2864</f>
        <v>Presence</v>
      </c>
      <c r="I2858" s="5"/>
      <c r="J2858" s="205" t="s">
        <v>2276</v>
      </c>
      <c r="K2858" s="205" t="s">
        <v>2276</v>
      </c>
      <c r="L2858" s="205" t="s">
        <v>2276</v>
      </c>
      <c r="M2858" s="205" t="s">
        <v>2276</v>
      </c>
      <c r="N2858" s="205" t="s">
        <v>2276</v>
      </c>
      <c r="O2858" s="205" t="s">
        <v>2276</v>
      </c>
      <c r="P2858" s="205" t="s">
        <v>2276</v>
      </c>
      <c r="Q2858" s="205" t="s">
        <v>2276</v>
      </c>
      <c r="R2858" s="205" t="s">
        <v>2276</v>
      </c>
      <c r="S2858" s="205" t="s">
        <v>2276</v>
      </c>
      <c r="T2858" s="205" t="s">
        <v>2276</v>
      </c>
      <c r="U2858" s="205" t="s">
        <v>2276</v>
      </c>
      <c r="V2858" s="205" t="s">
        <v>2276</v>
      </c>
      <c r="W2858" s="205" t="s">
        <v>2276</v>
      </c>
      <c r="X2858" s="205" t="s">
        <v>188</v>
      </c>
      <c r="Y2858" s="205" t="s">
        <v>189</v>
      </c>
      <c r="Z2858" s="205" t="s">
        <v>64</v>
      </c>
      <c r="AA2858" s="205"/>
      <c r="AB2858" s="205"/>
    </row>
    <row r="2859" spans="1:28" ht="29" customHeight="1">
      <c r="A2859" s="156" t="str">
        <f>'Reported burning'!A2865</f>
        <v>305af</v>
      </c>
      <c r="B2859" s="156" t="str">
        <f>'Reported burning'!B2865</f>
        <v>305af.3</v>
      </c>
      <c r="C2859" s="156" t="str">
        <f>'Reported burning'!C2865</f>
        <v>Human, deliberate</v>
      </c>
      <c r="D2859" s="156" t="str">
        <f>'Reported burning'!D2865</f>
        <v>Pyrome management</v>
      </c>
      <c r="E2859" s="156" t="str">
        <f>'Reported burning'!E2865</f>
        <v>Fire suppression agent</v>
      </c>
      <c r="F2859" s="156" t="str">
        <f>'Reported burning'!F2865</f>
        <v>ND</v>
      </c>
      <c r="G2859" s="156" t="str">
        <f>'Reported burning'!G2865</f>
        <v>ND</v>
      </c>
      <c r="H2859" s="156" t="str">
        <f>'Reported burning'!H2865</f>
        <v>Presence</v>
      </c>
      <c r="I2859" s="5"/>
      <c r="J2859" s="205" t="s">
        <v>2276</v>
      </c>
      <c r="K2859" s="205" t="s">
        <v>2276</v>
      </c>
      <c r="L2859" s="205" t="s">
        <v>2276</v>
      </c>
      <c r="M2859" s="205" t="s">
        <v>2276</v>
      </c>
      <c r="N2859" s="205" t="s">
        <v>2276</v>
      </c>
      <c r="O2859" s="205" t="s">
        <v>2276</v>
      </c>
      <c r="P2859" s="205" t="s">
        <v>2276</v>
      </c>
      <c r="Q2859" s="205" t="s">
        <v>2276</v>
      </c>
      <c r="R2859" s="205" t="s">
        <v>2276</v>
      </c>
      <c r="S2859" s="205" t="s">
        <v>2276</v>
      </c>
      <c r="T2859" s="205" t="s">
        <v>2276</v>
      </c>
      <c r="U2859" s="205" t="s">
        <v>2276</v>
      </c>
      <c r="V2859" s="205" t="s">
        <v>2276</v>
      </c>
      <c r="W2859" s="205" t="s">
        <v>2276</v>
      </c>
      <c r="X2859" s="205" t="s">
        <v>188</v>
      </c>
      <c r="Y2859" s="205" t="s">
        <v>189</v>
      </c>
      <c r="Z2859" s="205" t="s">
        <v>64</v>
      </c>
      <c r="AA2859" s="205"/>
      <c r="AB2859" s="205"/>
    </row>
    <row r="2860" spans="1:28" ht="29" customHeight="1">
      <c r="A2860" s="156" t="str">
        <f>'Reported burning'!A2866</f>
        <v>305af</v>
      </c>
      <c r="B2860" s="156" t="str">
        <f>'Reported burning'!B2866</f>
        <v>305af.4</v>
      </c>
      <c r="C2860" s="156" t="str">
        <f>'Reported burning'!C2866</f>
        <v>Human, deliberate</v>
      </c>
      <c r="D2860" s="156" t="str">
        <f>'Reported burning'!D2866</f>
        <v>Pyrome management</v>
      </c>
      <c r="E2860" s="156" t="str">
        <f>'Reported burning'!E2866</f>
        <v>Fire suppression agent</v>
      </c>
      <c r="F2860" s="156" t="str">
        <f>'Reported burning'!F2866</f>
        <v>ND</v>
      </c>
      <c r="G2860" s="156" t="str">
        <f>'Reported burning'!G2866</f>
        <v>ND</v>
      </c>
      <c r="H2860" s="156" t="str">
        <f>'Reported burning'!H2866</f>
        <v>Presence</v>
      </c>
      <c r="I2860" s="5"/>
      <c r="J2860" s="205" t="s">
        <v>2276</v>
      </c>
      <c r="K2860" s="205" t="s">
        <v>2276</v>
      </c>
      <c r="L2860" s="205" t="s">
        <v>2276</v>
      </c>
      <c r="M2860" s="205" t="s">
        <v>2276</v>
      </c>
      <c r="N2860" s="205" t="s">
        <v>2276</v>
      </c>
      <c r="O2860" s="205" t="s">
        <v>2276</v>
      </c>
      <c r="P2860" s="205" t="s">
        <v>2276</v>
      </c>
      <c r="Q2860" s="205" t="s">
        <v>2276</v>
      </c>
      <c r="R2860" s="205" t="s">
        <v>2276</v>
      </c>
      <c r="S2860" s="205" t="s">
        <v>2276</v>
      </c>
      <c r="T2860" s="205" t="s">
        <v>2276</v>
      </c>
      <c r="U2860" s="205" t="s">
        <v>2276</v>
      </c>
      <c r="V2860" s="205" t="s">
        <v>2276</v>
      </c>
      <c r="W2860" s="205" t="s">
        <v>2276</v>
      </c>
      <c r="X2860" s="205" t="s">
        <v>188</v>
      </c>
      <c r="Y2860" s="205" t="s">
        <v>189</v>
      </c>
      <c r="Z2860" s="205" t="s">
        <v>64</v>
      </c>
      <c r="AA2860" s="205"/>
      <c r="AB2860" s="205"/>
    </row>
    <row r="2861" spans="1:28" ht="29" customHeight="1">
      <c r="A2861" s="156" t="str">
        <f>'Reported burning'!A2867</f>
        <v>305af</v>
      </c>
      <c r="B2861" s="156" t="str">
        <f>'Reported burning'!B2867</f>
        <v>305af.5</v>
      </c>
      <c r="C2861" s="156" t="str">
        <f>'Reported burning'!C2867</f>
        <v>Human, deliberate</v>
      </c>
      <c r="D2861" s="156" t="str">
        <f>'Reported burning'!D2867</f>
        <v>Pyrome management</v>
      </c>
      <c r="E2861" s="156" t="str">
        <f>'Reported burning'!E2867</f>
        <v>Fire suppression agent</v>
      </c>
      <c r="F2861" s="156" t="str">
        <f>'Reported burning'!F2867</f>
        <v>ND</v>
      </c>
      <c r="G2861" s="156" t="str">
        <f>'Reported burning'!G2867</f>
        <v>ND</v>
      </c>
      <c r="H2861" s="156" t="str">
        <f>'Reported burning'!H2867</f>
        <v>Presence</v>
      </c>
      <c r="I2861" s="5"/>
      <c r="J2861" s="205" t="s">
        <v>2276</v>
      </c>
      <c r="K2861" s="205" t="s">
        <v>2276</v>
      </c>
      <c r="L2861" s="205" t="s">
        <v>2276</v>
      </c>
      <c r="M2861" s="205" t="s">
        <v>2276</v>
      </c>
      <c r="N2861" s="205" t="s">
        <v>2276</v>
      </c>
      <c r="O2861" s="205" t="s">
        <v>2276</v>
      </c>
      <c r="P2861" s="205" t="s">
        <v>2276</v>
      </c>
      <c r="Q2861" s="205" t="s">
        <v>2276</v>
      </c>
      <c r="R2861" s="205" t="s">
        <v>2276</v>
      </c>
      <c r="S2861" s="205" t="s">
        <v>2276</v>
      </c>
      <c r="T2861" s="205" t="s">
        <v>2276</v>
      </c>
      <c r="U2861" s="205" t="s">
        <v>2276</v>
      </c>
      <c r="V2861" s="205" t="s">
        <v>2276</v>
      </c>
      <c r="W2861" s="205" t="s">
        <v>2276</v>
      </c>
      <c r="X2861" s="205" t="s">
        <v>188</v>
      </c>
      <c r="Y2861" s="205" t="s">
        <v>189</v>
      </c>
      <c r="Z2861" s="205" t="s">
        <v>64</v>
      </c>
      <c r="AA2861" s="205"/>
      <c r="AB2861" s="205"/>
    </row>
    <row r="2862" spans="1:28" ht="29" customHeight="1">
      <c r="A2862" s="156" t="str">
        <f>'Reported burning'!A2868</f>
        <v>305af</v>
      </c>
      <c r="B2862" s="156" t="str">
        <f>'Reported burning'!B2868</f>
        <v>305af.6</v>
      </c>
      <c r="C2862" s="156" t="str">
        <f>'Reported burning'!C2868</f>
        <v>Human, deliberate</v>
      </c>
      <c r="D2862" s="156" t="str">
        <f>'Reported burning'!D2868</f>
        <v>Pyrome management</v>
      </c>
      <c r="E2862" s="156" t="str">
        <f>'Reported burning'!E2868</f>
        <v>Fire suppression agent</v>
      </c>
      <c r="F2862" s="156" t="str">
        <f>'Reported burning'!F2868</f>
        <v>ND</v>
      </c>
      <c r="G2862" s="156" t="str">
        <f>'Reported burning'!G2868</f>
        <v>ND</v>
      </c>
      <c r="H2862" s="156" t="str">
        <f>'Reported burning'!H2868</f>
        <v>Presence</v>
      </c>
      <c r="I2862" s="5"/>
      <c r="J2862" s="205" t="s">
        <v>2276</v>
      </c>
      <c r="K2862" s="205" t="s">
        <v>2276</v>
      </c>
      <c r="L2862" s="205" t="s">
        <v>2276</v>
      </c>
      <c r="M2862" s="205" t="s">
        <v>2276</v>
      </c>
      <c r="N2862" s="205" t="s">
        <v>2276</v>
      </c>
      <c r="O2862" s="205" t="s">
        <v>2276</v>
      </c>
      <c r="P2862" s="205" t="s">
        <v>2276</v>
      </c>
      <c r="Q2862" s="205" t="s">
        <v>2276</v>
      </c>
      <c r="R2862" s="205" t="s">
        <v>2276</v>
      </c>
      <c r="S2862" s="205" t="s">
        <v>2276</v>
      </c>
      <c r="T2862" s="205" t="s">
        <v>2276</v>
      </c>
      <c r="U2862" s="205" t="s">
        <v>2276</v>
      </c>
      <c r="V2862" s="205" t="s">
        <v>2276</v>
      </c>
      <c r="W2862" s="205" t="s">
        <v>2276</v>
      </c>
      <c r="X2862" s="205" t="s">
        <v>188</v>
      </c>
      <c r="Y2862" s="205" t="s">
        <v>189</v>
      </c>
      <c r="Z2862" s="205" t="s">
        <v>64</v>
      </c>
      <c r="AA2862" s="205"/>
      <c r="AB2862" s="205"/>
    </row>
    <row r="2863" spans="1:28" ht="29" customHeight="1">
      <c r="A2863" s="156" t="str">
        <f>'Reported burning'!A2869</f>
        <v>305af</v>
      </c>
      <c r="B2863" s="156" t="str">
        <f>'Reported burning'!B2869</f>
        <v>305af.7</v>
      </c>
      <c r="C2863" s="156" t="str">
        <f>'Reported burning'!C2869</f>
        <v>Human, deliberate</v>
      </c>
      <c r="D2863" s="156" t="str">
        <f>'Reported burning'!D2869</f>
        <v>Pyrome management</v>
      </c>
      <c r="E2863" s="156" t="str">
        <f>'Reported burning'!E2869</f>
        <v>Fire suppression agent</v>
      </c>
      <c r="F2863" s="156" t="str">
        <f>'Reported burning'!F2869</f>
        <v>ND</v>
      </c>
      <c r="G2863" s="156" t="str">
        <f>'Reported burning'!G2869</f>
        <v>ND</v>
      </c>
      <c r="H2863" s="156" t="str">
        <f>'Reported burning'!H2869</f>
        <v>Presence</v>
      </c>
      <c r="I2863" s="5"/>
      <c r="J2863" s="205" t="s">
        <v>2276</v>
      </c>
      <c r="K2863" s="205" t="s">
        <v>2276</v>
      </c>
      <c r="L2863" s="205" t="s">
        <v>2276</v>
      </c>
      <c r="M2863" s="205" t="s">
        <v>2276</v>
      </c>
      <c r="N2863" s="205" t="s">
        <v>2276</v>
      </c>
      <c r="O2863" s="205" t="s">
        <v>2276</v>
      </c>
      <c r="P2863" s="205" t="s">
        <v>2276</v>
      </c>
      <c r="Q2863" s="205" t="s">
        <v>2276</v>
      </c>
      <c r="R2863" s="205" t="s">
        <v>2276</v>
      </c>
      <c r="S2863" s="205" t="s">
        <v>2276</v>
      </c>
      <c r="T2863" s="205" t="s">
        <v>2276</v>
      </c>
      <c r="U2863" s="205" t="s">
        <v>2276</v>
      </c>
      <c r="V2863" s="205" t="s">
        <v>2276</v>
      </c>
      <c r="W2863" s="205" t="s">
        <v>2276</v>
      </c>
      <c r="X2863" s="205" t="s">
        <v>188</v>
      </c>
      <c r="Y2863" s="205" t="s">
        <v>189</v>
      </c>
      <c r="Z2863" s="205" t="s">
        <v>64</v>
      </c>
      <c r="AA2863" s="205"/>
      <c r="AB2863" s="205"/>
    </row>
    <row r="2864" spans="1:28" ht="29" customHeight="1">
      <c r="A2864" s="156" t="str">
        <f>'Reported burning'!A2870</f>
        <v>305af</v>
      </c>
      <c r="B2864" s="156" t="str">
        <f>'Reported burning'!B2870</f>
        <v>305af.8</v>
      </c>
      <c r="C2864" s="156" t="str">
        <f>'Reported burning'!C2870</f>
        <v>Human, deliberate</v>
      </c>
      <c r="D2864" s="156" t="str">
        <f>'Reported burning'!D2870</f>
        <v>Pyrome management</v>
      </c>
      <c r="E2864" s="156" t="str">
        <f>'Reported burning'!E2870</f>
        <v>Fire suppression agent</v>
      </c>
      <c r="F2864" s="156" t="str">
        <f>'Reported burning'!F2870</f>
        <v>ND</v>
      </c>
      <c r="G2864" s="156" t="str">
        <f>'Reported burning'!G2870</f>
        <v>ND</v>
      </c>
      <c r="H2864" s="156" t="str">
        <f>'Reported burning'!H2870</f>
        <v>Presence</v>
      </c>
      <c r="I2864" s="5"/>
      <c r="J2864" s="205" t="s">
        <v>2276</v>
      </c>
      <c r="K2864" s="205" t="s">
        <v>2276</v>
      </c>
      <c r="L2864" s="205" t="s">
        <v>2276</v>
      </c>
      <c r="M2864" s="205" t="s">
        <v>2276</v>
      </c>
      <c r="N2864" s="205" t="s">
        <v>2276</v>
      </c>
      <c r="O2864" s="205" t="s">
        <v>2276</v>
      </c>
      <c r="P2864" s="205" t="s">
        <v>2276</v>
      </c>
      <c r="Q2864" s="205" t="s">
        <v>2276</v>
      </c>
      <c r="R2864" s="205" t="s">
        <v>2276</v>
      </c>
      <c r="S2864" s="205" t="s">
        <v>2276</v>
      </c>
      <c r="T2864" s="205" t="s">
        <v>2276</v>
      </c>
      <c r="U2864" s="205" t="s">
        <v>2276</v>
      </c>
      <c r="V2864" s="205" t="s">
        <v>2276</v>
      </c>
      <c r="W2864" s="205" t="s">
        <v>2276</v>
      </c>
      <c r="X2864" s="205" t="s">
        <v>188</v>
      </c>
      <c r="Y2864" s="205" t="s">
        <v>189</v>
      </c>
      <c r="Z2864" s="205" t="s">
        <v>64</v>
      </c>
      <c r="AA2864" s="205"/>
      <c r="AB2864" s="205"/>
    </row>
    <row r="2865" spans="1:28" ht="29" customHeight="1">
      <c r="A2865" s="156" t="str">
        <f>'Reported burning'!A2871</f>
        <v>305af</v>
      </c>
      <c r="B2865" s="156" t="str">
        <f>'Reported burning'!B2871</f>
        <v>305af.9</v>
      </c>
      <c r="C2865" s="156" t="str">
        <f>'Reported burning'!C2871</f>
        <v>Human, deliberate</v>
      </c>
      <c r="D2865" s="156" t="str">
        <f>'Reported burning'!D2871</f>
        <v>Pyrome management</v>
      </c>
      <c r="E2865" s="156" t="str">
        <f>'Reported burning'!E2871</f>
        <v>Fire suppression agent</v>
      </c>
      <c r="F2865" s="156" t="str">
        <f>'Reported burning'!F2871</f>
        <v>ND</v>
      </c>
      <c r="G2865" s="156" t="str">
        <f>'Reported burning'!G2871</f>
        <v>ND</v>
      </c>
      <c r="H2865" s="156" t="str">
        <f>'Reported burning'!H2871</f>
        <v>Presence</v>
      </c>
      <c r="I2865" s="5"/>
      <c r="J2865" s="205" t="s">
        <v>2276</v>
      </c>
      <c r="K2865" s="205" t="s">
        <v>2276</v>
      </c>
      <c r="L2865" s="205" t="s">
        <v>2276</v>
      </c>
      <c r="M2865" s="205" t="s">
        <v>2276</v>
      </c>
      <c r="N2865" s="205" t="s">
        <v>2276</v>
      </c>
      <c r="O2865" s="205" t="s">
        <v>2276</v>
      </c>
      <c r="P2865" s="205" t="s">
        <v>2276</v>
      </c>
      <c r="Q2865" s="205" t="s">
        <v>2276</v>
      </c>
      <c r="R2865" s="205" t="s">
        <v>2276</v>
      </c>
      <c r="S2865" s="205" t="s">
        <v>2276</v>
      </c>
      <c r="T2865" s="205" t="s">
        <v>2276</v>
      </c>
      <c r="U2865" s="205" t="s">
        <v>2276</v>
      </c>
      <c r="V2865" s="205" t="s">
        <v>2276</v>
      </c>
      <c r="W2865" s="205" t="s">
        <v>2276</v>
      </c>
      <c r="X2865" s="205" t="s">
        <v>188</v>
      </c>
      <c r="Y2865" s="205" t="s">
        <v>189</v>
      </c>
      <c r="Z2865" s="205" t="s">
        <v>64</v>
      </c>
      <c r="AA2865" s="205"/>
      <c r="AB2865" s="205"/>
    </row>
    <row r="2866" spans="1:28" ht="29" customHeight="1">
      <c r="A2866" s="156" t="str">
        <f>'Reported burning'!A2872</f>
        <v>305af</v>
      </c>
      <c r="B2866" s="156" t="str">
        <f>'Reported burning'!B2872</f>
        <v>305af.10</v>
      </c>
      <c r="C2866" s="156" t="str">
        <f>'Reported burning'!C2872</f>
        <v>Human, deliberate</v>
      </c>
      <c r="D2866" s="156" t="str">
        <f>'Reported burning'!D2872</f>
        <v>Pyrome management</v>
      </c>
      <c r="E2866" s="156" t="str">
        <f>'Reported burning'!E2872</f>
        <v>Fire suppression agent</v>
      </c>
      <c r="F2866" s="156" t="str">
        <f>'Reported burning'!F2872</f>
        <v>ND</v>
      </c>
      <c r="G2866" s="156" t="str">
        <f>'Reported burning'!G2872</f>
        <v>ND</v>
      </c>
      <c r="H2866" s="156" t="str">
        <f>'Reported burning'!H2872</f>
        <v>Presence</v>
      </c>
      <c r="I2866" s="5"/>
      <c r="J2866" s="205" t="s">
        <v>2276</v>
      </c>
      <c r="K2866" s="205" t="s">
        <v>2276</v>
      </c>
      <c r="L2866" s="205" t="s">
        <v>2276</v>
      </c>
      <c r="M2866" s="205" t="s">
        <v>2276</v>
      </c>
      <c r="N2866" s="205" t="s">
        <v>2276</v>
      </c>
      <c r="O2866" s="205" t="s">
        <v>2276</v>
      </c>
      <c r="P2866" s="205" t="s">
        <v>2276</v>
      </c>
      <c r="Q2866" s="205" t="s">
        <v>2276</v>
      </c>
      <c r="R2866" s="205" t="s">
        <v>2276</v>
      </c>
      <c r="S2866" s="205" t="s">
        <v>2276</v>
      </c>
      <c r="T2866" s="205" t="s">
        <v>2276</v>
      </c>
      <c r="U2866" s="205" t="s">
        <v>2276</v>
      </c>
      <c r="V2866" s="205" t="s">
        <v>2276</v>
      </c>
      <c r="W2866" s="205" t="s">
        <v>2276</v>
      </c>
      <c r="X2866" s="205" t="s">
        <v>188</v>
      </c>
      <c r="Y2866" s="205" t="s">
        <v>189</v>
      </c>
      <c r="Z2866" s="205" t="s">
        <v>64</v>
      </c>
      <c r="AA2866" s="205"/>
      <c r="AB2866" s="205"/>
    </row>
    <row r="2867" spans="1:28" ht="29" customHeight="1">
      <c r="A2867" s="156" t="str">
        <f>'Reported burning'!A2873</f>
        <v>305af</v>
      </c>
      <c r="B2867" s="156" t="str">
        <f>'Reported burning'!B2873</f>
        <v>305af.11</v>
      </c>
      <c r="C2867" s="156" t="str">
        <f>'Reported burning'!C2873</f>
        <v>Human, deliberate</v>
      </c>
      <c r="D2867" s="156" t="str">
        <f>'Reported burning'!D2873</f>
        <v>Pyrome management</v>
      </c>
      <c r="E2867" s="156" t="str">
        <f>'Reported burning'!E2873</f>
        <v>Fire suppression agent</v>
      </c>
      <c r="F2867" s="156" t="str">
        <f>'Reported burning'!F2873</f>
        <v>ND</v>
      </c>
      <c r="G2867" s="156" t="str">
        <f>'Reported burning'!G2873</f>
        <v>ND</v>
      </c>
      <c r="H2867" s="156" t="str">
        <f>'Reported burning'!H2873</f>
        <v>Presence</v>
      </c>
      <c r="I2867" s="5"/>
      <c r="J2867" s="205" t="s">
        <v>2276</v>
      </c>
      <c r="K2867" s="205" t="s">
        <v>2276</v>
      </c>
      <c r="L2867" s="205" t="s">
        <v>2276</v>
      </c>
      <c r="M2867" s="205" t="s">
        <v>2276</v>
      </c>
      <c r="N2867" s="205" t="s">
        <v>2276</v>
      </c>
      <c r="O2867" s="205" t="s">
        <v>2276</v>
      </c>
      <c r="P2867" s="205" t="s">
        <v>2276</v>
      </c>
      <c r="Q2867" s="205" t="s">
        <v>2276</v>
      </c>
      <c r="R2867" s="205" t="s">
        <v>2276</v>
      </c>
      <c r="S2867" s="205" t="s">
        <v>2276</v>
      </c>
      <c r="T2867" s="205" t="s">
        <v>2276</v>
      </c>
      <c r="U2867" s="205" t="s">
        <v>2276</v>
      </c>
      <c r="V2867" s="205" t="s">
        <v>2276</v>
      </c>
      <c r="W2867" s="205" t="s">
        <v>2276</v>
      </c>
      <c r="X2867" s="205" t="s">
        <v>188</v>
      </c>
      <c r="Y2867" s="205" t="s">
        <v>189</v>
      </c>
      <c r="Z2867" s="205" t="s">
        <v>64</v>
      </c>
      <c r="AA2867" s="205"/>
      <c r="AB2867" s="205"/>
    </row>
    <row r="2868" spans="1:28" ht="29" customHeight="1">
      <c r="A2868" s="156" t="str">
        <f>'Reported burning'!A2874</f>
        <v>305af</v>
      </c>
      <c r="B2868" s="156" t="str">
        <f>'Reported burning'!B2874</f>
        <v>305af.12</v>
      </c>
      <c r="C2868" s="156" t="str">
        <f>'Reported burning'!C2874</f>
        <v>Human, deliberate</v>
      </c>
      <c r="D2868" s="156" t="str">
        <f>'Reported burning'!D2874</f>
        <v>Pyrome management</v>
      </c>
      <c r="E2868" s="156" t="str">
        <f>'Reported burning'!E2874</f>
        <v>Fire suppression agent</v>
      </c>
      <c r="F2868" s="156" t="str">
        <f>'Reported burning'!F2874</f>
        <v>ND</v>
      </c>
      <c r="G2868" s="156" t="str">
        <f>'Reported burning'!G2874</f>
        <v>ND</v>
      </c>
      <c r="H2868" s="156" t="str">
        <f>'Reported burning'!H2874</f>
        <v>Presence</v>
      </c>
      <c r="I2868" s="5"/>
      <c r="J2868" s="205" t="s">
        <v>2276</v>
      </c>
      <c r="K2868" s="205" t="s">
        <v>2276</v>
      </c>
      <c r="L2868" s="205" t="s">
        <v>2276</v>
      </c>
      <c r="M2868" s="205" t="s">
        <v>2276</v>
      </c>
      <c r="N2868" s="205" t="s">
        <v>2276</v>
      </c>
      <c r="O2868" s="205" t="s">
        <v>2276</v>
      </c>
      <c r="P2868" s="205" t="s">
        <v>2276</v>
      </c>
      <c r="Q2868" s="205" t="s">
        <v>2276</v>
      </c>
      <c r="R2868" s="205" t="s">
        <v>2276</v>
      </c>
      <c r="S2868" s="205" t="s">
        <v>2276</v>
      </c>
      <c r="T2868" s="205" t="s">
        <v>2276</v>
      </c>
      <c r="U2868" s="205" t="s">
        <v>2276</v>
      </c>
      <c r="V2868" s="205" t="s">
        <v>2276</v>
      </c>
      <c r="W2868" s="205" t="s">
        <v>2276</v>
      </c>
      <c r="X2868" s="205" t="s">
        <v>188</v>
      </c>
      <c r="Y2868" s="205" t="s">
        <v>189</v>
      </c>
      <c r="Z2868" s="205" t="s">
        <v>64</v>
      </c>
      <c r="AA2868" s="205"/>
      <c r="AB2868" s="205"/>
    </row>
    <row r="2869" spans="1:28" ht="29" customHeight="1">
      <c r="A2869" s="156" t="str">
        <f>'Reported burning'!A2875</f>
        <v>305af</v>
      </c>
      <c r="B2869" s="156" t="str">
        <f>'Reported burning'!B2875</f>
        <v>305af.13</v>
      </c>
      <c r="C2869" s="156" t="str">
        <f>'Reported burning'!C2875</f>
        <v>Human, deliberate</v>
      </c>
      <c r="D2869" s="156" t="str">
        <f>'Reported burning'!D2875</f>
        <v>Pyrome management</v>
      </c>
      <c r="E2869" s="156" t="str">
        <f>'Reported burning'!E2875</f>
        <v>Fire suppression agent</v>
      </c>
      <c r="F2869" s="156" t="str">
        <f>'Reported burning'!F2875</f>
        <v>ND</v>
      </c>
      <c r="G2869" s="156" t="str">
        <f>'Reported burning'!G2875</f>
        <v>ND</v>
      </c>
      <c r="H2869" s="156" t="str">
        <f>'Reported burning'!H2875</f>
        <v>Presence</v>
      </c>
      <c r="I2869" s="5"/>
      <c r="J2869" s="205" t="s">
        <v>2276</v>
      </c>
      <c r="K2869" s="205" t="s">
        <v>2276</v>
      </c>
      <c r="L2869" s="205" t="s">
        <v>2276</v>
      </c>
      <c r="M2869" s="205" t="s">
        <v>2276</v>
      </c>
      <c r="N2869" s="205" t="s">
        <v>2276</v>
      </c>
      <c r="O2869" s="205" t="s">
        <v>2276</v>
      </c>
      <c r="P2869" s="205" t="s">
        <v>2276</v>
      </c>
      <c r="Q2869" s="205" t="s">
        <v>2276</v>
      </c>
      <c r="R2869" s="205" t="s">
        <v>2276</v>
      </c>
      <c r="S2869" s="205" t="s">
        <v>2276</v>
      </c>
      <c r="T2869" s="205" t="s">
        <v>2276</v>
      </c>
      <c r="U2869" s="205" t="s">
        <v>2276</v>
      </c>
      <c r="V2869" s="205" t="s">
        <v>2276</v>
      </c>
      <c r="W2869" s="205" t="s">
        <v>2276</v>
      </c>
      <c r="X2869" s="205" t="s">
        <v>188</v>
      </c>
      <c r="Y2869" s="205" t="s">
        <v>189</v>
      </c>
      <c r="Z2869" s="205" t="s">
        <v>64</v>
      </c>
      <c r="AA2869" s="205"/>
      <c r="AB2869" s="205"/>
    </row>
    <row r="2870" spans="1:28" ht="29" customHeight="1">
      <c r="A2870" s="156" t="str">
        <f>'Reported burning'!A2876</f>
        <v>305af</v>
      </c>
      <c r="B2870" s="156" t="str">
        <f>'Reported burning'!B2876</f>
        <v>305af.14</v>
      </c>
      <c r="C2870" s="156" t="str">
        <f>'Reported burning'!C2876</f>
        <v>Human, deliberate</v>
      </c>
      <c r="D2870" s="156" t="str">
        <f>'Reported burning'!D2876</f>
        <v>Pyrome management</v>
      </c>
      <c r="E2870" s="156" t="str">
        <f>'Reported burning'!E2876</f>
        <v>Fire suppression agent</v>
      </c>
      <c r="F2870" s="156" t="str">
        <f>'Reported burning'!F2876</f>
        <v>ND</v>
      </c>
      <c r="G2870" s="156" t="str">
        <f>'Reported burning'!G2876</f>
        <v>ND</v>
      </c>
      <c r="H2870" s="156" t="str">
        <f>'Reported burning'!H2876</f>
        <v>Presence</v>
      </c>
      <c r="I2870" s="5"/>
      <c r="J2870" s="205" t="s">
        <v>2276</v>
      </c>
      <c r="K2870" s="205" t="s">
        <v>2276</v>
      </c>
      <c r="L2870" s="205" t="s">
        <v>2276</v>
      </c>
      <c r="M2870" s="205" t="s">
        <v>2276</v>
      </c>
      <c r="N2870" s="205" t="s">
        <v>2276</v>
      </c>
      <c r="O2870" s="205" t="s">
        <v>2276</v>
      </c>
      <c r="P2870" s="205" t="s">
        <v>2276</v>
      </c>
      <c r="Q2870" s="205" t="s">
        <v>2276</v>
      </c>
      <c r="R2870" s="205" t="s">
        <v>2276</v>
      </c>
      <c r="S2870" s="205" t="s">
        <v>2276</v>
      </c>
      <c r="T2870" s="205" t="s">
        <v>2276</v>
      </c>
      <c r="U2870" s="205" t="s">
        <v>2276</v>
      </c>
      <c r="V2870" s="205" t="s">
        <v>2276</v>
      </c>
      <c r="W2870" s="205" t="s">
        <v>2276</v>
      </c>
      <c r="X2870" s="205" t="s">
        <v>188</v>
      </c>
      <c r="Y2870" s="205" t="s">
        <v>189</v>
      </c>
      <c r="Z2870" s="205" t="s">
        <v>64</v>
      </c>
      <c r="AA2870" s="205"/>
      <c r="AB2870" s="205"/>
    </row>
    <row r="2871" spans="1:28" ht="29" customHeight="1">
      <c r="A2871" s="156" t="str">
        <f>'Reported burning'!A2877</f>
        <v>305af</v>
      </c>
      <c r="B2871" s="156" t="str">
        <f>'Reported burning'!B2877</f>
        <v>305af.15</v>
      </c>
      <c r="C2871" s="156" t="str">
        <f>'Reported burning'!C2877</f>
        <v>Human, deliberate</v>
      </c>
      <c r="D2871" s="156" t="str">
        <f>'Reported burning'!D2877</f>
        <v>Pyrome management</v>
      </c>
      <c r="E2871" s="156" t="str">
        <f>'Reported burning'!E2877</f>
        <v>Fire suppression agent</v>
      </c>
      <c r="F2871" s="156" t="str">
        <f>'Reported burning'!F2877</f>
        <v>ND</v>
      </c>
      <c r="G2871" s="156" t="str">
        <f>'Reported burning'!G2877</f>
        <v>ND</v>
      </c>
      <c r="H2871" s="156" t="str">
        <f>'Reported burning'!H2877</f>
        <v>Presence</v>
      </c>
      <c r="I2871" s="5"/>
      <c r="J2871" s="205" t="s">
        <v>2276</v>
      </c>
      <c r="K2871" s="205" t="s">
        <v>2276</v>
      </c>
      <c r="L2871" s="205" t="s">
        <v>2276</v>
      </c>
      <c r="M2871" s="205" t="s">
        <v>2276</v>
      </c>
      <c r="N2871" s="205" t="s">
        <v>2276</v>
      </c>
      <c r="O2871" s="205" t="s">
        <v>2276</v>
      </c>
      <c r="P2871" s="205" t="s">
        <v>2276</v>
      </c>
      <c r="Q2871" s="205" t="s">
        <v>2276</v>
      </c>
      <c r="R2871" s="205" t="s">
        <v>2276</v>
      </c>
      <c r="S2871" s="205" t="s">
        <v>2276</v>
      </c>
      <c r="T2871" s="205" t="s">
        <v>2276</v>
      </c>
      <c r="U2871" s="205" t="s">
        <v>2276</v>
      </c>
      <c r="V2871" s="205" t="s">
        <v>2276</v>
      </c>
      <c r="W2871" s="205" t="s">
        <v>2276</v>
      </c>
      <c r="X2871" s="205" t="s">
        <v>188</v>
      </c>
      <c r="Y2871" s="205" t="s">
        <v>189</v>
      </c>
      <c r="Z2871" s="205" t="s">
        <v>64</v>
      </c>
      <c r="AA2871" s="205"/>
      <c r="AB2871" s="205"/>
    </row>
    <row r="2872" spans="1:28" ht="29" customHeight="1">
      <c r="A2872" s="156" t="str">
        <f>'Reported burning'!A2878</f>
        <v>305af</v>
      </c>
      <c r="B2872" s="156" t="str">
        <f>'Reported burning'!B2878</f>
        <v>305af.16</v>
      </c>
      <c r="C2872" s="156" t="str">
        <f>'Reported burning'!C2878</f>
        <v>Human, deliberate</v>
      </c>
      <c r="D2872" s="156" t="str">
        <f>'Reported burning'!D2878</f>
        <v>Pyrome management</v>
      </c>
      <c r="E2872" s="156" t="str">
        <f>'Reported burning'!E2878</f>
        <v>Fire suppression agent</v>
      </c>
      <c r="F2872" s="156" t="str">
        <f>'Reported burning'!F2878</f>
        <v>ND</v>
      </c>
      <c r="G2872" s="156" t="str">
        <f>'Reported burning'!G2878</f>
        <v>ND</v>
      </c>
      <c r="H2872" s="156" t="str">
        <f>'Reported burning'!H2878</f>
        <v>Presence</v>
      </c>
      <c r="I2872" s="5"/>
      <c r="J2872" s="205" t="s">
        <v>2276</v>
      </c>
      <c r="K2872" s="205" t="s">
        <v>2276</v>
      </c>
      <c r="L2872" s="205" t="s">
        <v>2276</v>
      </c>
      <c r="M2872" s="205" t="s">
        <v>2276</v>
      </c>
      <c r="N2872" s="205" t="s">
        <v>2276</v>
      </c>
      <c r="O2872" s="205" t="s">
        <v>2276</v>
      </c>
      <c r="P2872" s="205" t="s">
        <v>2276</v>
      </c>
      <c r="Q2872" s="205" t="s">
        <v>2276</v>
      </c>
      <c r="R2872" s="205" t="s">
        <v>2276</v>
      </c>
      <c r="S2872" s="205" t="s">
        <v>2276</v>
      </c>
      <c r="T2872" s="205" t="s">
        <v>2276</v>
      </c>
      <c r="U2872" s="205" t="s">
        <v>2276</v>
      </c>
      <c r="V2872" s="205" t="s">
        <v>2276</v>
      </c>
      <c r="W2872" s="205" t="s">
        <v>2276</v>
      </c>
      <c r="X2872" s="205" t="s">
        <v>188</v>
      </c>
      <c r="Y2872" s="205" t="s">
        <v>189</v>
      </c>
      <c r="Z2872" s="205" t="s">
        <v>64</v>
      </c>
      <c r="AA2872" s="205"/>
      <c r="AB2872" s="205"/>
    </row>
    <row r="2873" spans="1:28" ht="29" customHeight="1">
      <c r="A2873" s="156" t="str">
        <f>'Reported burning'!A2879</f>
        <v>305af</v>
      </c>
      <c r="B2873" s="156" t="str">
        <f>'Reported burning'!B2879</f>
        <v>305af.17</v>
      </c>
      <c r="C2873" s="156" t="str">
        <f>'Reported burning'!C2879</f>
        <v>Human, deliberate</v>
      </c>
      <c r="D2873" s="156" t="str">
        <f>'Reported burning'!D2879</f>
        <v>Pyrome management</v>
      </c>
      <c r="E2873" s="156" t="str">
        <f>'Reported burning'!E2879</f>
        <v>Fire suppression agent</v>
      </c>
      <c r="F2873" s="156" t="str">
        <f>'Reported burning'!F2879</f>
        <v>ND</v>
      </c>
      <c r="G2873" s="156" t="str">
        <f>'Reported burning'!G2879</f>
        <v>ND</v>
      </c>
      <c r="H2873" s="156" t="str">
        <f>'Reported burning'!H2879</f>
        <v>Presence</v>
      </c>
      <c r="I2873" s="5"/>
      <c r="J2873" s="205" t="s">
        <v>2276</v>
      </c>
      <c r="K2873" s="205" t="s">
        <v>2276</v>
      </c>
      <c r="L2873" s="205" t="s">
        <v>2276</v>
      </c>
      <c r="M2873" s="205" t="s">
        <v>2276</v>
      </c>
      <c r="N2873" s="205" t="s">
        <v>2276</v>
      </c>
      <c r="O2873" s="205" t="s">
        <v>2276</v>
      </c>
      <c r="P2873" s="205" t="s">
        <v>2276</v>
      </c>
      <c r="Q2873" s="205" t="s">
        <v>2276</v>
      </c>
      <c r="R2873" s="205" t="s">
        <v>2276</v>
      </c>
      <c r="S2873" s="205" t="s">
        <v>2276</v>
      </c>
      <c r="T2873" s="205" t="s">
        <v>2276</v>
      </c>
      <c r="U2873" s="205" t="s">
        <v>2276</v>
      </c>
      <c r="V2873" s="205" t="s">
        <v>2276</v>
      </c>
      <c r="W2873" s="205" t="s">
        <v>2276</v>
      </c>
      <c r="X2873" s="205" t="s">
        <v>188</v>
      </c>
      <c r="Y2873" s="205" t="s">
        <v>189</v>
      </c>
      <c r="Z2873" s="205" t="s">
        <v>64</v>
      </c>
      <c r="AA2873" s="205"/>
      <c r="AB2873" s="205"/>
    </row>
    <row r="2874" spans="1:28" ht="29" customHeight="1">
      <c r="A2874" s="156" t="str">
        <f>'Reported burning'!A2880</f>
        <v>305af</v>
      </c>
      <c r="B2874" s="156" t="str">
        <f>'Reported burning'!B2880</f>
        <v>305af.18</v>
      </c>
      <c r="C2874" s="156" t="str">
        <f>'Reported burning'!C2880</f>
        <v>Human, deliberate</v>
      </c>
      <c r="D2874" s="156" t="str">
        <f>'Reported burning'!D2880</f>
        <v>Pyrome management</v>
      </c>
      <c r="E2874" s="156" t="str">
        <f>'Reported burning'!E2880</f>
        <v>Fire suppression agent</v>
      </c>
      <c r="F2874" s="156" t="str">
        <f>'Reported burning'!F2880</f>
        <v>ND</v>
      </c>
      <c r="G2874" s="156" t="str">
        <f>'Reported burning'!G2880</f>
        <v>ND</v>
      </c>
      <c r="H2874" s="156" t="str">
        <f>'Reported burning'!H2880</f>
        <v>Presence</v>
      </c>
      <c r="I2874" s="5"/>
      <c r="J2874" s="205" t="s">
        <v>2276</v>
      </c>
      <c r="K2874" s="205" t="s">
        <v>2276</v>
      </c>
      <c r="L2874" s="205" t="s">
        <v>2276</v>
      </c>
      <c r="M2874" s="205" t="s">
        <v>2276</v>
      </c>
      <c r="N2874" s="205" t="s">
        <v>2276</v>
      </c>
      <c r="O2874" s="205" t="s">
        <v>2276</v>
      </c>
      <c r="P2874" s="205" t="s">
        <v>2276</v>
      </c>
      <c r="Q2874" s="205" t="s">
        <v>2276</v>
      </c>
      <c r="R2874" s="205" t="s">
        <v>2276</v>
      </c>
      <c r="S2874" s="205" t="s">
        <v>2276</v>
      </c>
      <c r="T2874" s="205" t="s">
        <v>2276</v>
      </c>
      <c r="U2874" s="205" t="s">
        <v>2276</v>
      </c>
      <c r="V2874" s="205" t="s">
        <v>2276</v>
      </c>
      <c r="W2874" s="205" t="s">
        <v>2276</v>
      </c>
      <c r="X2874" s="205" t="s">
        <v>188</v>
      </c>
      <c r="Y2874" s="205" t="s">
        <v>189</v>
      </c>
      <c r="Z2874" s="205" t="s">
        <v>64</v>
      </c>
      <c r="AA2874" s="205"/>
      <c r="AB2874" s="205"/>
    </row>
    <row r="2875" spans="1:28" ht="29" customHeight="1">
      <c r="A2875" s="152" t="str">
        <f>'Reported burning'!A2881</f>
        <v>305ag</v>
      </c>
      <c r="B2875" s="152" t="str">
        <f>'Reported burning'!B2881</f>
        <v>305ag.1</v>
      </c>
      <c r="C2875" s="152" t="str">
        <f>'Reported burning'!C2881</f>
        <v>Human, deliberate</v>
      </c>
      <c r="D2875" s="152" t="str">
        <f>'Reported burning'!D2881</f>
        <v>Pyrome management</v>
      </c>
      <c r="E2875" s="152" t="str">
        <f>'Reported burning'!E2881</f>
        <v>Fire suppression agent</v>
      </c>
      <c r="F2875" s="152" t="str">
        <f>'Reported burning'!F2881</f>
        <v>ND</v>
      </c>
      <c r="G2875" s="152" t="str">
        <f>'Reported burning'!G2881</f>
        <v>ND</v>
      </c>
      <c r="H2875" s="152" t="str">
        <f>'Reported burning'!H2881</f>
        <v>Presence</v>
      </c>
      <c r="I2875" s="205"/>
      <c r="J2875" s="205" t="s">
        <v>2276</v>
      </c>
      <c r="K2875" s="205" t="s">
        <v>2276</v>
      </c>
      <c r="L2875" s="21" t="s">
        <v>2362</v>
      </c>
      <c r="M2875" s="205" t="s">
        <v>2276</v>
      </c>
      <c r="N2875" s="21" t="s">
        <v>2374</v>
      </c>
      <c r="O2875" s="205" t="s">
        <v>2276</v>
      </c>
      <c r="P2875" s="205" t="s">
        <v>2276</v>
      </c>
      <c r="Q2875" s="205" t="s">
        <v>2276</v>
      </c>
      <c r="R2875" s="205" t="s">
        <v>2276</v>
      </c>
      <c r="S2875" s="205" t="s">
        <v>2276</v>
      </c>
      <c r="T2875" s="205" t="s">
        <v>2276</v>
      </c>
      <c r="U2875" s="205" t="s">
        <v>2276</v>
      </c>
      <c r="V2875" s="205" t="s">
        <v>2276</v>
      </c>
      <c r="W2875" s="205" t="s">
        <v>2276</v>
      </c>
      <c r="X2875" s="205" t="s">
        <v>68</v>
      </c>
      <c r="Y2875" s="205" t="s">
        <v>189</v>
      </c>
      <c r="Z2875" s="205" t="s">
        <v>64</v>
      </c>
      <c r="AA2875" s="205"/>
      <c r="AB2875" s="205"/>
    </row>
    <row r="2876" spans="1:28" ht="29" customHeight="1">
      <c r="A2876" s="152" t="str">
        <f>'Reported burning'!A2882</f>
        <v>305af</v>
      </c>
      <c r="B2876" s="152" t="str">
        <f>'Reported burning'!B2882</f>
        <v>305af.19</v>
      </c>
      <c r="C2876" s="152" t="str">
        <f>'Reported burning'!C2882</f>
        <v>Human, deliberate</v>
      </c>
      <c r="D2876" s="152" t="str">
        <f>'Reported burning'!D2882</f>
        <v>Pyrome management</v>
      </c>
      <c r="E2876" s="152" t="str">
        <f>'Reported burning'!E2882</f>
        <v>Fire suppression agent</v>
      </c>
      <c r="F2876" s="152" t="str">
        <f>'Reported burning'!F2882</f>
        <v>Shrubland (Mixed forest &amp; grassland)</v>
      </c>
      <c r="G2876" s="152" t="str">
        <f>'Reported burning'!G2882</f>
        <v>Shrubland (Mixed forest &amp; grassland)</v>
      </c>
      <c r="H2876" s="152" t="str">
        <f>'Reported burning'!H2882</f>
        <v>Presence</v>
      </c>
      <c r="I2876" s="205"/>
      <c r="J2876" s="205" t="s">
        <v>2276</v>
      </c>
      <c r="K2876" s="205" t="s">
        <v>2276</v>
      </c>
      <c r="L2876" s="21" t="s">
        <v>2362</v>
      </c>
      <c r="M2876" s="205" t="s">
        <v>2276</v>
      </c>
      <c r="N2876" s="205" t="s">
        <v>2276</v>
      </c>
      <c r="O2876" s="205" t="s">
        <v>2276</v>
      </c>
      <c r="P2876" s="205" t="s">
        <v>2276</v>
      </c>
      <c r="Q2876" s="205" t="s">
        <v>2276</v>
      </c>
      <c r="R2876" s="21" t="s">
        <v>2375</v>
      </c>
      <c r="S2876" s="205" t="s">
        <v>2276</v>
      </c>
      <c r="T2876" s="205" t="s">
        <v>2276</v>
      </c>
      <c r="U2876" s="205" t="s">
        <v>2276</v>
      </c>
      <c r="V2876" s="205" t="s">
        <v>2276</v>
      </c>
      <c r="W2876" s="205" t="s">
        <v>2276</v>
      </c>
      <c r="X2876" s="205" t="s">
        <v>188</v>
      </c>
      <c r="Y2876" s="205" t="s">
        <v>189</v>
      </c>
      <c r="Z2876" s="205" t="s">
        <v>64</v>
      </c>
      <c r="AA2876" s="19" t="s">
        <v>7701</v>
      </c>
      <c r="AB2876" s="205"/>
    </row>
    <row r="2877" spans="1:28" s="204" customFormat="1" ht="29" customHeight="1">
      <c r="A2877" s="152" t="str">
        <f>'Reported burning'!A2883</f>
        <v>305af</v>
      </c>
      <c r="B2877" s="152" t="str">
        <f>'Reported burning'!B2883</f>
        <v>305af.20</v>
      </c>
      <c r="C2877" s="152" t="str">
        <f>'Reported burning'!C2883</f>
        <v>Human, deliberate</v>
      </c>
      <c r="D2877" s="152" t="str">
        <f>'Reported burning'!D2883</f>
        <v>Pyrome management</v>
      </c>
      <c r="E2877" s="152" t="str">
        <f>'Reported burning'!E2883</f>
        <v>Fire suppression agent</v>
      </c>
      <c r="F2877" s="152" t="str">
        <f>'Reported burning'!F2883</f>
        <v>Forest</v>
      </c>
      <c r="G2877" s="152" t="str">
        <f>'Reported burning'!G2883</f>
        <v>Forest</v>
      </c>
      <c r="H2877" s="152" t="str">
        <f>'Reported burning'!H2883</f>
        <v>Presence</v>
      </c>
      <c r="I2877" s="205"/>
      <c r="J2877" s="205"/>
      <c r="K2877" s="205"/>
      <c r="L2877" s="21" t="s">
        <v>2362</v>
      </c>
      <c r="M2877" s="205" t="s">
        <v>2276</v>
      </c>
      <c r="N2877" s="205" t="s">
        <v>2276</v>
      </c>
      <c r="O2877" s="205" t="s">
        <v>2276</v>
      </c>
      <c r="P2877" s="205" t="s">
        <v>2276</v>
      </c>
      <c r="Q2877" s="205" t="s">
        <v>2276</v>
      </c>
      <c r="R2877" s="21" t="s">
        <v>2375</v>
      </c>
      <c r="S2877" s="205" t="s">
        <v>2276</v>
      </c>
      <c r="T2877" s="205" t="s">
        <v>2276</v>
      </c>
      <c r="U2877" s="205" t="s">
        <v>2276</v>
      </c>
      <c r="V2877" s="205" t="s">
        <v>2276</v>
      </c>
      <c r="W2877" s="205" t="s">
        <v>2276</v>
      </c>
      <c r="X2877" s="205" t="s">
        <v>188</v>
      </c>
      <c r="Y2877" s="205" t="s">
        <v>189</v>
      </c>
      <c r="Z2877" s="205" t="s">
        <v>64</v>
      </c>
      <c r="AA2877" s="19" t="s">
        <v>7701</v>
      </c>
      <c r="AB2877" s="205"/>
    </row>
    <row r="2878" spans="1:28" ht="24.5" customHeight="1">
      <c r="A2878" s="152" t="str">
        <f>'Reported burning'!A2884</f>
        <v>305ah</v>
      </c>
      <c r="B2878" s="152" t="str">
        <f>'Reported burning'!B2884</f>
        <v>305ah.1</v>
      </c>
      <c r="C2878" s="152" t="str">
        <f>'Reported burning'!C2884</f>
        <v>Human, deliberate</v>
      </c>
      <c r="D2878" s="152" t="str">
        <f>'Reported burning'!D2884</f>
        <v>Pyrome management</v>
      </c>
      <c r="E2878" s="152" t="str">
        <f>'Reported burning'!E2884</f>
        <v>Fire suppression agent</v>
      </c>
      <c r="F2878" s="152" t="str">
        <f>'Reported burning'!F2884</f>
        <v>Forest</v>
      </c>
      <c r="G2878" s="152" t="str">
        <f>'Reported burning'!G2884</f>
        <v>Forest</v>
      </c>
      <c r="H2878" s="152" t="str">
        <f>'Reported burning'!H2884</f>
        <v>Presence</v>
      </c>
      <c r="I2878" s="205"/>
      <c r="J2878" s="205" t="s">
        <v>2276</v>
      </c>
      <c r="K2878" s="205" t="s">
        <v>2276</v>
      </c>
      <c r="L2878" s="21" t="s">
        <v>2362</v>
      </c>
      <c r="M2878" s="205" t="s">
        <v>2276</v>
      </c>
      <c r="N2878" s="205" t="s">
        <v>2276</v>
      </c>
      <c r="O2878" s="205" t="s">
        <v>2276</v>
      </c>
      <c r="P2878" s="205" t="s">
        <v>2276</v>
      </c>
      <c r="Q2878" s="205" t="s">
        <v>2276</v>
      </c>
      <c r="R2878" s="21" t="s">
        <v>2373</v>
      </c>
      <c r="S2878" s="205" t="s">
        <v>2276</v>
      </c>
      <c r="T2878" s="205" t="s">
        <v>2276</v>
      </c>
      <c r="U2878" s="205" t="s">
        <v>2276</v>
      </c>
      <c r="V2878" s="205" t="s">
        <v>2276</v>
      </c>
      <c r="W2878" s="205" t="s">
        <v>2276</v>
      </c>
      <c r="X2878" s="205" t="s">
        <v>68</v>
      </c>
      <c r="Y2878" s="205" t="s">
        <v>86</v>
      </c>
      <c r="Z2878" s="205" t="s">
        <v>76</v>
      </c>
      <c r="AA2878" s="4" t="s">
        <v>7700</v>
      </c>
      <c r="AB2878" s="205"/>
    </row>
    <row r="2879" spans="1:28" ht="29" customHeight="1">
      <c r="A2879" s="152" t="str">
        <f>'Reported burning'!A2885</f>
        <v>305ai</v>
      </c>
      <c r="B2879" s="152" t="str">
        <f>'Reported burning'!B2885</f>
        <v>305ai.1</v>
      </c>
      <c r="C2879" s="152" t="str">
        <f>'Reported burning'!C2885</f>
        <v>Human, deliberate</v>
      </c>
      <c r="D2879" s="152" t="str">
        <f>'Reported burning'!D2885</f>
        <v>Pyrome management</v>
      </c>
      <c r="E2879" s="152" t="str">
        <f>'Reported burning'!E2885</f>
        <v>Fire suppression agent</v>
      </c>
      <c r="F2879" s="152" t="str">
        <f>'Reported burning'!F2885</f>
        <v>Forest</v>
      </c>
      <c r="G2879" s="152" t="str">
        <f>'Reported burning'!G2885</f>
        <v>Forest</v>
      </c>
      <c r="H2879" s="152" t="str">
        <f>'Reported burning'!H2885</f>
        <v>Presence</v>
      </c>
      <c r="I2879" s="205"/>
      <c r="J2879" s="205" t="s">
        <v>2276</v>
      </c>
      <c r="K2879" s="205" t="s">
        <v>2276</v>
      </c>
      <c r="L2879" s="21" t="s">
        <v>2362</v>
      </c>
      <c r="M2879" s="205" t="s">
        <v>2276</v>
      </c>
      <c r="N2879" s="205" t="s">
        <v>2276</v>
      </c>
      <c r="O2879" s="205" t="s">
        <v>2276</v>
      </c>
      <c r="P2879" s="205" t="s">
        <v>2276</v>
      </c>
      <c r="Q2879" s="205" t="s">
        <v>2276</v>
      </c>
      <c r="R2879" s="21" t="s">
        <v>2373</v>
      </c>
      <c r="S2879" s="205" t="s">
        <v>2276</v>
      </c>
      <c r="T2879" s="205" t="s">
        <v>2276</v>
      </c>
      <c r="U2879" s="205" t="s">
        <v>2276</v>
      </c>
      <c r="V2879" s="205" t="s">
        <v>2276</v>
      </c>
      <c r="W2879" s="205" t="s">
        <v>2276</v>
      </c>
      <c r="X2879" s="205" t="s">
        <v>35</v>
      </c>
      <c r="Y2879" s="205" t="s">
        <v>38</v>
      </c>
      <c r="Z2879" s="205" t="s">
        <v>64</v>
      </c>
      <c r="AA2879" s="205" t="s">
        <v>7699</v>
      </c>
      <c r="AB2879" s="205"/>
    </row>
    <row r="2880" spans="1:28" ht="32" customHeight="1">
      <c r="A2880" s="152" t="str">
        <f>'Reported burning'!A2886</f>
        <v>305ai</v>
      </c>
      <c r="B2880" s="152" t="str">
        <f>'Reported burning'!B2887</f>
        <v>305ai.2</v>
      </c>
      <c r="C2880" s="152" t="str">
        <f>'Reported burning'!C2886</f>
        <v>Human, deliberate</v>
      </c>
      <c r="D2880" s="152" t="str">
        <f>'Reported burning'!D2886</f>
        <v>Pyrome management</v>
      </c>
      <c r="E2880" s="152" t="str">
        <f>'Reported burning'!E2886</f>
        <v>Fire suppression agent</v>
      </c>
      <c r="F2880" s="152" t="str">
        <f>'Reported burning'!F2886</f>
        <v>Shrubland (Mixed forest &amp; grassland)</v>
      </c>
      <c r="G2880" s="152" t="str">
        <f>'Reported burning'!G2886</f>
        <v>Shrubland (Mixed forest &amp; grassland)</v>
      </c>
      <c r="H2880" s="152" t="str">
        <f>'Reported burning'!H2886</f>
        <v>Presence</v>
      </c>
      <c r="I2880" s="205"/>
      <c r="J2880" s="205" t="s">
        <v>2276</v>
      </c>
      <c r="K2880" s="205" t="s">
        <v>2276</v>
      </c>
      <c r="L2880" s="21" t="s">
        <v>2362</v>
      </c>
      <c r="M2880" s="205" t="s">
        <v>2276</v>
      </c>
      <c r="N2880" s="21" t="s">
        <v>2377</v>
      </c>
      <c r="O2880" s="205" t="s">
        <v>2276</v>
      </c>
      <c r="P2880" s="205" t="s">
        <v>2276</v>
      </c>
      <c r="Q2880" s="205" t="s">
        <v>2276</v>
      </c>
      <c r="R2880" s="21" t="s">
        <v>2375</v>
      </c>
      <c r="S2880" s="205" t="s">
        <v>2276</v>
      </c>
      <c r="T2880" s="205" t="s">
        <v>2276</v>
      </c>
      <c r="U2880" s="205" t="s">
        <v>2276</v>
      </c>
      <c r="V2880" s="205" t="s">
        <v>2276</v>
      </c>
      <c r="W2880" s="205" t="s">
        <v>2276</v>
      </c>
      <c r="X2880" s="205" t="s">
        <v>68</v>
      </c>
      <c r="Y2880" s="205" t="s">
        <v>86</v>
      </c>
      <c r="Z2880" s="205" t="s">
        <v>76</v>
      </c>
      <c r="AA2880" s="4" t="s">
        <v>7700</v>
      </c>
      <c r="AB2880" s="205"/>
    </row>
    <row r="2881" spans="1:28" ht="32" customHeight="1">
      <c r="A2881" s="152" t="str">
        <f>'Reported burning'!A2887</f>
        <v>305ah</v>
      </c>
      <c r="B2881" s="152" t="str">
        <f>'Reported burning'!B2886</f>
        <v>305ah.2</v>
      </c>
      <c r="C2881" s="152" t="str">
        <f>'Reported burning'!C2887</f>
        <v>Human, deliberate</v>
      </c>
      <c r="D2881" s="152" t="str">
        <f>'Reported burning'!D2887</f>
        <v>Pyrome management</v>
      </c>
      <c r="E2881" s="152" t="str">
        <f>'Reported burning'!E2887</f>
        <v>Fire suppression agent</v>
      </c>
      <c r="F2881" s="152" t="str">
        <f>'Reported burning'!F2887</f>
        <v>Shrubland (Mixed forest &amp; grassland)</v>
      </c>
      <c r="G2881" s="152" t="str">
        <f>'Reported burning'!G2887</f>
        <v>Shrubland (Mixed forest &amp; grassland)</v>
      </c>
      <c r="H2881" s="152" t="str">
        <f>'Reported burning'!H2887</f>
        <v>Presence</v>
      </c>
      <c r="I2881" s="205"/>
      <c r="J2881" s="205" t="s">
        <v>2276</v>
      </c>
      <c r="K2881" s="205" t="s">
        <v>2276</v>
      </c>
      <c r="L2881" s="21" t="s">
        <v>2362</v>
      </c>
      <c r="M2881" s="205" t="s">
        <v>2276</v>
      </c>
      <c r="N2881" s="21" t="s">
        <v>2377</v>
      </c>
      <c r="O2881" s="205" t="s">
        <v>2276</v>
      </c>
      <c r="P2881" s="205" t="s">
        <v>2276</v>
      </c>
      <c r="Q2881" s="205" t="s">
        <v>2276</v>
      </c>
      <c r="R2881" s="21" t="s">
        <v>2375</v>
      </c>
      <c r="S2881" s="205" t="s">
        <v>2276</v>
      </c>
      <c r="T2881" s="205" t="s">
        <v>2276</v>
      </c>
      <c r="U2881" s="205" t="s">
        <v>2276</v>
      </c>
      <c r="V2881" s="205" t="s">
        <v>2276</v>
      </c>
      <c r="W2881" s="205" t="s">
        <v>2276</v>
      </c>
      <c r="X2881" s="205" t="s">
        <v>35</v>
      </c>
      <c r="Y2881" s="205" t="s">
        <v>38</v>
      </c>
      <c r="Z2881" s="205" t="s">
        <v>64</v>
      </c>
      <c r="AA2881" s="205" t="s">
        <v>7699</v>
      </c>
      <c r="AB2881" s="205"/>
    </row>
    <row r="2882" spans="1:28" ht="38" customHeight="1">
      <c r="A2882" s="156" t="str">
        <f>'Reported burning'!A2888</f>
        <v>306a</v>
      </c>
      <c r="B2882" s="156" t="str">
        <f>'Reported burning'!B2888</f>
        <v>306a.1</v>
      </c>
      <c r="C2882" s="156" t="str">
        <f>'Reported burning'!C2888</f>
        <v>Human, deliberate</v>
      </c>
      <c r="D2882" s="156" t="str">
        <f>'Reported burning'!D2888</f>
        <v>Pyrome management</v>
      </c>
      <c r="E2882" s="156" t="str">
        <f>'Reported burning'!E2888</f>
        <v>Fire suppression agent</v>
      </c>
      <c r="F2882" s="156" t="str">
        <f>'Reported burning'!F2888</f>
        <v>Shrubland (Mixed forest &amp; grassland)</v>
      </c>
      <c r="G2882" s="156" t="str">
        <f>'Reported burning'!G2888</f>
        <v>Shrubland (Mixed forest &amp; grassland)</v>
      </c>
      <c r="H2882" s="156" t="str">
        <f>'Reported burning'!H2888</f>
        <v>Presence</v>
      </c>
      <c r="I2882" s="5"/>
      <c r="J2882" s="5" t="s">
        <v>2276</v>
      </c>
      <c r="K2882" s="21" t="s">
        <v>2362</v>
      </c>
      <c r="L2882" s="21" t="s">
        <v>2362</v>
      </c>
      <c r="M2882" s="21" t="s">
        <v>2385</v>
      </c>
      <c r="N2882" s="21" t="s">
        <v>2385</v>
      </c>
      <c r="O2882" s="205" t="s">
        <v>2276</v>
      </c>
      <c r="P2882" s="205" t="s">
        <v>2276</v>
      </c>
      <c r="Q2882" s="21" t="s">
        <v>2373</v>
      </c>
      <c r="R2882" s="21" t="s">
        <v>2373</v>
      </c>
      <c r="S2882" s="205" t="s">
        <v>2276</v>
      </c>
      <c r="T2882" s="205" t="s">
        <v>2276</v>
      </c>
      <c r="U2882" s="205" t="s">
        <v>2276</v>
      </c>
      <c r="V2882" s="205" t="s">
        <v>2276</v>
      </c>
      <c r="W2882" s="21" t="s">
        <v>2403</v>
      </c>
      <c r="X2882" s="205" t="s">
        <v>2276</v>
      </c>
      <c r="Y2882" s="205" t="s">
        <v>2276</v>
      </c>
      <c r="Z2882" s="205" t="s">
        <v>2276</v>
      </c>
      <c r="AA2882" s="19" t="s">
        <v>7856</v>
      </c>
      <c r="AB2882" s="4" t="s">
        <v>7855</v>
      </c>
    </row>
    <row r="2883" spans="1:28" ht="38" customHeight="1">
      <c r="A2883" s="156" t="str">
        <f>'Reported burning'!A2889</f>
        <v>306a</v>
      </c>
      <c r="B2883" s="156" t="str">
        <f>'Reported burning'!B2889</f>
        <v>306a.2</v>
      </c>
      <c r="C2883" s="156" t="str">
        <f>'Reported burning'!C2889</f>
        <v>Human, deliberate</v>
      </c>
      <c r="D2883" s="156" t="str">
        <f>'Reported burning'!D2889</f>
        <v>Pyrome management</v>
      </c>
      <c r="E2883" s="156" t="str">
        <f>'Reported burning'!E2889</f>
        <v>Fire suppression agent</v>
      </c>
      <c r="F2883" s="156" t="str">
        <f>'Reported burning'!F2889</f>
        <v>Forest</v>
      </c>
      <c r="G2883" s="156" t="str">
        <f>'Reported burning'!G2889</f>
        <v>Forest</v>
      </c>
      <c r="H2883" s="156" t="str">
        <f>'Reported burning'!H2889</f>
        <v>Presence</v>
      </c>
      <c r="I2883" s="5"/>
      <c r="J2883" s="205" t="s">
        <v>2276</v>
      </c>
      <c r="K2883" s="21" t="s">
        <v>2362</v>
      </c>
      <c r="L2883" s="21" t="s">
        <v>2362</v>
      </c>
      <c r="M2883" s="21" t="s">
        <v>2382</v>
      </c>
      <c r="N2883" s="21" t="s">
        <v>2382</v>
      </c>
      <c r="O2883" s="205" t="s">
        <v>2276</v>
      </c>
      <c r="P2883" s="205" t="s">
        <v>2276</v>
      </c>
      <c r="Q2883" s="21" t="s">
        <v>2373</v>
      </c>
      <c r="R2883" s="21" t="s">
        <v>2373</v>
      </c>
      <c r="S2883" s="205" t="s">
        <v>2276</v>
      </c>
      <c r="T2883" s="205" t="s">
        <v>2276</v>
      </c>
      <c r="U2883" s="205" t="s">
        <v>2276</v>
      </c>
      <c r="V2883" s="205" t="s">
        <v>2276</v>
      </c>
      <c r="W2883" s="21" t="s">
        <v>2403</v>
      </c>
      <c r="X2883" s="205" t="s">
        <v>2276</v>
      </c>
      <c r="Y2883" s="205" t="s">
        <v>2276</v>
      </c>
      <c r="Z2883" s="205" t="s">
        <v>2276</v>
      </c>
      <c r="AA2883" s="19" t="s">
        <v>7856</v>
      </c>
      <c r="AB2883" s="4" t="s">
        <v>7855</v>
      </c>
    </row>
    <row r="2884" spans="1:28" ht="31" customHeight="1">
      <c r="A2884" s="156" t="str">
        <f>'Reported burning'!A2890</f>
        <v>306b</v>
      </c>
      <c r="B2884" s="156" t="str">
        <f>'Reported burning'!B2890</f>
        <v>306b.1</v>
      </c>
      <c r="C2884" s="156" t="str">
        <f>'Reported burning'!C2890</f>
        <v>Human, deliberate</v>
      </c>
      <c r="D2884" s="156" t="str">
        <f>'Reported burning'!D2890</f>
        <v>Pyrome management</v>
      </c>
      <c r="E2884" s="156" t="str">
        <f>'Reported burning'!E2890</f>
        <v>Fire suppression agent</v>
      </c>
      <c r="F2884" s="156" t="str">
        <f>'Reported burning'!F2890</f>
        <v>ND</v>
      </c>
      <c r="G2884" s="156" t="str">
        <f>'Reported burning'!G2890</f>
        <v>ND</v>
      </c>
      <c r="H2884" s="156" t="str">
        <f>'Reported burning'!H2890</f>
        <v>Presence</v>
      </c>
      <c r="I2884" s="5"/>
      <c r="J2884" s="205" t="s">
        <v>2276</v>
      </c>
      <c r="K2884" s="205"/>
      <c r="L2884" s="205"/>
      <c r="M2884" s="205"/>
      <c r="N2884" s="205"/>
      <c r="O2884" s="205"/>
      <c r="P2884" s="103" t="s">
        <v>2376</v>
      </c>
      <c r="Q2884" s="205"/>
      <c r="R2884" s="21"/>
      <c r="S2884" s="205"/>
      <c r="T2884" s="205"/>
      <c r="U2884" s="205"/>
      <c r="V2884" s="205"/>
      <c r="W2884" s="205"/>
      <c r="X2884" s="205"/>
      <c r="Y2884" s="205"/>
      <c r="Z2884" s="205"/>
      <c r="AA2884" s="205"/>
      <c r="AB2884" s="205"/>
    </row>
    <row r="2885" spans="1:28" ht="31" customHeight="1">
      <c r="A2885" s="156" t="str">
        <f>'Reported burning'!A2891</f>
        <v>306c</v>
      </c>
      <c r="B2885" s="156" t="str">
        <f>'Reported burning'!B2891</f>
        <v>306c.1</v>
      </c>
      <c r="C2885" s="156" t="str">
        <f>'Reported burning'!C2891</f>
        <v>Human, deliberate</v>
      </c>
      <c r="D2885" s="156" t="str">
        <f>'Reported burning'!D2891</f>
        <v>Pyrome management</v>
      </c>
      <c r="E2885" s="156" t="str">
        <f>'Reported burning'!E2891</f>
        <v>Fire suppression agent</v>
      </c>
      <c r="F2885" s="156" t="str">
        <f>'Reported burning'!F2891</f>
        <v>ND</v>
      </c>
      <c r="G2885" s="156" t="str">
        <f>'Reported burning'!G2891</f>
        <v>ND</v>
      </c>
      <c r="H2885" s="156" t="str">
        <f>'Reported burning'!H2891</f>
        <v>Presence</v>
      </c>
      <c r="I2885" s="5"/>
      <c r="J2885" s="205" t="s">
        <v>2276</v>
      </c>
      <c r="K2885" s="205"/>
      <c r="L2885" s="205"/>
      <c r="M2885" s="205"/>
      <c r="N2885" s="205"/>
      <c r="O2885" s="205"/>
      <c r="P2885" s="103" t="s">
        <v>2376</v>
      </c>
      <c r="Q2885" s="205"/>
      <c r="R2885" s="21"/>
      <c r="S2885" s="205"/>
      <c r="T2885" s="205"/>
      <c r="U2885" s="205"/>
      <c r="V2885" s="205"/>
      <c r="W2885" s="205"/>
      <c r="X2885" s="205"/>
      <c r="Y2885" s="205"/>
      <c r="Z2885" s="205"/>
      <c r="AA2885" s="205"/>
      <c r="AB2885" s="205"/>
    </row>
    <row r="2886" spans="1:28" ht="31" customHeight="1">
      <c r="A2886" s="156" t="str">
        <f>'Reported burning'!A2892</f>
        <v>306d</v>
      </c>
      <c r="B2886" s="156" t="str">
        <f>'Reported burning'!B2892</f>
        <v>306d.1</v>
      </c>
      <c r="C2886" s="156" t="str">
        <f>'Reported burning'!C2892</f>
        <v>Human, deliberate</v>
      </c>
      <c r="D2886" s="156" t="str">
        <f>'Reported burning'!D2892</f>
        <v>Pyrome management</v>
      </c>
      <c r="E2886" s="156" t="str">
        <f>'Reported burning'!E2892</f>
        <v>Fire suppression agent</v>
      </c>
      <c r="F2886" s="156" t="str">
        <f>'Reported burning'!F2892</f>
        <v>ND</v>
      </c>
      <c r="G2886" s="156" t="str">
        <f>'Reported burning'!G2892</f>
        <v>ND</v>
      </c>
      <c r="H2886" s="156" t="str">
        <f>'Reported burning'!H2892</f>
        <v>Presence</v>
      </c>
      <c r="I2886" s="5"/>
      <c r="J2886" s="205" t="s">
        <v>2276</v>
      </c>
      <c r="K2886" s="205"/>
      <c r="L2886" s="205"/>
      <c r="M2886" s="205"/>
      <c r="N2886" s="205"/>
      <c r="O2886" s="205"/>
      <c r="P2886" s="103" t="s">
        <v>2376</v>
      </c>
      <c r="Q2886" s="205"/>
      <c r="R2886" s="21"/>
      <c r="S2886" s="205"/>
      <c r="T2886" s="205"/>
      <c r="U2886" s="205"/>
      <c r="V2886" s="205"/>
      <c r="W2886" s="205"/>
      <c r="X2886" s="205"/>
      <c r="Y2886" s="205"/>
      <c r="Z2886" s="205"/>
      <c r="AA2886" s="205"/>
      <c r="AB2886" s="205"/>
    </row>
    <row r="2887" spans="1:28" ht="31" customHeight="1">
      <c r="A2887" s="156" t="str">
        <f>'Reported burning'!A2893</f>
        <v>306e</v>
      </c>
      <c r="B2887" s="156" t="str">
        <f>'Reported burning'!B2893</f>
        <v>306e.1</v>
      </c>
      <c r="C2887" s="156" t="str">
        <f>'Reported burning'!C2893</f>
        <v>Human, deliberate</v>
      </c>
      <c r="D2887" s="156" t="str">
        <f>'Reported burning'!D2893</f>
        <v>Pyrome management</v>
      </c>
      <c r="E2887" s="156" t="str">
        <f>'Reported burning'!E2893</f>
        <v>Fire suppression agent</v>
      </c>
      <c r="F2887" s="156" t="str">
        <f>'Reported burning'!F2893</f>
        <v>ND</v>
      </c>
      <c r="G2887" s="156" t="str">
        <f>'Reported burning'!G2893</f>
        <v>ND</v>
      </c>
      <c r="H2887" s="156" t="str">
        <f>'Reported burning'!H2893</f>
        <v>Presence</v>
      </c>
      <c r="I2887" s="5"/>
      <c r="J2887" s="205" t="s">
        <v>2276</v>
      </c>
      <c r="K2887" s="205"/>
      <c r="L2887" s="205"/>
      <c r="M2887" s="205"/>
      <c r="N2887" s="205"/>
      <c r="O2887" s="205"/>
      <c r="P2887" s="103" t="s">
        <v>2377</v>
      </c>
      <c r="Q2887" s="205"/>
      <c r="R2887" s="21"/>
      <c r="S2887" s="205"/>
      <c r="T2887" s="205"/>
      <c r="U2887" s="205"/>
      <c r="V2887" s="205"/>
      <c r="W2887" s="205"/>
      <c r="X2887" s="205"/>
      <c r="Y2887" s="205"/>
      <c r="Z2887" s="205"/>
      <c r="AA2887" s="205"/>
      <c r="AB2887" s="205"/>
    </row>
    <row r="2888" spans="1:28" ht="31" customHeight="1">
      <c r="A2888" s="156" t="str">
        <f>'Reported burning'!A2894</f>
        <v>306f</v>
      </c>
      <c r="B2888" s="156" t="str">
        <f>'Reported burning'!B2894</f>
        <v>306f.1</v>
      </c>
      <c r="C2888" s="156" t="str">
        <f>'Reported burning'!C2894</f>
        <v>Human, deliberate</v>
      </c>
      <c r="D2888" s="156" t="str">
        <f>'Reported burning'!D2894</f>
        <v>Pyrome management</v>
      </c>
      <c r="E2888" s="156" t="str">
        <f>'Reported burning'!E2894</f>
        <v>Fire suppression agent</v>
      </c>
      <c r="F2888" s="156" t="str">
        <f>'Reported burning'!F2894</f>
        <v>ND</v>
      </c>
      <c r="G2888" s="156" t="str">
        <f>'Reported burning'!G2894</f>
        <v>ND</v>
      </c>
      <c r="H2888" s="156" t="str">
        <f>'Reported burning'!H2894</f>
        <v>Presence</v>
      </c>
      <c r="I2888" s="5"/>
      <c r="J2888" s="205" t="s">
        <v>2276</v>
      </c>
      <c r="K2888" s="205"/>
      <c r="L2888" s="205"/>
      <c r="M2888" s="205"/>
      <c r="N2888" s="205"/>
      <c r="O2888" s="205"/>
      <c r="P2888" s="103" t="s">
        <v>2376</v>
      </c>
      <c r="Q2888" s="205"/>
      <c r="R2888" s="21"/>
      <c r="S2888" s="205"/>
      <c r="T2888" s="205"/>
      <c r="U2888" s="205"/>
      <c r="V2888" s="205"/>
      <c r="W2888" s="205"/>
      <c r="X2888" s="205"/>
      <c r="Y2888" s="205"/>
      <c r="Z2888" s="205"/>
      <c r="AA2888" s="205"/>
      <c r="AB2888" s="205"/>
    </row>
    <row r="2889" spans="1:28" ht="31" customHeight="1">
      <c r="A2889" s="156" t="str">
        <f>'Reported burning'!A2895</f>
        <v>306g</v>
      </c>
      <c r="B2889" s="156" t="str">
        <f>'Reported burning'!B2895</f>
        <v>306g.1</v>
      </c>
      <c r="C2889" s="156" t="str">
        <f>'Reported burning'!C2895</f>
        <v>Human, deliberate</v>
      </c>
      <c r="D2889" s="156" t="str">
        <f>'Reported burning'!D2895</f>
        <v>Pyrome management</v>
      </c>
      <c r="E2889" s="156" t="str">
        <f>'Reported burning'!E2895</f>
        <v>Fire suppression agent</v>
      </c>
      <c r="F2889" s="156" t="str">
        <f>'Reported burning'!F2895</f>
        <v>ND</v>
      </c>
      <c r="G2889" s="156" t="str">
        <f>'Reported burning'!G2895</f>
        <v>ND</v>
      </c>
      <c r="H2889" s="156" t="str">
        <f>'Reported burning'!H2895</f>
        <v>Presence</v>
      </c>
      <c r="I2889" s="5"/>
      <c r="J2889" s="205" t="s">
        <v>2276</v>
      </c>
      <c r="K2889" s="205"/>
      <c r="L2889" s="205"/>
      <c r="M2889" s="205"/>
      <c r="N2889" s="205"/>
      <c r="O2889" s="205"/>
      <c r="P2889" s="103" t="s">
        <v>2376</v>
      </c>
      <c r="Q2889" s="205"/>
      <c r="R2889" s="21"/>
      <c r="S2889" s="205"/>
      <c r="T2889" s="205"/>
      <c r="U2889" s="205"/>
      <c r="V2889" s="205"/>
      <c r="W2889" s="205"/>
      <c r="X2889" s="205"/>
      <c r="Y2889" s="205"/>
      <c r="Z2889" s="205"/>
      <c r="AA2889" s="205"/>
      <c r="AB2889" s="205"/>
    </row>
    <row r="2890" spans="1:28" ht="31" customHeight="1">
      <c r="A2890" s="156" t="str">
        <f>'Reported burning'!A2896</f>
        <v>306h</v>
      </c>
      <c r="B2890" s="156" t="str">
        <f>'Reported burning'!B2896</f>
        <v>306h.1</v>
      </c>
      <c r="C2890" s="156" t="str">
        <f>'Reported burning'!C2896</f>
        <v>Human, deliberate</v>
      </c>
      <c r="D2890" s="156" t="str">
        <f>'Reported burning'!D2896</f>
        <v>Pyrome management</v>
      </c>
      <c r="E2890" s="156" t="str">
        <f>'Reported burning'!E2896</f>
        <v>Fire suppression agent</v>
      </c>
      <c r="F2890" s="156" t="str">
        <f>'Reported burning'!F2896</f>
        <v>ND</v>
      </c>
      <c r="G2890" s="156" t="str">
        <f>'Reported burning'!G2896</f>
        <v>ND</v>
      </c>
      <c r="H2890" s="156" t="str">
        <f>'Reported burning'!H2896</f>
        <v>Presence</v>
      </c>
      <c r="I2890" s="5"/>
      <c r="J2890" s="205" t="s">
        <v>2276</v>
      </c>
      <c r="K2890" s="205"/>
      <c r="L2890" s="205"/>
      <c r="M2890" s="205"/>
      <c r="N2890" s="205"/>
      <c r="O2890" s="205"/>
      <c r="P2890" s="103" t="s">
        <v>2377</v>
      </c>
      <c r="Q2890" s="205"/>
      <c r="R2890" s="21"/>
      <c r="S2890" s="205"/>
      <c r="T2890" s="205"/>
      <c r="U2890" s="205"/>
      <c r="V2890" s="205"/>
      <c r="W2890" s="205"/>
      <c r="X2890" s="205"/>
      <c r="Y2890" s="205"/>
      <c r="Z2890" s="205"/>
      <c r="AA2890" s="205"/>
      <c r="AB2890" s="205"/>
    </row>
    <row r="2891" spans="1:28" ht="31" customHeight="1">
      <c r="A2891" s="156" t="str">
        <f>'Reported burning'!A2897</f>
        <v>306i</v>
      </c>
      <c r="B2891" s="156" t="str">
        <f>'Reported burning'!B2897</f>
        <v>306i.1</v>
      </c>
      <c r="C2891" s="156" t="str">
        <f>'Reported burning'!C2897</f>
        <v>Human, deliberate</v>
      </c>
      <c r="D2891" s="156" t="str">
        <f>'Reported burning'!D2897</f>
        <v>Pyrome management</v>
      </c>
      <c r="E2891" s="156" t="str">
        <f>'Reported burning'!E2897</f>
        <v>Fire suppression agent</v>
      </c>
      <c r="F2891" s="156" t="str">
        <f>'Reported burning'!F2897</f>
        <v>ND</v>
      </c>
      <c r="G2891" s="156" t="str">
        <f>'Reported burning'!G2897</f>
        <v>ND</v>
      </c>
      <c r="H2891" s="156" t="str">
        <f>'Reported burning'!H2897</f>
        <v>Presence</v>
      </c>
      <c r="I2891" s="5"/>
      <c r="J2891" s="205" t="s">
        <v>2276</v>
      </c>
      <c r="K2891" s="205"/>
      <c r="L2891" s="205"/>
      <c r="M2891" s="205"/>
      <c r="N2891" s="205"/>
      <c r="O2891" s="205"/>
      <c r="P2891" s="103" t="s">
        <v>2376</v>
      </c>
      <c r="Q2891" s="205"/>
      <c r="R2891" s="21"/>
      <c r="S2891" s="205"/>
      <c r="T2891" s="205"/>
      <c r="U2891" s="205"/>
      <c r="V2891" s="205"/>
      <c r="W2891" s="205"/>
      <c r="X2891" s="205"/>
      <c r="Y2891" s="205"/>
      <c r="Z2891" s="205"/>
      <c r="AA2891" s="205"/>
      <c r="AB2891" s="205"/>
    </row>
    <row r="2892" spans="1:28" ht="31" customHeight="1">
      <c r="A2892" s="156" t="str">
        <f>'Reported burning'!A2898</f>
        <v>306j</v>
      </c>
      <c r="B2892" s="156" t="str">
        <f>'Reported burning'!B2898</f>
        <v>306j.1</v>
      </c>
      <c r="C2892" s="156" t="str">
        <f>'Reported burning'!C2898</f>
        <v>Human, deliberate</v>
      </c>
      <c r="D2892" s="156" t="str">
        <f>'Reported burning'!D2898</f>
        <v>Pyrome management</v>
      </c>
      <c r="E2892" s="156" t="str">
        <f>'Reported burning'!E2898</f>
        <v>Fire suppression agent</v>
      </c>
      <c r="F2892" s="156" t="str">
        <f>'Reported burning'!F2898</f>
        <v>ND</v>
      </c>
      <c r="G2892" s="156" t="str">
        <f>'Reported burning'!G2898</f>
        <v>ND</v>
      </c>
      <c r="H2892" s="156" t="str">
        <f>'Reported burning'!H2898</f>
        <v>Presence</v>
      </c>
      <c r="I2892" s="5"/>
      <c r="J2892" s="205" t="s">
        <v>2276</v>
      </c>
      <c r="K2892" s="205"/>
      <c r="L2892" s="205"/>
      <c r="M2892" s="205"/>
      <c r="N2892" s="205"/>
      <c r="O2892" s="205"/>
      <c r="P2892" s="103" t="s">
        <v>2377</v>
      </c>
      <c r="Q2892" s="205"/>
      <c r="R2892" s="21"/>
      <c r="S2892" s="205"/>
      <c r="T2892" s="205"/>
      <c r="U2892" s="205"/>
      <c r="V2892" s="205"/>
      <c r="W2892" s="205"/>
      <c r="X2892" s="205"/>
      <c r="Y2892" s="205"/>
      <c r="Z2892" s="205"/>
      <c r="AA2892" s="205"/>
      <c r="AB2892" s="205"/>
    </row>
    <row r="2893" spans="1:28" ht="31" customHeight="1">
      <c r="A2893" s="156" t="str">
        <f>'Reported burning'!A2899</f>
        <v>306k</v>
      </c>
      <c r="B2893" s="156" t="str">
        <f>'Reported burning'!B2899</f>
        <v>306k.1</v>
      </c>
      <c r="C2893" s="156" t="str">
        <f>'Reported burning'!C2899</f>
        <v>Human, deliberate</v>
      </c>
      <c r="D2893" s="156" t="str">
        <f>'Reported burning'!D2899</f>
        <v>Pyrome management</v>
      </c>
      <c r="E2893" s="156" t="str">
        <f>'Reported burning'!E2899</f>
        <v>Fire suppression agent</v>
      </c>
      <c r="F2893" s="156" t="str">
        <f>'Reported burning'!F2899</f>
        <v>ND</v>
      </c>
      <c r="G2893" s="156" t="str">
        <f>'Reported burning'!G2899</f>
        <v>ND</v>
      </c>
      <c r="H2893" s="156" t="str">
        <f>'Reported burning'!H2899</f>
        <v>Presence</v>
      </c>
      <c r="I2893" s="5"/>
      <c r="J2893" s="205" t="s">
        <v>2276</v>
      </c>
      <c r="K2893" s="205"/>
      <c r="L2893" s="205"/>
      <c r="M2893" s="205"/>
      <c r="N2893" s="205"/>
      <c r="O2893" s="205"/>
      <c r="P2893" s="103" t="s">
        <v>2377</v>
      </c>
      <c r="Q2893" s="205"/>
      <c r="R2893" s="21"/>
      <c r="S2893" s="205"/>
      <c r="T2893" s="205"/>
      <c r="U2893" s="205"/>
      <c r="V2893" s="205"/>
      <c r="W2893" s="205"/>
      <c r="X2893" s="205"/>
      <c r="Y2893" s="205"/>
      <c r="Z2893" s="205"/>
      <c r="AA2893" s="205"/>
      <c r="AB2893" s="205"/>
    </row>
    <row r="2894" spans="1:28" ht="31" customHeight="1">
      <c r="A2894" s="156" t="str">
        <f>'Reported burning'!A2900</f>
        <v>306l</v>
      </c>
      <c r="B2894" s="156" t="str">
        <f>'Reported burning'!B2900</f>
        <v>306l.1</v>
      </c>
      <c r="C2894" s="156" t="str">
        <f>'Reported burning'!C2900</f>
        <v>Human, deliberate</v>
      </c>
      <c r="D2894" s="156" t="str">
        <f>'Reported burning'!D2900</f>
        <v>Pyrome management</v>
      </c>
      <c r="E2894" s="156" t="str">
        <f>'Reported burning'!E2900</f>
        <v>Fire suppression agent</v>
      </c>
      <c r="F2894" s="156" t="str">
        <f>'Reported burning'!F2900</f>
        <v>ND</v>
      </c>
      <c r="G2894" s="156" t="str">
        <f>'Reported burning'!G2900</f>
        <v>ND</v>
      </c>
      <c r="H2894" s="156" t="str">
        <f>'Reported burning'!H2900</f>
        <v>Presence</v>
      </c>
      <c r="I2894" s="5"/>
      <c r="J2894" s="205" t="s">
        <v>2276</v>
      </c>
      <c r="K2894" s="205"/>
      <c r="L2894" s="205"/>
      <c r="M2894" s="205"/>
      <c r="N2894" s="205"/>
      <c r="O2894" s="205"/>
      <c r="P2894" s="103" t="s">
        <v>2380</v>
      </c>
      <c r="Q2894" s="205"/>
      <c r="R2894" s="21"/>
      <c r="S2894" s="205"/>
      <c r="T2894" s="205"/>
      <c r="U2894" s="205"/>
      <c r="V2894" s="205"/>
      <c r="W2894" s="205"/>
      <c r="X2894" s="205"/>
      <c r="Y2894" s="205"/>
      <c r="Z2894" s="205"/>
      <c r="AA2894" s="205"/>
      <c r="AB2894" s="205"/>
    </row>
    <row r="2895" spans="1:28" ht="31" customHeight="1">
      <c r="A2895" s="185" t="str">
        <f>'Reported burning'!A2901</f>
        <v>306m</v>
      </c>
      <c r="B2895" s="185" t="str">
        <f>'Reported burning'!B2901</f>
        <v>306m.1</v>
      </c>
      <c r="C2895" s="185" t="str">
        <f>'Reported burning'!C2901</f>
        <v>Human, deliberate</v>
      </c>
      <c r="D2895" s="185" t="str">
        <f>'Reported burning'!D2901</f>
        <v>Pyrome management</v>
      </c>
      <c r="E2895" s="185" t="str">
        <f>'Reported burning'!E2901</f>
        <v>Fire suppression agent</v>
      </c>
      <c r="F2895" s="185" t="str">
        <f>'Reported burning'!F2901</f>
        <v>ND</v>
      </c>
      <c r="G2895" s="185" t="str">
        <f>'Reported burning'!G2901</f>
        <v>ND</v>
      </c>
      <c r="H2895" s="185" t="str">
        <f>'Reported burning'!H2901</f>
        <v>Presence</v>
      </c>
      <c r="I2895" s="32"/>
      <c r="J2895" s="38" t="s">
        <v>2276</v>
      </c>
      <c r="K2895" s="38"/>
      <c r="L2895" s="38"/>
      <c r="M2895" s="38"/>
      <c r="N2895" s="38"/>
      <c r="O2895" s="38"/>
      <c r="P2895" s="103" t="s">
        <v>2376</v>
      </c>
      <c r="Q2895" s="38"/>
      <c r="R2895" s="73"/>
      <c r="S2895" s="38"/>
      <c r="T2895" s="38"/>
      <c r="U2895" s="38"/>
      <c r="V2895" s="38"/>
      <c r="W2895" s="38"/>
      <c r="X2895" s="38"/>
      <c r="Y2895" s="38"/>
      <c r="Z2895" s="38"/>
      <c r="AA2895" s="38"/>
      <c r="AB2895" s="38"/>
    </row>
    <row r="2896" spans="1:28" ht="31" customHeight="1">
      <c r="A2896" s="152" t="str">
        <f>'Reported burning'!A2902</f>
        <v>306n</v>
      </c>
      <c r="B2896" s="152" t="str">
        <f>'Reported burning'!B2902</f>
        <v>306n.1</v>
      </c>
      <c r="C2896" s="152" t="str">
        <f>'Reported burning'!C2902</f>
        <v>Human, deliberate</v>
      </c>
      <c r="D2896" s="152" t="str">
        <f>'Reported burning'!D2902</f>
        <v>Pyrome management</v>
      </c>
      <c r="E2896" s="152" t="str">
        <f>'Reported burning'!E2902</f>
        <v>Fire suppression agent</v>
      </c>
      <c r="F2896" s="152" t="str">
        <f>'Reported burning'!F2902</f>
        <v>ND</v>
      </c>
      <c r="G2896" s="152" t="str">
        <f>'Reported burning'!G2902</f>
        <v>ND</v>
      </c>
      <c r="H2896" s="152" t="str">
        <f>'Reported burning'!H2902</f>
        <v>Presence</v>
      </c>
      <c r="I2896" s="205"/>
      <c r="J2896" s="21"/>
      <c r="K2896" s="103"/>
      <c r="L2896" s="205"/>
      <c r="M2896" s="21"/>
      <c r="N2896" s="21"/>
      <c r="O2896" s="21"/>
      <c r="P2896" s="103" t="s">
        <v>2381</v>
      </c>
      <c r="Q2896" s="21"/>
      <c r="R2896" s="21"/>
      <c r="S2896" s="21"/>
      <c r="T2896" s="21"/>
      <c r="U2896" s="21"/>
      <c r="V2896" s="21"/>
      <c r="W2896" s="21"/>
      <c r="X2896" s="205"/>
      <c r="Y2896" s="205"/>
      <c r="Z2896" s="205"/>
      <c r="AA2896" s="205"/>
      <c r="AB2896" s="205"/>
    </row>
    <row r="2897" spans="1:28" ht="31" customHeight="1">
      <c r="A2897" s="152" t="str">
        <f>'Reported burning'!A2903</f>
        <v>306o</v>
      </c>
      <c r="B2897" s="152" t="str">
        <f>'Reported burning'!B2903</f>
        <v>306o.1</v>
      </c>
      <c r="C2897" s="152" t="str">
        <f>'Reported burning'!C2903</f>
        <v>Human, deliberate</v>
      </c>
      <c r="D2897" s="152" t="str">
        <f>'Reported burning'!D2903</f>
        <v>Pyrome management</v>
      </c>
      <c r="E2897" s="152" t="str">
        <f>'Reported burning'!E2903</f>
        <v>Fire suppression agent</v>
      </c>
      <c r="F2897" s="152" t="str">
        <f>'Reported burning'!F2903</f>
        <v>ND</v>
      </c>
      <c r="G2897" s="152" t="str">
        <f>'Reported burning'!G2903</f>
        <v>ND</v>
      </c>
      <c r="H2897" s="152" t="str">
        <f>'Reported burning'!H2903</f>
        <v>Presence</v>
      </c>
      <c r="I2897" s="205"/>
      <c r="J2897" s="21"/>
      <c r="K2897" s="103"/>
      <c r="L2897" s="205"/>
      <c r="M2897" s="21"/>
      <c r="N2897" s="21"/>
      <c r="O2897" s="21"/>
      <c r="P2897" s="103" t="s">
        <v>2378</v>
      </c>
      <c r="Q2897" s="21"/>
      <c r="R2897" s="21"/>
      <c r="S2897" s="21"/>
      <c r="T2897" s="21"/>
      <c r="U2897" s="21"/>
      <c r="V2897" s="21"/>
      <c r="W2897" s="21"/>
      <c r="X2897" s="205"/>
      <c r="Y2897" s="205"/>
      <c r="Z2897" s="205"/>
      <c r="AA2897" s="205"/>
      <c r="AB2897" s="205"/>
    </row>
    <row r="2898" spans="1:28" ht="31" customHeight="1">
      <c r="A2898" s="152" t="str">
        <f>'Reported burning'!A2904</f>
        <v>306p</v>
      </c>
      <c r="B2898" s="152" t="str">
        <f>'Reported burning'!B2904</f>
        <v>306p.1</v>
      </c>
      <c r="C2898" s="152" t="str">
        <f>'Reported burning'!C2904</f>
        <v>Human, deliberate</v>
      </c>
      <c r="D2898" s="152" t="str">
        <f>'Reported burning'!D2904</f>
        <v>Pyrome management</v>
      </c>
      <c r="E2898" s="152" t="str">
        <f>'Reported burning'!E2904</f>
        <v>Fire suppression agent</v>
      </c>
      <c r="F2898" s="152" t="str">
        <f>'Reported burning'!F2904</f>
        <v>ND</v>
      </c>
      <c r="G2898" s="152" t="str">
        <f>'Reported burning'!G2904</f>
        <v>ND</v>
      </c>
      <c r="H2898" s="152" t="str">
        <f>'Reported burning'!H2904</f>
        <v>Presence</v>
      </c>
      <c r="I2898" s="205"/>
      <c r="J2898" s="21"/>
      <c r="K2898" s="103"/>
      <c r="L2898" s="205"/>
      <c r="M2898" s="21"/>
      <c r="N2898" s="21"/>
      <c r="O2898" s="21"/>
      <c r="P2898" s="103" t="s">
        <v>2378</v>
      </c>
      <c r="Q2898" s="21"/>
      <c r="R2898" s="21"/>
      <c r="S2898" s="21"/>
      <c r="T2898" s="21"/>
      <c r="U2898" s="21"/>
      <c r="V2898" s="21"/>
      <c r="W2898" s="21"/>
      <c r="X2898" s="205"/>
      <c r="Y2898" s="205"/>
      <c r="Z2898" s="205"/>
      <c r="AA2898" s="205"/>
      <c r="AB2898" s="205"/>
    </row>
    <row r="2899" spans="1:28" ht="31" customHeight="1">
      <c r="A2899" s="152" t="str">
        <f>'Reported burning'!A2905</f>
        <v>306q</v>
      </c>
      <c r="B2899" s="152" t="str">
        <f>'Reported burning'!B2905</f>
        <v>306q.1</v>
      </c>
      <c r="C2899" s="152" t="str">
        <f>'Reported burning'!C2905</f>
        <v>Human, deliberate</v>
      </c>
      <c r="D2899" s="152" t="str">
        <f>'Reported burning'!D2905</f>
        <v>Pyrome management</v>
      </c>
      <c r="E2899" s="152" t="str">
        <f>'Reported burning'!E2905</f>
        <v>Fire suppression agent</v>
      </c>
      <c r="F2899" s="152" t="str">
        <f>'Reported burning'!F2905</f>
        <v>ND</v>
      </c>
      <c r="G2899" s="152" t="str">
        <f>'Reported burning'!G2905</f>
        <v>ND</v>
      </c>
      <c r="H2899" s="152" t="str">
        <f>'Reported burning'!H2905</f>
        <v>Presence</v>
      </c>
      <c r="I2899" s="205"/>
      <c r="J2899" s="21"/>
      <c r="K2899" s="103"/>
      <c r="L2899" s="205"/>
      <c r="M2899" s="21"/>
      <c r="N2899" s="21"/>
      <c r="O2899" s="21"/>
      <c r="P2899" s="103" t="s">
        <v>2379</v>
      </c>
      <c r="Q2899" s="21"/>
      <c r="R2899" s="21"/>
      <c r="S2899" s="21"/>
      <c r="T2899" s="21"/>
      <c r="U2899" s="21"/>
      <c r="V2899" s="21"/>
      <c r="W2899" s="21"/>
      <c r="X2899" s="205"/>
      <c r="Y2899" s="205"/>
      <c r="Z2899" s="205"/>
      <c r="AA2899" s="205"/>
      <c r="AB2899" s="205"/>
    </row>
    <row r="2900" spans="1:28" ht="31" customHeight="1">
      <c r="A2900" s="152" t="str">
        <f>'Reported burning'!A2906</f>
        <v>306r</v>
      </c>
      <c r="B2900" s="152" t="str">
        <f>'Reported burning'!B2906</f>
        <v>306r.1</v>
      </c>
      <c r="C2900" s="152" t="str">
        <f>'Reported burning'!C2906</f>
        <v>Human, deliberate</v>
      </c>
      <c r="D2900" s="152" t="str">
        <f>'Reported burning'!D2906</f>
        <v>Pyrome management</v>
      </c>
      <c r="E2900" s="152" t="str">
        <f>'Reported burning'!E2906</f>
        <v>Fire suppression agent</v>
      </c>
      <c r="F2900" s="152" t="str">
        <f>'Reported burning'!F2906</f>
        <v>ND</v>
      </c>
      <c r="G2900" s="152" t="str">
        <f>'Reported burning'!G2906</f>
        <v>ND</v>
      </c>
      <c r="H2900" s="152" t="str">
        <f>'Reported burning'!H2906</f>
        <v>Presence</v>
      </c>
      <c r="I2900" s="205"/>
      <c r="J2900" s="21"/>
      <c r="K2900" s="103"/>
      <c r="L2900" s="205"/>
      <c r="M2900" s="21"/>
      <c r="N2900" s="21"/>
      <c r="O2900" s="21"/>
      <c r="P2900" s="103" t="s">
        <v>2380</v>
      </c>
      <c r="Q2900" s="21"/>
      <c r="R2900" s="21"/>
      <c r="S2900" s="21"/>
      <c r="T2900" s="21"/>
      <c r="U2900" s="21"/>
      <c r="V2900" s="21"/>
      <c r="W2900" s="21"/>
      <c r="X2900" s="205"/>
      <c r="Y2900" s="205"/>
      <c r="Z2900" s="205"/>
      <c r="AA2900" s="205"/>
      <c r="AB2900" s="205"/>
    </row>
    <row r="2901" spans="1:28" ht="31" customHeight="1">
      <c r="A2901" s="152" t="str">
        <f>'Reported burning'!A2907</f>
        <v>306s</v>
      </c>
      <c r="B2901" s="152" t="str">
        <f>'Reported burning'!B2907</f>
        <v>306s.1</v>
      </c>
      <c r="C2901" s="152" t="str">
        <f>'Reported burning'!C2907</f>
        <v>Human, deliberate</v>
      </c>
      <c r="D2901" s="152" t="str">
        <f>'Reported burning'!D2907</f>
        <v>Pyrome management</v>
      </c>
      <c r="E2901" s="152" t="str">
        <f>'Reported burning'!E2907</f>
        <v>Fire suppression agent</v>
      </c>
      <c r="F2901" s="152" t="str">
        <f>'Reported burning'!F2907</f>
        <v>ND</v>
      </c>
      <c r="G2901" s="152" t="str">
        <f>'Reported burning'!G2907</f>
        <v>ND</v>
      </c>
      <c r="H2901" s="152" t="str">
        <f>'Reported burning'!H2907</f>
        <v>Presence</v>
      </c>
      <c r="I2901" s="205"/>
      <c r="J2901" s="21"/>
      <c r="K2901" s="103"/>
      <c r="L2901" s="205"/>
      <c r="M2901" s="21"/>
      <c r="N2901" s="21"/>
      <c r="O2901" s="21"/>
      <c r="P2901" s="103" t="s">
        <v>2377</v>
      </c>
      <c r="Q2901" s="21"/>
      <c r="R2901" s="21"/>
      <c r="S2901" s="21"/>
      <c r="T2901" s="21"/>
      <c r="U2901" s="21"/>
      <c r="V2901" s="21"/>
      <c r="W2901" s="21"/>
      <c r="X2901" s="205"/>
      <c r="Y2901" s="205"/>
      <c r="Z2901" s="205"/>
      <c r="AA2901" s="205"/>
      <c r="AB2901" s="205"/>
    </row>
    <row r="2902" spans="1:28" ht="31" customHeight="1">
      <c r="A2902" s="152" t="str">
        <f>'Reported burning'!A2908</f>
        <v>306t</v>
      </c>
      <c r="B2902" s="152" t="str">
        <f>'Reported burning'!B2908</f>
        <v>306t.1</v>
      </c>
      <c r="C2902" s="152" t="str">
        <f>'Reported burning'!C2908</f>
        <v>Human, deliberate</v>
      </c>
      <c r="D2902" s="152" t="str">
        <f>'Reported burning'!D2908</f>
        <v>Pyrome management</v>
      </c>
      <c r="E2902" s="152" t="str">
        <f>'Reported burning'!E2908</f>
        <v>Fire suppression agent</v>
      </c>
      <c r="F2902" s="152" t="str">
        <f>'Reported burning'!F2908</f>
        <v>ND</v>
      </c>
      <c r="G2902" s="152" t="str">
        <f>'Reported burning'!G2908</f>
        <v>ND</v>
      </c>
      <c r="H2902" s="152" t="str">
        <f>'Reported burning'!H2908</f>
        <v>Presence</v>
      </c>
      <c r="I2902" s="205"/>
      <c r="J2902" s="21"/>
      <c r="K2902" s="103"/>
      <c r="L2902" s="205"/>
      <c r="M2902" s="21"/>
      <c r="N2902" s="21"/>
      <c r="O2902" s="21"/>
      <c r="P2902" s="103" t="s">
        <v>2378</v>
      </c>
      <c r="Q2902" s="21"/>
      <c r="R2902" s="21"/>
      <c r="S2902" s="21"/>
      <c r="T2902" s="21"/>
      <c r="U2902" s="21"/>
      <c r="V2902" s="21"/>
      <c r="W2902" s="21"/>
      <c r="X2902" s="205"/>
      <c r="Y2902" s="205"/>
      <c r="Z2902" s="205"/>
      <c r="AA2902" s="205"/>
      <c r="AB2902" s="205"/>
    </row>
    <row r="2903" spans="1:28" ht="31" customHeight="1">
      <c r="A2903" s="152" t="str">
        <f>'Reported burning'!A2909</f>
        <v>306u</v>
      </c>
      <c r="B2903" s="152" t="str">
        <f>'Reported burning'!B2909</f>
        <v>306u.1</v>
      </c>
      <c r="C2903" s="152" t="str">
        <f>'Reported burning'!C2909</f>
        <v>Human, deliberate</v>
      </c>
      <c r="D2903" s="152" t="str">
        <f>'Reported burning'!D2909</f>
        <v>Pyrome management</v>
      </c>
      <c r="E2903" s="152" t="str">
        <f>'Reported burning'!E2909</f>
        <v>Fire suppression agent</v>
      </c>
      <c r="F2903" s="152" t="str">
        <f>'Reported burning'!F2909</f>
        <v>ND</v>
      </c>
      <c r="G2903" s="152" t="str">
        <f>'Reported burning'!G2909</f>
        <v>ND</v>
      </c>
      <c r="H2903" s="152" t="str">
        <f>'Reported burning'!H2909</f>
        <v>Presence</v>
      </c>
      <c r="I2903" s="205"/>
      <c r="J2903" s="21"/>
      <c r="K2903" s="103"/>
      <c r="L2903" s="205"/>
      <c r="M2903" s="21"/>
      <c r="N2903" s="21"/>
      <c r="O2903" s="21"/>
      <c r="P2903" s="103" t="s">
        <v>2377</v>
      </c>
      <c r="Q2903" s="21"/>
      <c r="R2903" s="21"/>
      <c r="S2903" s="21"/>
      <c r="T2903" s="21"/>
      <c r="U2903" s="21"/>
      <c r="V2903" s="21"/>
      <c r="W2903" s="21"/>
      <c r="X2903" s="205"/>
      <c r="Y2903" s="205"/>
      <c r="Z2903" s="205"/>
      <c r="AA2903" s="205"/>
      <c r="AB2903" s="205"/>
    </row>
    <row r="2904" spans="1:28" ht="31" customHeight="1">
      <c r="A2904" s="152" t="str">
        <f>'Reported burning'!A2910</f>
        <v>306v</v>
      </c>
      <c r="B2904" s="152" t="str">
        <f>'Reported burning'!B2910</f>
        <v>306v.1</v>
      </c>
      <c r="C2904" s="152" t="str">
        <f>'Reported burning'!C2910</f>
        <v>Human, deliberate</v>
      </c>
      <c r="D2904" s="152" t="str">
        <f>'Reported burning'!D2910</f>
        <v>Pyrome management</v>
      </c>
      <c r="E2904" s="152" t="str">
        <f>'Reported burning'!E2910</f>
        <v>Fire suppression agent</v>
      </c>
      <c r="F2904" s="152" t="str">
        <f>'Reported burning'!F2910</f>
        <v>ND</v>
      </c>
      <c r="G2904" s="152" t="str">
        <f>'Reported burning'!G2910</f>
        <v>ND</v>
      </c>
      <c r="H2904" s="152" t="str">
        <f>'Reported burning'!H2910</f>
        <v>Presence</v>
      </c>
      <c r="I2904" s="205"/>
      <c r="J2904" s="21"/>
      <c r="K2904" s="103"/>
      <c r="L2904" s="205"/>
      <c r="M2904" s="21"/>
      <c r="N2904" s="21"/>
      <c r="O2904" s="21"/>
      <c r="P2904" s="103" t="s">
        <v>2378</v>
      </c>
      <c r="Q2904" s="21"/>
      <c r="R2904" s="21"/>
      <c r="S2904" s="21"/>
      <c r="T2904" s="21"/>
      <c r="U2904" s="21"/>
      <c r="V2904" s="21"/>
      <c r="W2904" s="21"/>
      <c r="X2904" s="205"/>
      <c r="Y2904" s="205"/>
      <c r="Z2904" s="205"/>
      <c r="AA2904" s="205"/>
      <c r="AB2904" s="205"/>
    </row>
    <row r="2905" spans="1:28" ht="31" customHeight="1">
      <c r="A2905" s="152" t="str">
        <f>'Reported burning'!A2911</f>
        <v>306w</v>
      </c>
      <c r="B2905" s="152" t="str">
        <f>'Reported burning'!B2911</f>
        <v>306w.1</v>
      </c>
      <c r="C2905" s="152" t="str">
        <f>'Reported burning'!C2911</f>
        <v>Human, deliberate</v>
      </c>
      <c r="D2905" s="152" t="str">
        <f>'Reported burning'!D2911</f>
        <v>Pyrome management</v>
      </c>
      <c r="E2905" s="152" t="str">
        <f>'Reported burning'!E2911</f>
        <v>Fire suppression agent</v>
      </c>
      <c r="F2905" s="152" t="str">
        <f>'Reported burning'!F2911</f>
        <v>ND</v>
      </c>
      <c r="G2905" s="152" t="str">
        <f>'Reported burning'!G2911</f>
        <v>ND</v>
      </c>
      <c r="H2905" s="152" t="str">
        <f>'Reported burning'!H2911</f>
        <v>Presence</v>
      </c>
      <c r="I2905" s="205"/>
      <c r="J2905" s="21"/>
      <c r="K2905" s="103"/>
      <c r="L2905" s="205"/>
      <c r="M2905" s="21"/>
      <c r="N2905" s="21"/>
      <c r="O2905" s="21"/>
      <c r="P2905" s="103" t="s">
        <v>2377</v>
      </c>
      <c r="Q2905" s="21"/>
      <c r="R2905" s="21"/>
      <c r="S2905" s="21"/>
      <c r="T2905" s="21"/>
      <c r="U2905" s="21"/>
      <c r="V2905" s="21"/>
      <c r="W2905" s="21"/>
      <c r="X2905" s="205"/>
      <c r="Y2905" s="205"/>
      <c r="Z2905" s="205"/>
      <c r="AA2905" s="205"/>
      <c r="AB2905" s="205"/>
    </row>
    <row r="2906" spans="1:28" ht="31" customHeight="1">
      <c r="A2906" s="152" t="str">
        <f>'Reported burning'!A2912</f>
        <v>306x</v>
      </c>
      <c r="B2906" s="152" t="str">
        <f>'Reported burning'!B2912</f>
        <v>306x.1</v>
      </c>
      <c r="C2906" s="152" t="str">
        <f>'Reported burning'!C2912</f>
        <v>Human, deliberate</v>
      </c>
      <c r="D2906" s="152" t="str">
        <f>'Reported burning'!D2912</f>
        <v>Pyrome management</v>
      </c>
      <c r="E2906" s="152" t="str">
        <f>'Reported burning'!E2912</f>
        <v>Fire suppression agent</v>
      </c>
      <c r="F2906" s="152" t="str">
        <f>'Reported burning'!F2912</f>
        <v>ND</v>
      </c>
      <c r="G2906" s="152" t="str">
        <f>'Reported burning'!G2912</f>
        <v>ND</v>
      </c>
      <c r="H2906" s="152" t="str">
        <f>'Reported burning'!H2912</f>
        <v>Presence</v>
      </c>
      <c r="I2906" s="205"/>
      <c r="J2906" s="21"/>
      <c r="K2906" s="103"/>
      <c r="L2906" s="205"/>
      <c r="M2906" s="21"/>
      <c r="N2906" s="21"/>
      <c r="O2906" s="21"/>
      <c r="P2906" s="103" t="s">
        <v>2378</v>
      </c>
      <c r="Q2906" s="21"/>
      <c r="R2906" s="21"/>
      <c r="S2906" s="21"/>
      <c r="T2906" s="21"/>
      <c r="U2906" s="21"/>
      <c r="V2906" s="21"/>
      <c r="W2906" s="21"/>
      <c r="X2906" s="205"/>
      <c r="Y2906" s="205"/>
      <c r="Z2906" s="205"/>
      <c r="AA2906" s="205"/>
      <c r="AB2906" s="205"/>
    </row>
    <row r="2907" spans="1:28" ht="31" customHeight="1">
      <c r="A2907" s="152" t="str">
        <f>'Reported burning'!A2913</f>
        <v>306y</v>
      </c>
      <c r="B2907" s="152" t="str">
        <f>'Reported burning'!B2913</f>
        <v>306y.1</v>
      </c>
      <c r="C2907" s="152" t="str">
        <f>'Reported burning'!C2913</f>
        <v>Human, deliberate</v>
      </c>
      <c r="D2907" s="152" t="str">
        <f>'Reported burning'!D2913</f>
        <v>Pyrome management</v>
      </c>
      <c r="E2907" s="152" t="str">
        <f>'Reported burning'!E2913</f>
        <v>Fire suppression agent</v>
      </c>
      <c r="F2907" s="152" t="str">
        <f>'Reported burning'!F2913</f>
        <v>ND</v>
      </c>
      <c r="G2907" s="152" t="str">
        <f>'Reported burning'!G2913</f>
        <v>ND</v>
      </c>
      <c r="H2907" s="152" t="str">
        <f>'Reported burning'!H2913</f>
        <v>Presence</v>
      </c>
      <c r="I2907" s="205"/>
      <c r="J2907" s="21"/>
      <c r="K2907" s="103"/>
      <c r="L2907" s="205"/>
      <c r="M2907" s="21"/>
      <c r="N2907" s="21"/>
      <c r="O2907" s="21"/>
      <c r="P2907" s="103" t="s">
        <v>2379</v>
      </c>
      <c r="Q2907" s="21"/>
      <c r="R2907" s="21"/>
      <c r="S2907" s="21"/>
      <c r="T2907" s="21"/>
      <c r="U2907" s="21"/>
      <c r="V2907" s="21"/>
      <c r="W2907" s="21"/>
      <c r="X2907" s="205"/>
      <c r="Y2907" s="205"/>
      <c r="Z2907" s="205"/>
      <c r="AA2907" s="205"/>
      <c r="AB2907" s="205"/>
    </row>
    <row r="2908" spans="1:28" ht="31" customHeight="1">
      <c r="A2908" s="152" t="str">
        <f>'Reported burning'!A2914</f>
        <v>306z</v>
      </c>
      <c r="B2908" s="152" t="str">
        <f>'Reported burning'!B2914</f>
        <v>306z.1</v>
      </c>
      <c r="C2908" s="152" t="str">
        <f>'Reported burning'!C2914</f>
        <v>Human, deliberate</v>
      </c>
      <c r="D2908" s="152" t="str">
        <f>'Reported burning'!D2914</f>
        <v>Pyrome management</v>
      </c>
      <c r="E2908" s="152" t="str">
        <f>'Reported burning'!E2914</f>
        <v>Fire suppression agent</v>
      </c>
      <c r="F2908" s="152" t="str">
        <f>'Reported burning'!F2914</f>
        <v>ND</v>
      </c>
      <c r="G2908" s="152" t="str">
        <f>'Reported burning'!G2914</f>
        <v>ND</v>
      </c>
      <c r="H2908" s="152" t="str">
        <f>'Reported burning'!H2914</f>
        <v>Presence</v>
      </c>
      <c r="I2908" s="205"/>
      <c r="J2908" s="21"/>
      <c r="K2908" s="103"/>
      <c r="L2908" s="205"/>
      <c r="M2908" s="21"/>
      <c r="N2908" s="21"/>
      <c r="O2908" s="21"/>
      <c r="P2908" s="103" t="s">
        <v>2380</v>
      </c>
      <c r="Q2908" s="21"/>
      <c r="R2908" s="21"/>
      <c r="S2908" s="21"/>
      <c r="T2908" s="21"/>
      <c r="U2908" s="21"/>
      <c r="V2908" s="21"/>
      <c r="W2908" s="21"/>
      <c r="X2908" s="205"/>
      <c r="Y2908" s="205"/>
      <c r="Z2908" s="205"/>
      <c r="AA2908" s="205"/>
      <c r="AB2908" s="205"/>
    </row>
    <row r="2909" spans="1:28" ht="31" customHeight="1">
      <c r="A2909" s="152" t="str">
        <f>'Reported burning'!A2915</f>
        <v>306aa</v>
      </c>
      <c r="B2909" s="152" t="str">
        <f>'Reported burning'!B2915</f>
        <v>306aa.1</v>
      </c>
      <c r="C2909" s="152" t="str">
        <f>'Reported burning'!C2915</f>
        <v>Human, deliberate</v>
      </c>
      <c r="D2909" s="152" t="str">
        <f>'Reported burning'!D2915</f>
        <v>Pyrome management</v>
      </c>
      <c r="E2909" s="152" t="str">
        <f>'Reported burning'!E2915</f>
        <v>Fire suppression agent</v>
      </c>
      <c r="F2909" s="152" t="str">
        <f>'Reported burning'!F2915</f>
        <v>ND</v>
      </c>
      <c r="G2909" s="152" t="str">
        <f>'Reported burning'!G2915</f>
        <v>ND</v>
      </c>
      <c r="H2909" s="152" t="str">
        <f>'Reported burning'!H2915</f>
        <v>Presence</v>
      </c>
      <c r="I2909" s="205"/>
      <c r="J2909" s="21"/>
      <c r="K2909" s="103"/>
      <c r="L2909" s="205"/>
      <c r="M2909" s="21"/>
      <c r="N2909" s="21"/>
      <c r="O2909" s="21"/>
      <c r="P2909" s="103" t="s">
        <v>2378</v>
      </c>
      <c r="Q2909" s="21"/>
      <c r="R2909" s="21"/>
      <c r="S2909" s="21"/>
      <c r="T2909" s="21"/>
      <c r="U2909" s="21"/>
      <c r="V2909" s="21"/>
      <c r="W2909" s="21"/>
      <c r="X2909" s="205"/>
      <c r="Y2909" s="205"/>
      <c r="Z2909" s="205"/>
      <c r="AA2909" s="205"/>
      <c r="AB2909" s="205"/>
    </row>
    <row r="2910" spans="1:28" ht="31" customHeight="1">
      <c r="A2910" s="152" t="str">
        <f>'Reported burning'!A2916</f>
        <v>306ab</v>
      </c>
      <c r="B2910" s="152" t="str">
        <f>'Reported burning'!B2916</f>
        <v>306ab.1</v>
      </c>
      <c r="C2910" s="152" t="str">
        <f>'Reported burning'!C2916</f>
        <v>Human, deliberate</v>
      </c>
      <c r="D2910" s="152" t="str">
        <f>'Reported burning'!D2916</f>
        <v>Pyrome management</v>
      </c>
      <c r="E2910" s="152" t="str">
        <f>'Reported burning'!E2916</f>
        <v>Fire suppression agent</v>
      </c>
      <c r="F2910" s="152" t="str">
        <f>'Reported burning'!F2916</f>
        <v>ND</v>
      </c>
      <c r="G2910" s="152" t="str">
        <f>'Reported burning'!G2916</f>
        <v>ND</v>
      </c>
      <c r="H2910" s="152" t="str">
        <f>'Reported burning'!H2916</f>
        <v>Presence</v>
      </c>
      <c r="I2910" s="205"/>
      <c r="J2910" s="21"/>
      <c r="K2910" s="103"/>
      <c r="L2910" s="205"/>
      <c r="M2910" s="21"/>
      <c r="N2910" s="21"/>
      <c r="O2910" s="21"/>
      <c r="P2910" s="103" t="s">
        <v>2377</v>
      </c>
      <c r="Q2910" s="21"/>
      <c r="R2910" s="21"/>
      <c r="S2910" s="21"/>
      <c r="T2910" s="21"/>
      <c r="U2910" s="21"/>
      <c r="V2910" s="21"/>
      <c r="W2910" s="21"/>
      <c r="X2910" s="205"/>
      <c r="Y2910" s="205"/>
      <c r="Z2910" s="205"/>
      <c r="AA2910" s="205"/>
      <c r="AB2910" s="205"/>
    </row>
    <row r="2911" spans="1:28" ht="31" customHeight="1">
      <c r="A2911" s="152" t="str">
        <f>'Reported burning'!A2917</f>
        <v>306ac</v>
      </c>
      <c r="B2911" s="152" t="str">
        <f>'Reported burning'!B2917</f>
        <v>306ac.1</v>
      </c>
      <c r="C2911" s="152" t="str">
        <f>'Reported burning'!C2917</f>
        <v>Human, deliberate</v>
      </c>
      <c r="D2911" s="152" t="str">
        <f>'Reported burning'!D2917</f>
        <v>Pyrome management</v>
      </c>
      <c r="E2911" s="152" t="str">
        <f>'Reported burning'!E2917</f>
        <v>Fire suppression agent</v>
      </c>
      <c r="F2911" s="152" t="str">
        <f>'Reported burning'!F2917</f>
        <v>ND</v>
      </c>
      <c r="G2911" s="152" t="str">
        <f>'Reported burning'!G2917</f>
        <v>ND</v>
      </c>
      <c r="H2911" s="152" t="str">
        <f>'Reported burning'!H2917</f>
        <v>Presence</v>
      </c>
      <c r="I2911" s="205"/>
      <c r="J2911" s="21"/>
      <c r="K2911" s="103"/>
      <c r="L2911" s="205"/>
      <c r="M2911" s="21"/>
      <c r="N2911" s="21"/>
      <c r="O2911" s="21"/>
      <c r="P2911" s="103" t="s">
        <v>2377</v>
      </c>
      <c r="Q2911" s="21"/>
      <c r="R2911" s="21"/>
      <c r="S2911" s="21"/>
      <c r="T2911" s="21"/>
      <c r="U2911" s="21"/>
      <c r="V2911" s="21"/>
      <c r="W2911" s="21"/>
      <c r="X2911" s="205"/>
      <c r="Y2911" s="205"/>
      <c r="Z2911" s="205"/>
      <c r="AA2911" s="205"/>
      <c r="AB2911" s="205"/>
    </row>
    <row r="2912" spans="1:28" ht="31" customHeight="1">
      <c r="A2912" s="152" t="str">
        <f>'Reported burning'!A2918</f>
        <v>306ad</v>
      </c>
      <c r="B2912" s="152" t="str">
        <f>'Reported burning'!B2918</f>
        <v>306ad.1</v>
      </c>
      <c r="C2912" s="152" t="str">
        <f>'Reported burning'!C2918</f>
        <v>Human, deliberate</v>
      </c>
      <c r="D2912" s="152" t="str">
        <f>'Reported burning'!D2918</f>
        <v>Pyrome management</v>
      </c>
      <c r="E2912" s="152" t="str">
        <f>'Reported burning'!E2918</f>
        <v>Fire suppression agent</v>
      </c>
      <c r="F2912" s="152" t="str">
        <f>'Reported burning'!F2918</f>
        <v>ND</v>
      </c>
      <c r="G2912" s="152" t="str">
        <f>'Reported burning'!G2918</f>
        <v>ND</v>
      </c>
      <c r="H2912" s="152" t="str">
        <f>'Reported burning'!H2918</f>
        <v>Presence</v>
      </c>
      <c r="I2912" s="205"/>
      <c r="J2912" s="21"/>
      <c r="K2912" s="103"/>
      <c r="L2912" s="205"/>
      <c r="M2912" s="21"/>
      <c r="N2912" s="21"/>
      <c r="O2912" s="21"/>
      <c r="P2912" s="103" t="s">
        <v>2378</v>
      </c>
      <c r="Q2912" s="21"/>
      <c r="R2912" s="21"/>
      <c r="S2912" s="21"/>
      <c r="T2912" s="21"/>
      <c r="U2912" s="21"/>
      <c r="V2912" s="21"/>
      <c r="W2912" s="21"/>
      <c r="X2912" s="205"/>
      <c r="Y2912" s="205"/>
      <c r="Z2912" s="205"/>
      <c r="AA2912" s="205"/>
      <c r="AB2912" s="205"/>
    </row>
    <row r="2913" spans="1:28" ht="31" customHeight="1">
      <c r="A2913" s="152" t="str">
        <f>'Reported burning'!A2919</f>
        <v>306ae</v>
      </c>
      <c r="B2913" s="152" t="str">
        <f>'Reported burning'!B2919</f>
        <v>306ae.1</v>
      </c>
      <c r="C2913" s="152" t="str">
        <f>'Reported burning'!C2919</f>
        <v>Human, deliberate</v>
      </c>
      <c r="D2913" s="152" t="str">
        <f>'Reported burning'!D2919</f>
        <v>Pyrome management</v>
      </c>
      <c r="E2913" s="152" t="str">
        <f>'Reported burning'!E2919</f>
        <v>Fire suppression agent</v>
      </c>
      <c r="F2913" s="152" t="str">
        <f>'Reported burning'!F2919</f>
        <v>ND</v>
      </c>
      <c r="G2913" s="152" t="str">
        <f>'Reported burning'!G2919</f>
        <v>ND</v>
      </c>
      <c r="H2913" s="152" t="str">
        <f>'Reported burning'!H2919</f>
        <v>Presence</v>
      </c>
      <c r="I2913" s="205"/>
      <c r="J2913" s="21"/>
      <c r="K2913" s="103"/>
      <c r="L2913" s="205"/>
      <c r="M2913" s="21"/>
      <c r="N2913" s="21"/>
      <c r="O2913" s="21"/>
      <c r="P2913" s="103" t="s">
        <v>2378</v>
      </c>
      <c r="Q2913" s="21"/>
      <c r="R2913" s="21"/>
      <c r="S2913" s="21"/>
      <c r="T2913" s="21"/>
      <c r="U2913" s="21"/>
      <c r="V2913" s="21"/>
      <c r="W2913" s="21"/>
      <c r="X2913" s="205"/>
      <c r="Y2913" s="205"/>
      <c r="Z2913" s="205"/>
      <c r="AA2913" s="205"/>
      <c r="AB2913" s="205"/>
    </row>
    <row r="2914" spans="1:28" ht="31" customHeight="1">
      <c r="A2914" s="152" t="str">
        <f>'Reported burning'!A2920</f>
        <v>306af</v>
      </c>
      <c r="B2914" s="152" t="str">
        <f>'Reported burning'!B2920</f>
        <v>306af.1</v>
      </c>
      <c r="C2914" s="152" t="str">
        <f>'Reported burning'!C2920</f>
        <v>Human, deliberate</v>
      </c>
      <c r="D2914" s="152" t="str">
        <f>'Reported burning'!D2920</f>
        <v>Pyrome management</v>
      </c>
      <c r="E2914" s="152" t="str">
        <f>'Reported burning'!E2920</f>
        <v>Fire suppression agent</v>
      </c>
      <c r="F2914" s="152" t="str">
        <f>'Reported burning'!F2920</f>
        <v>ND</v>
      </c>
      <c r="G2914" s="152" t="str">
        <f>'Reported burning'!G2920</f>
        <v>ND</v>
      </c>
      <c r="H2914" s="152" t="str">
        <f>'Reported burning'!H2920</f>
        <v>Presence</v>
      </c>
      <c r="I2914" s="205"/>
      <c r="J2914" s="21"/>
      <c r="K2914" s="103"/>
      <c r="L2914" s="205"/>
      <c r="M2914" s="21"/>
      <c r="N2914" s="21"/>
      <c r="O2914" s="21"/>
      <c r="P2914" s="103" t="s">
        <v>2380</v>
      </c>
      <c r="Q2914" s="21"/>
      <c r="R2914" s="21"/>
      <c r="S2914" s="21"/>
      <c r="T2914" s="21"/>
      <c r="U2914" s="21"/>
      <c r="V2914" s="21"/>
      <c r="W2914" s="21"/>
      <c r="X2914" s="205"/>
      <c r="Y2914" s="205"/>
      <c r="Z2914" s="205"/>
      <c r="AA2914" s="205"/>
      <c r="AB2914" s="205"/>
    </row>
    <row r="2915" spans="1:28" ht="31" customHeight="1">
      <c r="A2915" s="152" t="str">
        <f>'Reported burning'!A2921</f>
        <v>306ag</v>
      </c>
      <c r="B2915" s="152" t="str">
        <f>'Reported burning'!B2921</f>
        <v>306ag.1</v>
      </c>
      <c r="C2915" s="152" t="str">
        <f>'Reported burning'!C2921</f>
        <v>Human, deliberate</v>
      </c>
      <c r="D2915" s="152" t="str">
        <f>'Reported burning'!D2921</f>
        <v>Pyrome management</v>
      </c>
      <c r="E2915" s="152" t="str">
        <f>'Reported burning'!E2921</f>
        <v>Fire suppression agent</v>
      </c>
      <c r="F2915" s="152" t="str">
        <f>'Reported burning'!F2921</f>
        <v>ND</v>
      </c>
      <c r="G2915" s="152" t="str">
        <f>'Reported burning'!G2921</f>
        <v>ND</v>
      </c>
      <c r="H2915" s="152" t="str">
        <f>'Reported burning'!H2921</f>
        <v>Presence</v>
      </c>
      <c r="I2915" s="205"/>
      <c r="J2915" s="21"/>
      <c r="K2915" s="103"/>
      <c r="L2915" s="205"/>
      <c r="M2915" s="21"/>
      <c r="N2915" s="21"/>
      <c r="O2915" s="21"/>
      <c r="P2915" s="103" t="s">
        <v>2362</v>
      </c>
      <c r="Q2915" s="21"/>
      <c r="R2915" s="21"/>
      <c r="S2915" s="21"/>
      <c r="T2915" s="21"/>
      <c r="U2915" s="21"/>
      <c r="V2915" s="21"/>
      <c r="W2915" s="21"/>
      <c r="X2915" s="205"/>
      <c r="Y2915" s="205"/>
      <c r="Z2915" s="205"/>
      <c r="AA2915" s="205"/>
      <c r="AB2915" s="205"/>
    </row>
    <row r="2916" spans="1:28" ht="31" customHeight="1">
      <c r="A2916" s="152" t="str">
        <f>'Reported burning'!A2922</f>
        <v>306ah</v>
      </c>
      <c r="B2916" s="152" t="str">
        <f>'Reported burning'!B2922</f>
        <v>306ah.1</v>
      </c>
      <c r="C2916" s="152" t="str">
        <f>'Reported burning'!C2922</f>
        <v>Human, deliberate</v>
      </c>
      <c r="D2916" s="152" t="str">
        <f>'Reported burning'!D2922</f>
        <v>Pyrome management</v>
      </c>
      <c r="E2916" s="152" t="str">
        <f>'Reported burning'!E2922</f>
        <v>Fire suppression agent</v>
      </c>
      <c r="F2916" s="152" t="str">
        <f>'Reported burning'!F2922</f>
        <v>ND</v>
      </c>
      <c r="G2916" s="152" t="str">
        <f>'Reported burning'!G2922</f>
        <v>ND</v>
      </c>
      <c r="H2916" s="152" t="str">
        <f>'Reported burning'!H2922</f>
        <v>Presence</v>
      </c>
      <c r="I2916" s="205"/>
      <c r="J2916" s="21"/>
      <c r="K2916" s="103"/>
      <c r="L2916" s="205"/>
      <c r="M2916" s="21"/>
      <c r="N2916" s="21"/>
      <c r="O2916" s="21"/>
      <c r="P2916" s="103" t="s">
        <v>2380</v>
      </c>
      <c r="Q2916" s="21"/>
      <c r="R2916" s="21"/>
      <c r="S2916" s="21"/>
      <c r="T2916" s="21"/>
      <c r="U2916" s="21"/>
      <c r="V2916" s="21"/>
      <c r="W2916" s="21"/>
      <c r="X2916" s="205"/>
      <c r="Y2916" s="205"/>
      <c r="Z2916" s="205"/>
      <c r="AA2916" s="205"/>
      <c r="AB2916" s="205"/>
    </row>
    <row r="2917" spans="1:28" ht="31" customHeight="1">
      <c r="A2917" s="152" t="str">
        <f>'Reported burning'!A2923</f>
        <v>306ai</v>
      </c>
      <c r="B2917" s="152" t="str">
        <f>'Reported burning'!B2923</f>
        <v>306ai.1</v>
      </c>
      <c r="C2917" s="152" t="str">
        <f>'Reported burning'!C2923</f>
        <v>Human, deliberate</v>
      </c>
      <c r="D2917" s="152" t="str">
        <f>'Reported burning'!D2923</f>
        <v>Pyrome management</v>
      </c>
      <c r="E2917" s="152" t="str">
        <f>'Reported burning'!E2923</f>
        <v>Fire suppression agent</v>
      </c>
      <c r="F2917" s="152" t="str">
        <f>'Reported burning'!F2923</f>
        <v>ND</v>
      </c>
      <c r="G2917" s="152" t="str">
        <f>'Reported burning'!G2923</f>
        <v>ND</v>
      </c>
      <c r="H2917" s="152" t="str">
        <f>'Reported burning'!H2923</f>
        <v>Absence</v>
      </c>
      <c r="I2917" s="205"/>
      <c r="J2917" s="21"/>
      <c r="K2917" s="103"/>
      <c r="L2917" s="205"/>
      <c r="M2917" s="21"/>
      <c r="N2917" s="21"/>
      <c r="O2917" s="21"/>
      <c r="P2917" s="103">
        <v>0</v>
      </c>
      <c r="Q2917" s="21"/>
      <c r="R2917" s="21"/>
      <c r="S2917" s="21"/>
      <c r="T2917" s="21"/>
      <c r="U2917" s="21"/>
      <c r="V2917" s="21"/>
      <c r="W2917" s="21"/>
      <c r="X2917" s="205"/>
      <c r="Y2917" s="205"/>
      <c r="Z2917" s="205"/>
      <c r="AA2917" s="205"/>
      <c r="AB2917" s="205"/>
    </row>
    <row r="2918" spans="1:28" ht="31" customHeight="1">
      <c r="A2918" s="152" t="str">
        <f>'Reported burning'!A2924</f>
        <v>306aj</v>
      </c>
      <c r="B2918" s="152" t="str">
        <f>'Reported burning'!B2924</f>
        <v>306aj.1</v>
      </c>
      <c r="C2918" s="152" t="str">
        <f>'Reported burning'!C2924</f>
        <v>Human, deliberate</v>
      </c>
      <c r="D2918" s="152" t="str">
        <f>'Reported burning'!D2924</f>
        <v>Pyrome management</v>
      </c>
      <c r="E2918" s="152" t="str">
        <f>'Reported burning'!E2924</f>
        <v>Fire suppression agent</v>
      </c>
      <c r="F2918" s="152" t="str">
        <f>'Reported burning'!F2924</f>
        <v>ND</v>
      </c>
      <c r="G2918" s="152" t="str">
        <f>'Reported burning'!G2924</f>
        <v>ND</v>
      </c>
      <c r="H2918" s="152" t="str">
        <f>'Reported burning'!H2924</f>
        <v>Presence</v>
      </c>
      <c r="I2918" s="205"/>
      <c r="J2918" s="21"/>
      <c r="K2918" s="103"/>
      <c r="L2918" s="205"/>
      <c r="M2918" s="21"/>
      <c r="N2918" s="21"/>
      <c r="O2918" s="21"/>
      <c r="P2918" s="103" t="s">
        <v>2380</v>
      </c>
      <c r="Q2918" s="21"/>
      <c r="R2918" s="21"/>
      <c r="S2918" s="21"/>
      <c r="T2918" s="21"/>
      <c r="U2918" s="21"/>
      <c r="V2918" s="21"/>
      <c r="W2918" s="21"/>
      <c r="X2918" s="205"/>
      <c r="Y2918" s="205"/>
      <c r="Z2918" s="205"/>
      <c r="AA2918" s="205"/>
      <c r="AB2918" s="205"/>
    </row>
    <row r="2919" spans="1:28" ht="31" customHeight="1">
      <c r="A2919" s="152" t="str">
        <f>'Reported burning'!A2925</f>
        <v>306ak</v>
      </c>
      <c r="B2919" s="152" t="str">
        <f>'Reported burning'!B2925</f>
        <v>306ak.1</v>
      </c>
      <c r="C2919" s="152" t="str">
        <f>'Reported burning'!C2925</f>
        <v>Human, deliberate</v>
      </c>
      <c r="D2919" s="152" t="str">
        <f>'Reported burning'!D2925</f>
        <v>Pyrome management</v>
      </c>
      <c r="E2919" s="152" t="str">
        <f>'Reported burning'!E2925</f>
        <v>Fire suppression agent</v>
      </c>
      <c r="F2919" s="152" t="str">
        <f>'Reported burning'!F2925</f>
        <v>ND</v>
      </c>
      <c r="G2919" s="152" t="str">
        <f>'Reported burning'!G2925</f>
        <v>ND</v>
      </c>
      <c r="H2919" s="152" t="str">
        <f>'Reported burning'!H2925</f>
        <v>Presence</v>
      </c>
      <c r="I2919" s="205"/>
      <c r="J2919" s="21"/>
      <c r="K2919" s="103"/>
      <c r="L2919" s="205"/>
      <c r="M2919" s="21"/>
      <c r="N2919" s="21"/>
      <c r="O2919" s="21"/>
      <c r="P2919" s="103" t="s">
        <v>2378</v>
      </c>
      <c r="Q2919" s="21"/>
      <c r="R2919" s="21"/>
      <c r="S2919" s="21"/>
      <c r="T2919" s="21"/>
      <c r="U2919" s="21"/>
      <c r="V2919" s="21"/>
      <c r="W2919" s="21"/>
      <c r="X2919" s="205"/>
      <c r="Y2919" s="205"/>
      <c r="Z2919" s="205"/>
      <c r="AA2919" s="205"/>
      <c r="AB2919" s="205"/>
    </row>
    <row r="2920" spans="1:28" ht="31" customHeight="1">
      <c r="A2920" s="152" t="str">
        <f>'Reported burning'!A2926</f>
        <v>306al</v>
      </c>
      <c r="B2920" s="152" t="str">
        <f>'Reported burning'!B2926</f>
        <v>306al.1</v>
      </c>
      <c r="C2920" s="152" t="str">
        <f>'Reported burning'!C2926</f>
        <v>Human, deliberate</v>
      </c>
      <c r="D2920" s="152" t="str">
        <f>'Reported burning'!D2926</f>
        <v>Pyrome management</v>
      </c>
      <c r="E2920" s="152" t="str">
        <f>'Reported burning'!E2926</f>
        <v>Fire suppression agent</v>
      </c>
      <c r="F2920" s="152" t="str">
        <f>'Reported burning'!F2926</f>
        <v>ND</v>
      </c>
      <c r="G2920" s="152" t="str">
        <f>'Reported burning'!G2926</f>
        <v>ND</v>
      </c>
      <c r="H2920" s="152" t="str">
        <f>'Reported burning'!H2926</f>
        <v>Presence</v>
      </c>
      <c r="I2920" s="205"/>
      <c r="J2920" s="21"/>
      <c r="K2920" s="103"/>
      <c r="L2920" s="205"/>
      <c r="M2920" s="21"/>
      <c r="N2920" s="21"/>
      <c r="O2920" s="21"/>
      <c r="P2920" s="103" t="s">
        <v>2380</v>
      </c>
      <c r="Q2920" s="21"/>
      <c r="R2920" s="21"/>
      <c r="S2920" s="21"/>
      <c r="T2920" s="21"/>
      <c r="U2920" s="21"/>
      <c r="V2920" s="21"/>
      <c r="W2920" s="21"/>
      <c r="X2920" s="205"/>
      <c r="Y2920" s="205"/>
      <c r="Z2920" s="205"/>
      <c r="AA2920" s="205"/>
      <c r="AB2920" s="205"/>
    </row>
    <row r="2921" spans="1:28" ht="31" customHeight="1">
      <c r="A2921" s="152" t="str">
        <f>'Reported burning'!A2927</f>
        <v>306am</v>
      </c>
      <c r="B2921" s="152" t="str">
        <f>'Reported burning'!B2927</f>
        <v>306am.1</v>
      </c>
      <c r="C2921" s="152" t="str">
        <f>'Reported burning'!C2927</f>
        <v>Human, deliberate</v>
      </c>
      <c r="D2921" s="152" t="str">
        <f>'Reported burning'!D2927</f>
        <v>Pyrome management</v>
      </c>
      <c r="E2921" s="152" t="str">
        <f>'Reported burning'!E2927</f>
        <v>Fire suppression agent</v>
      </c>
      <c r="F2921" s="152" t="str">
        <f>'Reported burning'!F2927</f>
        <v>ND</v>
      </c>
      <c r="G2921" s="152" t="str">
        <f>'Reported burning'!G2927</f>
        <v>ND</v>
      </c>
      <c r="H2921" s="152" t="str">
        <f>'Reported burning'!H2927</f>
        <v>Presence</v>
      </c>
      <c r="I2921" s="205"/>
      <c r="J2921" s="21"/>
      <c r="K2921" s="103"/>
      <c r="L2921" s="205"/>
      <c r="M2921" s="21"/>
      <c r="N2921" s="21"/>
      <c r="O2921" s="21"/>
      <c r="P2921" s="103" t="s">
        <v>2377</v>
      </c>
      <c r="Q2921" s="21"/>
      <c r="R2921" s="21"/>
      <c r="S2921" s="21"/>
      <c r="T2921" s="21"/>
      <c r="U2921" s="21"/>
      <c r="V2921" s="21"/>
      <c r="W2921" s="21"/>
      <c r="X2921" s="205"/>
      <c r="Y2921" s="205"/>
      <c r="Z2921" s="205"/>
      <c r="AA2921" s="205"/>
      <c r="AB2921" s="205"/>
    </row>
    <row r="2922" spans="1:28" ht="31" customHeight="1">
      <c r="A2922" s="152" t="str">
        <f>'Reported burning'!A2928</f>
        <v>306an</v>
      </c>
      <c r="B2922" s="152" t="str">
        <f>'Reported burning'!B2928</f>
        <v>306an.1</v>
      </c>
      <c r="C2922" s="152" t="str">
        <f>'Reported burning'!C2928</f>
        <v>Human, deliberate</v>
      </c>
      <c r="D2922" s="152" t="str">
        <f>'Reported burning'!D2928</f>
        <v>Pyrome management</v>
      </c>
      <c r="E2922" s="152" t="str">
        <f>'Reported burning'!E2928</f>
        <v>Fire suppression agent</v>
      </c>
      <c r="F2922" s="152" t="str">
        <f>'Reported burning'!F2928</f>
        <v>ND</v>
      </c>
      <c r="G2922" s="152" t="str">
        <f>'Reported burning'!G2928</f>
        <v>ND</v>
      </c>
      <c r="H2922" s="152" t="str">
        <f>'Reported burning'!H2928</f>
        <v>Presence</v>
      </c>
      <c r="I2922" s="205"/>
      <c r="J2922" s="21"/>
      <c r="K2922" s="103"/>
      <c r="L2922" s="205"/>
      <c r="M2922" s="21"/>
      <c r="N2922" s="21"/>
      <c r="O2922" s="21"/>
      <c r="P2922" s="103" t="s">
        <v>2377</v>
      </c>
      <c r="Q2922" s="21"/>
      <c r="R2922" s="21"/>
      <c r="S2922" s="21"/>
      <c r="T2922" s="21"/>
      <c r="U2922" s="21"/>
      <c r="V2922" s="21"/>
      <c r="W2922" s="21"/>
      <c r="X2922" s="205"/>
      <c r="Y2922" s="205"/>
      <c r="Z2922" s="205"/>
      <c r="AA2922" s="205"/>
      <c r="AB2922" s="205"/>
    </row>
    <row r="2923" spans="1:28" ht="31" customHeight="1">
      <c r="A2923" s="152" t="str">
        <f>'Reported burning'!A2929</f>
        <v>306ao</v>
      </c>
      <c r="B2923" s="152" t="str">
        <f>'Reported burning'!B2929</f>
        <v>306ao.1</v>
      </c>
      <c r="C2923" s="152" t="str">
        <f>'Reported burning'!C2929</f>
        <v>Human, deliberate</v>
      </c>
      <c r="D2923" s="152" t="str">
        <f>'Reported burning'!D2929</f>
        <v>Pyrome management</v>
      </c>
      <c r="E2923" s="152" t="str">
        <f>'Reported burning'!E2929</f>
        <v>Fire suppression agent</v>
      </c>
      <c r="F2923" s="152" t="str">
        <f>'Reported burning'!F2929</f>
        <v>ND</v>
      </c>
      <c r="G2923" s="152" t="str">
        <f>'Reported burning'!G2929</f>
        <v>ND</v>
      </c>
      <c r="H2923" s="152" t="str">
        <f>'Reported burning'!H2929</f>
        <v>Presence</v>
      </c>
      <c r="I2923" s="205"/>
      <c r="J2923" s="21"/>
      <c r="K2923" s="103"/>
      <c r="L2923" s="205"/>
      <c r="M2923" s="21"/>
      <c r="N2923" s="21"/>
      <c r="O2923" s="21"/>
      <c r="P2923" s="103" t="s">
        <v>2377</v>
      </c>
      <c r="Q2923" s="21"/>
      <c r="R2923" s="21"/>
      <c r="S2923" s="21"/>
      <c r="T2923" s="21"/>
      <c r="U2923" s="21"/>
      <c r="V2923" s="21"/>
      <c r="W2923" s="21"/>
      <c r="X2923" s="205"/>
      <c r="Y2923" s="205"/>
      <c r="Z2923" s="205"/>
      <c r="AA2923" s="205"/>
      <c r="AB2923" s="205"/>
    </row>
    <row r="2924" spans="1:28" ht="31" customHeight="1">
      <c r="A2924" s="152" t="str">
        <f>'Reported burning'!A2930</f>
        <v>306ap</v>
      </c>
      <c r="B2924" s="152" t="str">
        <f>'Reported burning'!B2930</f>
        <v>306ap.1</v>
      </c>
      <c r="C2924" s="152" t="str">
        <f>'Reported burning'!C2930</f>
        <v>Human, deliberate</v>
      </c>
      <c r="D2924" s="152" t="str">
        <f>'Reported burning'!D2930</f>
        <v>Pyrome management</v>
      </c>
      <c r="E2924" s="152" t="str">
        <f>'Reported burning'!E2930</f>
        <v>Fire suppression agent</v>
      </c>
      <c r="F2924" s="152" t="str">
        <f>'Reported burning'!F2930</f>
        <v>ND</v>
      </c>
      <c r="G2924" s="152" t="str">
        <f>'Reported burning'!G2930</f>
        <v>ND</v>
      </c>
      <c r="H2924" s="152" t="str">
        <f>'Reported burning'!H2930</f>
        <v>Presence</v>
      </c>
      <c r="I2924" s="205"/>
      <c r="J2924" s="21"/>
      <c r="K2924" s="103"/>
      <c r="L2924" s="205"/>
      <c r="M2924" s="21"/>
      <c r="N2924" s="21"/>
      <c r="O2924" s="21"/>
      <c r="P2924" s="103" t="s">
        <v>2377</v>
      </c>
      <c r="Q2924" s="21"/>
      <c r="R2924" s="21"/>
      <c r="S2924" s="21"/>
      <c r="T2924" s="21"/>
      <c r="U2924" s="21"/>
      <c r="V2924" s="21"/>
      <c r="W2924" s="21"/>
      <c r="X2924" s="205"/>
      <c r="Y2924" s="205"/>
      <c r="Z2924" s="205"/>
      <c r="AA2924" s="205"/>
      <c r="AB2924" s="205"/>
    </row>
    <row r="2925" spans="1:28" ht="31" customHeight="1">
      <c r="A2925" s="152" t="str">
        <f>'Reported burning'!A2931</f>
        <v>306aq</v>
      </c>
      <c r="B2925" s="152" t="str">
        <f>'Reported burning'!B2931</f>
        <v>306aq.1</v>
      </c>
      <c r="C2925" s="152" t="str">
        <f>'Reported burning'!C2931</f>
        <v>Human, deliberate</v>
      </c>
      <c r="D2925" s="152" t="str">
        <f>'Reported burning'!D2931</f>
        <v>Pyrome management</v>
      </c>
      <c r="E2925" s="152" t="str">
        <f>'Reported burning'!E2931</f>
        <v>Fire suppression agent</v>
      </c>
      <c r="F2925" s="152" t="str">
        <f>'Reported burning'!F2931</f>
        <v>ND</v>
      </c>
      <c r="G2925" s="152" t="str">
        <f>'Reported burning'!G2931</f>
        <v>ND</v>
      </c>
      <c r="H2925" s="152" t="str">
        <f>'Reported burning'!H2931</f>
        <v>Presence</v>
      </c>
      <c r="I2925" s="205"/>
      <c r="J2925" s="21"/>
      <c r="K2925" s="103"/>
      <c r="L2925" s="205"/>
      <c r="M2925" s="21"/>
      <c r="N2925" s="21"/>
      <c r="O2925" s="21"/>
      <c r="P2925" s="103" t="s">
        <v>2377</v>
      </c>
      <c r="Q2925" s="21"/>
      <c r="R2925" s="21"/>
      <c r="S2925" s="21"/>
      <c r="T2925" s="21"/>
      <c r="U2925" s="21"/>
      <c r="V2925" s="21"/>
      <c r="W2925" s="21"/>
      <c r="X2925" s="205"/>
      <c r="Y2925" s="205"/>
      <c r="Z2925" s="205"/>
      <c r="AA2925" s="205"/>
      <c r="AB2925" s="205"/>
    </row>
    <row r="2926" spans="1:28" ht="31" customHeight="1">
      <c r="A2926" s="152" t="str">
        <f>'Reported burning'!A2932</f>
        <v>306ar</v>
      </c>
      <c r="B2926" s="152" t="str">
        <f>'Reported burning'!B2932</f>
        <v>306ar.1</v>
      </c>
      <c r="C2926" s="152" t="str">
        <f>'Reported burning'!C2932</f>
        <v>Human, deliberate</v>
      </c>
      <c r="D2926" s="152" t="str">
        <f>'Reported burning'!D2932</f>
        <v>Pyrome management</v>
      </c>
      <c r="E2926" s="152" t="str">
        <f>'Reported burning'!E2932</f>
        <v>Fire suppression agent</v>
      </c>
      <c r="F2926" s="152" t="str">
        <f>'Reported burning'!F2932</f>
        <v>ND</v>
      </c>
      <c r="G2926" s="152" t="str">
        <f>'Reported burning'!G2932</f>
        <v>ND</v>
      </c>
      <c r="H2926" s="152" t="str">
        <f>'Reported burning'!H2932</f>
        <v>Presence</v>
      </c>
      <c r="I2926" s="205"/>
      <c r="J2926" s="21"/>
      <c r="K2926" s="103"/>
      <c r="L2926" s="205"/>
      <c r="M2926" s="21"/>
      <c r="N2926" s="21"/>
      <c r="O2926" s="21"/>
      <c r="P2926" s="103" t="s">
        <v>2377</v>
      </c>
      <c r="Q2926" s="21"/>
      <c r="R2926" s="21"/>
      <c r="S2926" s="21"/>
      <c r="T2926" s="21"/>
      <c r="U2926" s="21"/>
      <c r="V2926" s="21"/>
      <c r="W2926" s="21"/>
      <c r="X2926" s="205"/>
      <c r="Y2926" s="205"/>
      <c r="Z2926" s="205"/>
      <c r="AA2926" s="205"/>
      <c r="AB2926" s="205"/>
    </row>
    <row r="2927" spans="1:28" ht="31" customHeight="1">
      <c r="A2927" s="152" t="str">
        <f>'Reported burning'!A2933</f>
        <v>306as</v>
      </c>
      <c r="B2927" s="152" t="str">
        <f>'Reported burning'!B2933</f>
        <v>306as.1</v>
      </c>
      <c r="C2927" s="152" t="str">
        <f>'Reported burning'!C2933</f>
        <v>Human, deliberate</v>
      </c>
      <c r="D2927" s="152" t="str">
        <f>'Reported burning'!D2933</f>
        <v>Pyrome management</v>
      </c>
      <c r="E2927" s="152" t="str">
        <f>'Reported burning'!E2933</f>
        <v>Fire suppression agent</v>
      </c>
      <c r="F2927" s="152" t="str">
        <f>'Reported burning'!F2933</f>
        <v>ND</v>
      </c>
      <c r="G2927" s="152" t="str">
        <f>'Reported burning'!G2933</f>
        <v>ND</v>
      </c>
      <c r="H2927" s="152" t="str">
        <f>'Reported burning'!H2933</f>
        <v>Presence</v>
      </c>
      <c r="I2927" s="205"/>
      <c r="J2927" s="21"/>
      <c r="K2927" s="103"/>
      <c r="L2927" s="205"/>
      <c r="M2927" s="21"/>
      <c r="N2927" s="21"/>
      <c r="O2927" s="21"/>
      <c r="P2927" s="103" t="s">
        <v>2376</v>
      </c>
      <c r="Q2927" s="21"/>
      <c r="R2927" s="21"/>
      <c r="S2927" s="21"/>
      <c r="T2927" s="21"/>
      <c r="U2927" s="21"/>
      <c r="V2927" s="21"/>
      <c r="W2927" s="21"/>
      <c r="X2927" s="205"/>
      <c r="Y2927" s="205"/>
      <c r="Z2927" s="205"/>
      <c r="AA2927" s="205"/>
      <c r="AB2927" s="205"/>
    </row>
    <row r="2928" spans="1:28" ht="31" customHeight="1">
      <c r="A2928" s="152" t="str">
        <f>'Reported burning'!A2934</f>
        <v>306at</v>
      </c>
      <c r="B2928" s="152" t="str">
        <f>'Reported burning'!B2934</f>
        <v>306at.1</v>
      </c>
      <c r="C2928" s="152" t="str">
        <f>'Reported burning'!C2934</f>
        <v>Human, deliberate</v>
      </c>
      <c r="D2928" s="152" t="str">
        <f>'Reported burning'!D2934</f>
        <v>Pyrome management</v>
      </c>
      <c r="E2928" s="152" t="str">
        <f>'Reported burning'!E2934</f>
        <v>Fire suppression agent</v>
      </c>
      <c r="F2928" s="152" t="str">
        <f>'Reported burning'!F2934</f>
        <v>ND</v>
      </c>
      <c r="G2928" s="152" t="str">
        <f>'Reported burning'!G2934</f>
        <v>ND</v>
      </c>
      <c r="H2928" s="152" t="str">
        <f>'Reported burning'!H2934</f>
        <v>Presence</v>
      </c>
      <c r="I2928" s="205"/>
      <c r="J2928" s="21"/>
      <c r="K2928" s="103"/>
      <c r="L2928" s="205"/>
      <c r="M2928" s="21"/>
      <c r="N2928" s="21"/>
      <c r="O2928" s="21"/>
      <c r="P2928" s="103" t="s">
        <v>2380</v>
      </c>
      <c r="Q2928" s="21"/>
      <c r="R2928" s="21"/>
      <c r="S2928" s="21"/>
      <c r="T2928" s="21"/>
      <c r="U2928" s="21"/>
      <c r="V2928" s="21"/>
      <c r="W2928" s="21"/>
      <c r="X2928" s="205"/>
      <c r="Y2928" s="205"/>
      <c r="Z2928" s="205"/>
      <c r="AA2928" s="205"/>
      <c r="AB2928" s="205"/>
    </row>
    <row r="2929" spans="1:28" ht="31" customHeight="1">
      <c r="A2929" s="152" t="str">
        <f>'Reported burning'!A2935</f>
        <v>306au</v>
      </c>
      <c r="B2929" s="152" t="str">
        <f>'Reported burning'!B2935</f>
        <v>306au.1</v>
      </c>
      <c r="C2929" s="152" t="str">
        <f>'Reported burning'!C2935</f>
        <v>Human, deliberate</v>
      </c>
      <c r="D2929" s="152" t="str">
        <f>'Reported burning'!D2935</f>
        <v>Pyrome management</v>
      </c>
      <c r="E2929" s="152" t="str">
        <f>'Reported burning'!E2935</f>
        <v>Fire suppression agent</v>
      </c>
      <c r="F2929" s="152" t="str">
        <f>'Reported burning'!F2935</f>
        <v>ND</v>
      </c>
      <c r="G2929" s="152" t="str">
        <f>'Reported burning'!G2935</f>
        <v>ND</v>
      </c>
      <c r="H2929" s="152" t="str">
        <f>'Reported burning'!H2935</f>
        <v>Presence</v>
      </c>
      <c r="I2929" s="205"/>
      <c r="J2929" s="21"/>
      <c r="K2929" s="103"/>
      <c r="L2929" s="205"/>
      <c r="M2929" s="21"/>
      <c r="N2929" s="21"/>
      <c r="O2929" s="21"/>
      <c r="P2929" s="103" t="s">
        <v>2380</v>
      </c>
      <c r="Q2929" s="21"/>
      <c r="R2929" s="21"/>
      <c r="S2929" s="21"/>
      <c r="T2929" s="21"/>
      <c r="U2929" s="21"/>
      <c r="V2929" s="21"/>
      <c r="W2929" s="21"/>
      <c r="X2929" s="205"/>
      <c r="Y2929" s="205"/>
      <c r="Z2929" s="205"/>
      <c r="AA2929" s="205"/>
      <c r="AB2929" s="205"/>
    </row>
    <row r="2930" spans="1:28" ht="31" customHeight="1">
      <c r="A2930" s="152" t="str">
        <f>'Reported burning'!A2936</f>
        <v>306av</v>
      </c>
      <c r="B2930" s="152" t="str">
        <f>'Reported burning'!B2936</f>
        <v>306av.1</v>
      </c>
      <c r="C2930" s="152" t="str">
        <f>'Reported burning'!C2936</f>
        <v>Human, deliberate</v>
      </c>
      <c r="D2930" s="152" t="str">
        <f>'Reported burning'!D2936</f>
        <v>Pyrome management</v>
      </c>
      <c r="E2930" s="152" t="str">
        <f>'Reported burning'!E2936</f>
        <v>Fire suppression agent</v>
      </c>
      <c r="F2930" s="152" t="str">
        <f>'Reported burning'!F2936</f>
        <v>ND</v>
      </c>
      <c r="G2930" s="152" t="str">
        <f>'Reported burning'!G2936</f>
        <v>ND</v>
      </c>
      <c r="H2930" s="152" t="str">
        <f>'Reported burning'!H2936</f>
        <v>Presence</v>
      </c>
      <c r="I2930" s="205"/>
      <c r="J2930" s="21"/>
      <c r="K2930" s="103"/>
      <c r="L2930" s="205"/>
      <c r="M2930" s="21"/>
      <c r="N2930" s="21"/>
      <c r="O2930" s="21"/>
      <c r="P2930" s="103" t="s">
        <v>2380</v>
      </c>
      <c r="Q2930" s="21"/>
      <c r="R2930" s="21"/>
      <c r="S2930" s="21"/>
      <c r="T2930" s="21"/>
      <c r="U2930" s="21"/>
      <c r="V2930" s="21"/>
      <c r="W2930" s="21"/>
      <c r="X2930" s="205"/>
      <c r="Y2930" s="205"/>
      <c r="Z2930" s="205"/>
      <c r="AA2930" s="205"/>
      <c r="AB2930" s="205"/>
    </row>
    <row r="2931" spans="1:28" ht="31" customHeight="1">
      <c r="A2931" s="152" t="str">
        <f>'Reported burning'!A2937</f>
        <v>306aw</v>
      </c>
      <c r="B2931" s="152" t="str">
        <f>'Reported burning'!B2937</f>
        <v>306aw.1</v>
      </c>
      <c r="C2931" s="152" t="str">
        <f>'Reported burning'!C2937</f>
        <v>Human, deliberate</v>
      </c>
      <c r="D2931" s="152" t="str">
        <f>'Reported burning'!D2937</f>
        <v>Pyrome management</v>
      </c>
      <c r="E2931" s="152" t="str">
        <f>'Reported burning'!E2937</f>
        <v>Fire suppression agent</v>
      </c>
      <c r="F2931" s="152" t="str">
        <f>'Reported burning'!F2937</f>
        <v>ND</v>
      </c>
      <c r="G2931" s="152" t="str">
        <f>'Reported burning'!G2937</f>
        <v>ND</v>
      </c>
      <c r="H2931" s="152" t="str">
        <f>'Reported burning'!H2937</f>
        <v>Presence</v>
      </c>
      <c r="I2931" s="205"/>
      <c r="J2931" s="21"/>
      <c r="K2931" s="103"/>
      <c r="L2931" s="205"/>
      <c r="M2931" s="21"/>
      <c r="N2931" s="21"/>
      <c r="O2931" s="21"/>
      <c r="P2931" s="103" t="s">
        <v>2377</v>
      </c>
      <c r="Q2931" s="21"/>
      <c r="R2931" s="21"/>
      <c r="S2931" s="21"/>
      <c r="T2931" s="21"/>
      <c r="U2931" s="21"/>
      <c r="V2931" s="21"/>
      <c r="W2931" s="21"/>
      <c r="X2931" s="205"/>
      <c r="Y2931" s="205"/>
      <c r="Z2931" s="205"/>
      <c r="AA2931" s="205"/>
      <c r="AB2931" s="205"/>
    </row>
    <row r="2932" spans="1:28" ht="31" customHeight="1">
      <c r="A2932" s="152" t="str">
        <f>'Reported burning'!A2938</f>
        <v>306ax</v>
      </c>
      <c r="B2932" s="152" t="str">
        <f>'Reported burning'!B2938</f>
        <v>306ax.1</v>
      </c>
      <c r="C2932" s="152" t="str">
        <f>'Reported burning'!C2938</f>
        <v>Human, deliberate</v>
      </c>
      <c r="D2932" s="152" t="str">
        <f>'Reported burning'!D2938</f>
        <v>Pyrome management</v>
      </c>
      <c r="E2932" s="152" t="str">
        <f>'Reported burning'!E2938</f>
        <v>Fire suppression agent</v>
      </c>
      <c r="F2932" s="152" t="str">
        <f>'Reported burning'!F2938</f>
        <v>ND</v>
      </c>
      <c r="G2932" s="152" t="str">
        <f>'Reported burning'!G2938</f>
        <v>ND</v>
      </c>
      <c r="H2932" s="152" t="str">
        <f>'Reported burning'!H2938</f>
        <v>Presence</v>
      </c>
      <c r="I2932" s="205"/>
      <c r="J2932" s="21"/>
      <c r="K2932" s="103"/>
      <c r="L2932" s="205"/>
      <c r="M2932" s="21"/>
      <c r="N2932" s="21"/>
      <c r="O2932" s="21"/>
      <c r="P2932" s="103" t="s">
        <v>2376</v>
      </c>
      <c r="Q2932" s="21"/>
      <c r="R2932" s="21"/>
      <c r="S2932" s="21"/>
      <c r="T2932" s="21"/>
      <c r="U2932" s="21"/>
      <c r="V2932" s="21"/>
      <c r="W2932" s="21"/>
      <c r="X2932" s="205"/>
      <c r="Y2932" s="205"/>
      <c r="Z2932" s="205"/>
      <c r="AA2932" s="205"/>
      <c r="AB2932" s="205"/>
    </row>
    <row r="2933" spans="1:28" ht="31" customHeight="1">
      <c r="A2933" s="152" t="str">
        <f>'Reported burning'!A2939</f>
        <v>306ay</v>
      </c>
      <c r="B2933" s="152" t="str">
        <f>'Reported burning'!B2939</f>
        <v>306ay.1</v>
      </c>
      <c r="C2933" s="152" t="str">
        <f>'Reported burning'!C2939</f>
        <v>Human, deliberate</v>
      </c>
      <c r="D2933" s="152" t="str">
        <f>'Reported burning'!D2939</f>
        <v>Pyrome management</v>
      </c>
      <c r="E2933" s="152" t="str">
        <f>'Reported burning'!E2939</f>
        <v>Fire suppression agent</v>
      </c>
      <c r="F2933" s="152" t="str">
        <f>'Reported burning'!F2939</f>
        <v>ND</v>
      </c>
      <c r="G2933" s="152" t="str">
        <f>'Reported burning'!G2939</f>
        <v>ND</v>
      </c>
      <c r="H2933" s="152" t="str">
        <f>'Reported burning'!H2939</f>
        <v>Presence</v>
      </c>
      <c r="I2933" s="205"/>
      <c r="J2933" s="21"/>
      <c r="K2933" s="103"/>
      <c r="L2933" s="205"/>
      <c r="M2933" s="21"/>
      <c r="N2933" s="21"/>
      <c r="O2933" s="21"/>
      <c r="P2933" s="103" t="s">
        <v>2376</v>
      </c>
      <c r="Q2933" s="21"/>
      <c r="R2933" s="21"/>
      <c r="S2933" s="21"/>
      <c r="T2933" s="21"/>
      <c r="U2933" s="21"/>
      <c r="V2933" s="21"/>
      <c r="W2933" s="21"/>
      <c r="X2933" s="205"/>
      <c r="Y2933" s="205"/>
      <c r="Z2933" s="205"/>
      <c r="AA2933" s="205"/>
      <c r="AB2933" s="205"/>
    </row>
    <row r="2934" spans="1:28" ht="31" customHeight="1">
      <c r="A2934" s="152" t="str">
        <f>'Reported burning'!A2940</f>
        <v>306az</v>
      </c>
      <c r="B2934" s="152" t="str">
        <f>'Reported burning'!B2940</f>
        <v>306az.1</v>
      </c>
      <c r="C2934" s="152" t="str">
        <f>'Reported burning'!C2940</f>
        <v>Human, deliberate</v>
      </c>
      <c r="D2934" s="152" t="str">
        <f>'Reported burning'!D2940</f>
        <v>Pyrome management</v>
      </c>
      <c r="E2934" s="152" t="str">
        <f>'Reported burning'!E2940</f>
        <v>Fire suppression agent</v>
      </c>
      <c r="F2934" s="152" t="str">
        <f>'Reported burning'!F2940</f>
        <v>ND</v>
      </c>
      <c r="G2934" s="152" t="str">
        <f>'Reported burning'!G2940</f>
        <v>ND</v>
      </c>
      <c r="H2934" s="152" t="str">
        <f>'Reported burning'!H2940</f>
        <v>Absence</v>
      </c>
      <c r="I2934" s="205"/>
      <c r="J2934" s="21"/>
      <c r="K2934" s="103"/>
      <c r="L2934" s="205"/>
      <c r="M2934" s="21"/>
      <c r="N2934" s="21"/>
      <c r="O2934" s="21"/>
      <c r="P2934" s="103">
        <v>0</v>
      </c>
      <c r="Q2934" s="21"/>
      <c r="R2934" s="21"/>
      <c r="S2934" s="21"/>
      <c r="T2934" s="21"/>
      <c r="U2934" s="21"/>
      <c r="V2934" s="21"/>
      <c r="W2934" s="21"/>
      <c r="X2934" s="205"/>
      <c r="Y2934" s="205"/>
      <c r="Z2934" s="205"/>
      <c r="AA2934" s="205"/>
      <c r="AB2934" s="205"/>
    </row>
    <row r="2935" spans="1:28" ht="31" customHeight="1">
      <c r="A2935" s="152" t="str">
        <f>'Reported burning'!A2941</f>
        <v>306ba</v>
      </c>
      <c r="B2935" s="152" t="str">
        <f>'Reported burning'!B2941</f>
        <v>306ba.1</v>
      </c>
      <c r="C2935" s="152" t="str">
        <f>'Reported burning'!C2941</f>
        <v>Human, deliberate</v>
      </c>
      <c r="D2935" s="152" t="str">
        <f>'Reported burning'!D2941</f>
        <v>Pyrome management</v>
      </c>
      <c r="E2935" s="152" t="str">
        <f>'Reported burning'!E2941</f>
        <v>Fire suppression agent</v>
      </c>
      <c r="F2935" s="152" t="str">
        <f>'Reported burning'!F2941</f>
        <v>ND</v>
      </c>
      <c r="G2935" s="152" t="str">
        <f>'Reported burning'!G2941</f>
        <v>ND</v>
      </c>
      <c r="H2935" s="152" t="str">
        <f>'Reported burning'!H2941</f>
        <v>Presence</v>
      </c>
      <c r="I2935" s="205"/>
      <c r="J2935" s="21"/>
      <c r="K2935" s="103"/>
      <c r="L2935" s="205"/>
      <c r="M2935" s="21"/>
      <c r="N2935" s="21"/>
      <c r="O2935" s="21"/>
      <c r="P2935" s="103" t="s">
        <v>2379</v>
      </c>
      <c r="Q2935" s="21"/>
      <c r="R2935" s="21"/>
      <c r="S2935" s="21"/>
      <c r="T2935" s="21"/>
      <c r="U2935" s="21"/>
      <c r="V2935" s="21"/>
      <c r="W2935" s="21"/>
      <c r="X2935" s="205"/>
      <c r="Y2935" s="205"/>
      <c r="Z2935" s="205"/>
      <c r="AA2935" s="205"/>
      <c r="AB2935" s="205"/>
    </row>
    <row r="2936" spans="1:28" ht="31" customHeight="1">
      <c r="A2936" s="152" t="str">
        <f>'Reported burning'!A2942</f>
        <v>306bb</v>
      </c>
      <c r="B2936" s="152" t="str">
        <f>'Reported burning'!B2942</f>
        <v>306bb.1</v>
      </c>
      <c r="C2936" s="152" t="str">
        <f>'Reported burning'!C2942</f>
        <v>Human, deliberate</v>
      </c>
      <c r="D2936" s="152" t="str">
        <f>'Reported burning'!D2942</f>
        <v>Pyrome management</v>
      </c>
      <c r="E2936" s="152" t="str">
        <f>'Reported burning'!E2942</f>
        <v>Fire suppression agent</v>
      </c>
      <c r="F2936" s="152" t="str">
        <f>'Reported burning'!F2942</f>
        <v>ND</v>
      </c>
      <c r="G2936" s="152" t="str">
        <f>'Reported burning'!G2942</f>
        <v>ND</v>
      </c>
      <c r="H2936" s="152" t="str">
        <f>'Reported burning'!H2942</f>
        <v>Presence</v>
      </c>
      <c r="I2936" s="205"/>
      <c r="J2936" s="21"/>
      <c r="K2936" s="103"/>
      <c r="L2936" s="205"/>
      <c r="M2936" s="21"/>
      <c r="N2936" s="21"/>
      <c r="O2936" s="21"/>
      <c r="P2936" s="103" t="s">
        <v>2377</v>
      </c>
      <c r="Q2936" s="21"/>
      <c r="R2936" s="21"/>
      <c r="S2936" s="21"/>
      <c r="T2936" s="21"/>
      <c r="U2936" s="21"/>
      <c r="V2936" s="21"/>
      <c r="W2936" s="21"/>
      <c r="X2936" s="205"/>
      <c r="Y2936" s="205"/>
      <c r="Z2936" s="205"/>
      <c r="AA2936" s="205"/>
      <c r="AB2936" s="205"/>
    </row>
    <row r="2937" spans="1:28" ht="31" customHeight="1">
      <c r="A2937" s="152" t="str">
        <f>'Reported burning'!A2943</f>
        <v>306bc</v>
      </c>
      <c r="B2937" s="152" t="str">
        <f>'Reported burning'!B2943</f>
        <v>306bc.1</v>
      </c>
      <c r="C2937" s="152" t="str">
        <f>'Reported burning'!C2943</f>
        <v>Human, deliberate</v>
      </c>
      <c r="D2937" s="152" t="str">
        <f>'Reported burning'!D2943</f>
        <v>Pyrome management</v>
      </c>
      <c r="E2937" s="152" t="str">
        <f>'Reported burning'!E2943</f>
        <v>Fire suppression agent</v>
      </c>
      <c r="F2937" s="152" t="str">
        <f>'Reported burning'!F2943</f>
        <v>ND</v>
      </c>
      <c r="G2937" s="152" t="str">
        <f>'Reported burning'!G2943</f>
        <v>ND</v>
      </c>
      <c r="H2937" s="152" t="str">
        <f>'Reported burning'!H2943</f>
        <v>Presence</v>
      </c>
      <c r="I2937" s="205"/>
      <c r="J2937" s="21"/>
      <c r="K2937" s="103"/>
      <c r="L2937" s="205"/>
      <c r="M2937" s="21"/>
      <c r="N2937" s="21"/>
      <c r="O2937" s="21"/>
      <c r="P2937" s="103" t="s">
        <v>2377</v>
      </c>
      <c r="Q2937" s="21"/>
      <c r="R2937" s="21"/>
      <c r="S2937" s="21"/>
      <c r="T2937" s="21"/>
      <c r="U2937" s="21"/>
      <c r="V2937" s="21"/>
      <c r="W2937" s="21"/>
      <c r="X2937" s="205"/>
      <c r="Y2937" s="205"/>
      <c r="Z2937" s="205"/>
      <c r="AA2937" s="205"/>
      <c r="AB2937" s="205"/>
    </row>
    <row r="2938" spans="1:28" ht="31" customHeight="1">
      <c r="A2938" s="152" t="str">
        <f>'Reported burning'!A2944</f>
        <v>306bd</v>
      </c>
      <c r="B2938" s="152" t="str">
        <f>'Reported burning'!B2944</f>
        <v>306bd.1</v>
      </c>
      <c r="C2938" s="152" t="str">
        <f>'Reported burning'!C2944</f>
        <v>Human, deliberate</v>
      </c>
      <c r="D2938" s="152" t="str">
        <f>'Reported burning'!D2944</f>
        <v>Pyrome management</v>
      </c>
      <c r="E2938" s="152" t="str">
        <f>'Reported burning'!E2944</f>
        <v>Fire suppression agent</v>
      </c>
      <c r="F2938" s="152" t="str">
        <f>'Reported burning'!F2944</f>
        <v>ND</v>
      </c>
      <c r="G2938" s="152" t="str">
        <f>'Reported burning'!G2944</f>
        <v>ND</v>
      </c>
      <c r="H2938" s="152" t="str">
        <f>'Reported burning'!H2944</f>
        <v>Presence</v>
      </c>
      <c r="I2938" s="205"/>
      <c r="J2938" s="21"/>
      <c r="K2938" s="103"/>
      <c r="L2938" s="205"/>
      <c r="M2938" s="21"/>
      <c r="N2938" s="21"/>
      <c r="O2938" s="21"/>
      <c r="P2938" s="103" t="s">
        <v>2377</v>
      </c>
      <c r="Q2938" s="21"/>
      <c r="R2938" s="21"/>
      <c r="S2938" s="21"/>
      <c r="T2938" s="21"/>
      <c r="U2938" s="21"/>
      <c r="V2938" s="21"/>
      <c r="W2938" s="21"/>
      <c r="X2938" s="205"/>
      <c r="Y2938" s="205"/>
      <c r="Z2938" s="205"/>
      <c r="AA2938" s="205"/>
      <c r="AB2938" s="205"/>
    </row>
    <row r="2939" spans="1:28" ht="31" customHeight="1">
      <c r="A2939" s="152" t="str">
        <f>'Reported burning'!A2945</f>
        <v>306be</v>
      </c>
      <c r="B2939" s="152" t="str">
        <f>'Reported burning'!B2945</f>
        <v>306be.1</v>
      </c>
      <c r="C2939" s="152" t="str">
        <f>'Reported burning'!C2945</f>
        <v>Human, deliberate</v>
      </c>
      <c r="D2939" s="152" t="str">
        <f>'Reported burning'!D2945</f>
        <v>Pyrome management</v>
      </c>
      <c r="E2939" s="152" t="str">
        <f>'Reported burning'!E2945</f>
        <v>Fire suppression agent</v>
      </c>
      <c r="F2939" s="152" t="str">
        <f>'Reported burning'!F2945</f>
        <v>ND</v>
      </c>
      <c r="G2939" s="152" t="str">
        <f>'Reported burning'!G2945</f>
        <v>ND</v>
      </c>
      <c r="H2939" s="152" t="str">
        <f>'Reported burning'!H2945</f>
        <v>Presence</v>
      </c>
      <c r="I2939" s="205"/>
      <c r="J2939" s="21"/>
      <c r="K2939" s="103"/>
      <c r="L2939" s="205"/>
      <c r="M2939" s="21"/>
      <c r="N2939" s="21"/>
      <c r="O2939" s="21"/>
      <c r="P2939" s="103" t="s">
        <v>2376</v>
      </c>
      <c r="Q2939" s="21"/>
      <c r="R2939" s="21"/>
      <c r="S2939" s="21"/>
      <c r="T2939" s="21"/>
      <c r="U2939" s="21"/>
      <c r="V2939" s="21"/>
      <c r="W2939" s="21"/>
      <c r="X2939" s="205"/>
      <c r="Y2939" s="205"/>
      <c r="Z2939" s="205"/>
      <c r="AA2939" s="205"/>
      <c r="AB2939" s="205"/>
    </row>
    <row r="2940" spans="1:28" ht="31" customHeight="1">
      <c r="A2940" s="152" t="str">
        <f>'Reported burning'!A2946</f>
        <v>306bf</v>
      </c>
      <c r="B2940" s="152" t="str">
        <f>'Reported burning'!B2946</f>
        <v>306bf.1</v>
      </c>
      <c r="C2940" s="152" t="str">
        <f>'Reported burning'!C2946</f>
        <v>Human, deliberate</v>
      </c>
      <c r="D2940" s="152" t="str">
        <f>'Reported burning'!D2946</f>
        <v>Pyrome management</v>
      </c>
      <c r="E2940" s="152" t="str">
        <f>'Reported burning'!E2946</f>
        <v>Fire suppression agent</v>
      </c>
      <c r="F2940" s="152" t="str">
        <f>'Reported burning'!F2946</f>
        <v>ND</v>
      </c>
      <c r="G2940" s="152" t="str">
        <f>'Reported burning'!G2946</f>
        <v>ND</v>
      </c>
      <c r="H2940" s="152" t="str">
        <f>'Reported burning'!H2946</f>
        <v>Presence</v>
      </c>
      <c r="I2940" s="205"/>
      <c r="J2940" s="21"/>
      <c r="K2940" s="103"/>
      <c r="L2940" s="205"/>
      <c r="M2940" s="21"/>
      <c r="N2940" s="21"/>
      <c r="O2940" s="21"/>
      <c r="P2940" s="103" t="s">
        <v>2378</v>
      </c>
      <c r="Q2940" s="21"/>
      <c r="R2940" s="21"/>
      <c r="S2940" s="21"/>
      <c r="T2940" s="21"/>
      <c r="U2940" s="21"/>
      <c r="V2940" s="21"/>
      <c r="W2940" s="21"/>
      <c r="X2940" s="205"/>
      <c r="Y2940" s="205"/>
      <c r="Z2940" s="205"/>
      <c r="AA2940" s="205"/>
      <c r="AB2940" s="205"/>
    </row>
    <row r="2941" spans="1:28" ht="31" customHeight="1">
      <c r="A2941" s="152" t="str">
        <f>'Reported burning'!A2947</f>
        <v>306bg</v>
      </c>
      <c r="B2941" s="152" t="str">
        <f>'Reported burning'!B2947</f>
        <v>306bg.1</v>
      </c>
      <c r="C2941" s="152" t="str">
        <f>'Reported burning'!C2947</f>
        <v>Human, deliberate</v>
      </c>
      <c r="D2941" s="152" t="str">
        <f>'Reported burning'!D2947</f>
        <v>Pyrome management</v>
      </c>
      <c r="E2941" s="152" t="str">
        <f>'Reported burning'!E2947</f>
        <v>Fire suppression agent</v>
      </c>
      <c r="F2941" s="152" t="str">
        <f>'Reported burning'!F2947</f>
        <v>ND</v>
      </c>
      <c r="G2941" s="152" t="str">
        <f>'Reported burning'!G2947</f>
        <v>ND</v>
      </c>
      <c r="H2941" s="152" t="str">
        <f>'Reported burning'!H2947</f>
        <v>Presence</v>
      </c>
      <c r="I2941" s="205"/>
      <c r="J2941" s="21"/>
      <c r="K2941" s="103"/>
      <c r="L2941" s="205"/>
      <c r="M2941" s="21"/>
      <c r="N2941" s="21"/>
      <c r="O2941" s="21"/>
      <c r="P2941" s="103" t="s">
        <v>2376</v>
      </c>
      <c r="Q2941" s="21"/>
      <c r="R2941" s="21"/>
      <c r="S2941" s="21"/>
      <c r="T2941" s="21"/>
      <c r="U2941" s="21"/>
      <c r="V2941" s="21"/>
      <c r="W2941" s="21"/>
      <c r="X2941" s="205"/>
      <c r="Y2941" s="205"/>
      <c r="Z2941" s="205"/>
      <c r="AA2941" s="205"/>
      <c r="AB2941" s="205"/>
    </row>
    <row r="2942" spans="1:28" ht="31" customHeight="1">
      <c r="A2942" s="152" t="str">
        <f>'Reported burning'!A2948</f>
        <v>306ab</v>
      </c>
      <c r="B2942" s="152" t="str">
        <f>'Reported burning'!B2948</f>
        <v>306ab.1</v>
      </c>
      <c r="C2942" s="152" t="str">
        <f>'Reported burning'!C2948</f>
        <v>Human, deliberate</v>
      </c>
      <c r="D2942" s="152" t="str">
        <f>'Reported burning'!D2948</f>
        <v>Pyrome management</v>
      </c>
      <c r="E2942" s="152" t="str">
        <f>'Reported burning'!E2948</f>
        <v>Fire suppression agent</v>
      </c>
      <c r="F2942" s="152" t="str">
        <f>'Reported burning'!F2948</f>
        <v>ND</v>
      </c>
      <c r="G2942" s="152" t="str">
        <f>'Reported burning'!G2948</f>
        <v>ND</v>
      </c>
      <c r="H2942" s="152" t="str">
        <f>'Reported burning'!H2948</f>
        <v>Presence</v>
      </c>
      <c r="I2942" s="205"/>
      <c r="J2942" s="21"/>
      <c r="K2942" s="103"/>
      <c r="L2942" s="205"/>
      <c r="M2942" s="21"/>
      <c r="N2942" s="21"/>
      <c r="O2942" s="21"/>
      <c r="P2942" s="103" t="s">
        <v>2378</v>
      </c>
      <c r="Q2942" s="21"/>
      <c r="R2942" s="21"/>
      <c r="S2942" s="21"/>
      <c r="T2942" s="21"/>
      <c r="U2942" s="21"/>
      <c r="V2942" s="21"/>
      <c r="W2942" s="21"/>
      <c r="X2942" s="205"/>
      <c r="Y2942" s="205"/>
      <c r="Z2942" s="205"/>
      <c r="AA2942" s="205"/>
      <c r="AB2942" s="205"/>
    </row>
    <row r="2943" spans="1:28" ht="31" customHeight="1">
      <c r="A2943" s="152" t="str">
        <f>'Reported burning'!A2949</f>
        <v>306bi</v>
      </c>
      <c r="B2943" s="152" t="str">
        <f>'Reported burning'!B2949</f>
        <v>306bi.1</v>
      </c>
      <c r="C2943" s="152" t="str">
        <f>'Reported burning'!C2949</f>
        <v>Human, deliberate</v>
      </c>
      <c r="D2943" s="152" t="str">
        <f>'Reported burning'!D2949</f>
        <v>Pyrome management</v>
      </c>
      <c r="E2943" s="152" t="str">
        <f>'Reported burning'!E2949</f>
        <v>Fire suppression agent</v>
      </c>
      <c r="F2943" s="152" t="str">
        <f>'Reported burning'!F2949</f>
        <v>ND</v>
      </c>
      <c r="G2943" s="152" t="str">
        <f>'Reported burning'!G2949</f>
        <v>ND</v>
      </c>
      <c r="H2943" s="152" t="str">
        <f>'Reported burning'!H2949</f>
        <v>Presence</v>
      </c>
      <c r="I2943" s="205"/>
      <c r="J2943" s="21"/>
      <c r="K2943" s="103"/>
      <c r="L2943" s="205"/>
      <c r="M2943" s="21"/>
      <c r="N2943" s="21"/>
      <c r="O2943" s="21"/>
      <c r="P2943" s="103" t="s">
        <v>2379</v>
      </c>
      <c r="Q2943" s="21"/>
      <c r="R2943" s="21"/>
      <c r="S2943" s="21"/>
      <c r="T2943" s="21"/>
      <c r="U2943" s="21"/>
      <c r="V2943" s="21"/>
      <c r="W2943" s="21"/>
      <c r="X2943" s="205"/>
      <c r="Y2943" s="205"/>
      <c r="Z2943" s="205"/>
      <c r="AA2943" s="205"/>
      <c r="AB2943" s="205"/>
    </row>
    <row r="2944" spans="1:28" ht="31" customHeight="1">
      <c r="A2944" s="152" t="str">
        <f>'Reported burning'!A2950</f>
        <v>306bj</v>
      </c>
      <c r="B2944" s="152" t="str">
        <f>'Reported burning'!B2950</f>
        <v>306bj.1</v>
      </c>
      <c r="C2944" s="152" t="str">
        <f>'Reported burning'!C2950</f>
        <v>Human, deliberate</v>
      </c>
      <c r="D2944" s="152" t="str">
        <f>'Reported burning'!D2950</f>
        <v>Pyrome management</v>
      </c>
      <c r="E2944" s="152" t="str">
        <f>'Reported burning'!E2950</f>
        <v>Fire suppression agent</v>
      </c>
      <c r="F2944" s="152" t="str">
        <f>'Reported burning'!F2950</f>
        <v>ND</v>
      </c>
      <c r="G2944" s="152" t="str">
        <f>'Reported burning'!G2950</f>
        <v>ND</v>
      </c>
      <c r="H2944" s="152" t="str">
        <f>'Reported burning'!H2950</f>
        <v>Absence</v>
      </c>
      <c r="I2944" s="205"/>
      <c r="J2944" s="21"/>
      <c r="K2944" s="103"/>
      <c r="L2944" s="205"/>
      <c r="M2944" s="21"/>
      <c r="N2944" s="21"/>
      <c r="O2944" s="21"/>
      <c r="P2944" s="103">
        <v>0</v>
      </c>
      <c r="Q2944" s="21"/>
      <c r="R2944" s="21"/>
      <c r="S2944" s="21"/>
      <c r="T2944" s="21"/>
      <c r="U2944" s="21"/>
      <c r="V2944" s="21"/>
      <c r="W2944" s="21"/>
      <c r="X2944" s="205"/>
      <c r="Y2944" s="205"/>
      <c r="Z2944" s="205"/>
      <c r="AA2944" s="205"/>
      <c r="AB2944" s="205"/>
    </row>
    <row r="2945" spans="1:28" ht="31" customHeight="1">
      <c r="A2945" s="152" t="str">
        <f>'Reported burning'!A2951</f>
        <v>306bk</v>
      </c>
      <c r="B2945" s="152" t="str">
        <f>'Reported burning'!B2951</f>
        <v>306bk.1</v>
      </c>
      <c r="C2945" s="152" t="str">
        <f>'Reported burning'!C2951</f>
        <v>Human, deliberate</v>
      </c>
      <c r="D2945" s="152" t="str">
        <f>'Reported burning'!D2951</f>
        <v>Pyrome management</v>
      </c>
      <c r="E2945" s="152" t="str">
        <f>'Reported burning'!E2951</f>
        <v>Fire suppression agent</v>
      </c>
      <c r="F2945" s="152" t="str">
        <f>'Reported burning'!F2951</f>
        <v>ND</v>
      </c>
      <c r="G2945" s="152" t="str">
        <f>'Reported burning'!G2951</f>
        <v>ND</v>
      </c>
      <c r="H2945" s="152" t="str">
        <f>'Reported burning'!H2951</f>
        <v>Presence</v>
      </c>
      <c r="I2945" s="205"/>
      <c r="J2945" s="21"/>
      <c r="K2945" s="103"/>
      <c r="L2945" s="205"/>
      <c r="M2945" s="21"/>
      <c r="N2945" s="21"/>
      <c r="O2945" s="21"/>
      <c r="P2945" s="103" t="s">
        <v>2376</v>
      </c>
      <c r="Q2945" s="21"/>
      <c r="R2945" s="21"/>
      <c r="S2945" s="21"/>
      <c r="T2945" s="21"/>
      <c r="U2945" s="21"/>
      <c r="V2945" s="21"/>
      <c r="W2945" s="21"/>
      <c r="X2945" s="205"/>
      <c r="Y2945" s="205"/>
      <c r="Z2945" s="205"/>
      <c r="AA2945" s="205"/>
      <c r="AB2945" s="205"/>
    </row>
    <row r="2946" spans="1:28" ht="31" customHeight="1">
      <c r="A2946" s="152" t="str">
        <f>'Reported burning'!A2952</f>
        <v>306bl</v>
      </c>
      <c r="B2946" s="152" t="str">
        <f>'Reported burning'!B2952</f>
        <v>306bl.1</v>
      </c>
      <c r="C2946" s="152" t="str">
        <f>'Reported burning'!C2952</f>
        <v>Human, deliberate</v>
      </c>
      <c r="D2946" s="152" t="str">
        <f>'Reported burning'!D2952</f>
        <v>Pyrome management</v>
      </c>
      <c r="E2946" s="152" t="str">
        <f>'Reported burning'!E2952</f>
        <v>Fire suppression agent</v>
      </c>
      <c r="F2946" s="152" t="str">
        <f>'Reported burning'!F2952</f>
        <v>ND</v>
      </c>
      <c r="G2946" s="152" t="str">
        <f>'Reported burning'!G2952</f>
        <v>ND</v>
      </c>
      <c r="H2946" s="152" t="str">
        <f>'Reported burning'!H2952</f>
        <v>Presence</v>
      </c>
      <c r="I2946" s="205"/>
      <c r="J2946" s="21"/>
      <c r="K2946" s="103"/>
      <c r="L2946" s="205"/>
      <c r="M2946" s="21"/>
      <c r="N2946" s="21"/>
      <c r="O2946" s="21"/>
      <c r="P2946" s="103" t="s">
        <v>2376</v>
      </c>
      <c r="Q2946" s="21"/>
      <c r="R2946" s="21"/>
      <c r="S2946" s="21"/>
      <c r="T2946" s="21"/>
      <c r="U2946" s="21"/>
      <c r="V2946" s="21"/>
      <c r="W2946" s="21"/>
      <c r="X2946" s="205"/>
      <c r="Y2946" s="205"/>
      <c r="Z2946" s="205"/>
      <c r="AA2946" s="205"/>
      <c r="AB2946" s="205"/>
    </row>
    <row r="2947" spans="1:28" ht="31" customHeight="1">
      <c r="A2947" s="152" t="str">
        <f>'Reported burning'!A2953</f>
        <v>306bm</v>
      </c>
      <c r="B2947" s="152" t="str">
        <f>'Reported burning'!B2953</f>
        <v>306bm.1</v>
      </c>
      <c r="C2947" s="152" t="str">
        <f>'Reported burning'!C2953</f>
        <v>Human, deliberate</v>
      </c>
      <c r="D2947" s="152" t="str">
        <f>'Reported burning'!D2953</f>
        <v>Pyrome management</v>
      </c>
      <c r="E2947" s="152" t="str">
        <f>'Reported burning'!E2953</f>
        <v>Fire suppression agent</v>
      </c>
      <c r="F2947" s="152" t="str">
        <f>'Reported burning'!F2953</f>
        <v>ND</v>
      </c>
      <c r="G2947" s="152" t="str">
        <f>'Reported burning'!G2953</f>
        <v>ND</v>
      </c>
      <c r="H2947" s="152" t="str">
        <f>'Reported burning'!H2953</f>
        <v>Presence</v>
      </c>
      <c r="I2947" s="205"/>
      <c r="J2947" s="21"/>
      <c r="K2947" s="103"/>
      <c r="L2947" s="205"/>
      <c r="M2947" s="21"/>
      <c r="N2947" s="21"/>
      <c r="O2947" s="21"/>
      <c r="P2947" s="103" t="s">
        <v>2376</v>
      </c>
      <c r="Q2947" s="21"/>
      <c r="R2947" s="21"/>
      <c r="S2947" s="21"/>
      <c r="T2947" s="21"/>
      <c r="U2947" s="21"/>
      <c r="V2947" s="21"/>
      <c r="W2947" s="21"/>
      <c r="X2947" s="205"/>
      <c r="Y2947" s="205"/>
      <c r="Z2947" s="205"/>
      <c r="AA2947" s="205"/>
      <c r="AB2947" s="205"/>
    </row>
    <row r="2948" spans="1:28" ht="31" customHeight="1">
      <c r="A2948" s="152" t="str">
        <f>'Reported burning'!A2954</f>
        <v>306bn</v>
      </c>
      <c r="B2948" s="152" t="str">
        <f>'Reported burning'!B2954</f>
        <v>306bn.1</v>
      </c>
      <c r="C2948" s="152" t="str">
        <f>'Reported burning'!C2954</f>
        <v>Human, deliberate</v>
      </c>
      <c r="D2948" s="152" t="str">
        <f>'Reported burning'!D2954</f>
        <v>Pyrome management</v>
      </c>
      <c r="E2948" s="152" t="str">
        <f>'Reported burning'!E2954</f>
        <v>Fire suppression agent</v>
      </c>
      <c r="F2948" s="152" t="str">
        <f>'Reported burning'!F2954</f>
        <v>ND</v>
      </c>
      <c r="G2948" s="152" t="str">
        <f>'Reported burning'!G2954</f>
        <v>ND</v>
      </c>
      <c r="H2948" s="152" t="str">
        <f>'Reported burning'!H2954</f>
        <v>Presence</v>
      </c>
      <c r="I2948" s="205"/>
      <c r="J2948" s="21"/>
      <c r="K2948" s="103"/>
      <c r="L2948" s="205"/>
      <c r="M2948" s="21"/>
      <c r="N2948" s="21"/>
      <c r="O2948" s="21"/>
      <c r="P2948" s="103" t="s">
        <v>2376</v>
      </c>
      <c r="Q2948" s="21"/>
      <c r="R2948" s="21"/>
      <c r="S2948" s="21"/>
      <c r="T2948" s="21"/>
      <c r="U2948" s="21"/>
      <c r="V2948" s="21"/>
      <c r="W2948" s="21"/>
      <c r="X2948" s="205"/>
      <c r="Y2948" s="205"/>
      <c r="Z2948" s="205"/>
      <c r="AA2948" s="205"/>
      <c r="AB2948" s="205"/>
    </row>
    <row r="2949" spans="1:28" ht="31" customHeight="1">
      <c r="A2949" s="152" t="str">
        <f>'Reported burning'!A2955</f>
        <v>306bo</v>
      </c>
      <c r="B2949" s="152" t="str">
        <f>'Reported burning'!B2955</f>
        <v>306bo.1</v>
      </c>
      <c r="C2949" s="152" t="str">
        <f>'Reported burning'!C2955</f>
        <v>Human, deliberate</v>
      </c>
      <c r="D2949" s="152" t="str">
        <f>'Reported burning'!D2955</f>
        <v>Pyrome management</v>
      </c>
      <c r="E2949" s="152" t="str">
        <f>'Reported burning'!E2955</f>
        <v>Fire suppression agent</v>
      </c>
      <c r="F2949" s="152" t="str">
        <f>'Reported burning'!F2955</f>
        <v>ND</v>
      </c>
      <c r="G2949" s="152" t="str">
        <f>'Reported burning'!G2955</f>
        <v>ND</v>
      </c>
      <c r="H2949" s="152" t="str">
        <f>'Reported burning'!H2955</f>
        <v>Absence</v>
      </c>
      <c r="I2949" s="205"/>
      <c r="J2949" s="21"/>
      <c r="K2949" s="103"/>
      <c r="L2949" s="205"/>
      <c r="M2949" s="21"/>
      <c r="N2949" s="21"/>
      <c r="O2949" s="21"/>
      <c r="P2949" s="103">
        <v>0</v>
      </c>
      <c r="Q2949" s="21"/>
      <c r="R2949" s="21"/>
      <c r="S2949" s="21"/>
      <c r="T2949" s="21"/>
      <c r="U2949" s="21"/>
      <c r="V2949" s="21"/>
      <c r="W2949" s="21"/>
      <c r="X2949" s="205"/>
      <c r="Y2949" s="205"/>
      <c r="Z2949" s="205"/>
      <c r="AA2949" s="205"/>
      <c r="AB2949" s="205"/>
    </row>
    <row r="2950" spans="1:28" ht="31" customHeight="1">
      <c r="A2950" s="152" t="str">
        <f>'Reported burning'!A2956</f>
        <v>306bp</v>
      </c>
      <c r="B2950" s="152" t="str">
        <f>'Reported burning'!B2956</f>
        <v>306bp.1</v>
      </c>
      <c r="C2950" s="152" t="str">
        <f>'Reported burning'!C2956</f>
        <v>Human, deliberate</v>
      </c>
      <c r="D2950" s="152" t="str">
        <f>'Reported burning'!D2956</f>
        <v>Pyrome management</v>
      </c>
      <c r="E2950" s="152" t="str">
        <f>'Reported burning'!E2956</f>
        <v>Fire suppression agent</v>
      </c>
      <c r="F2950" s="152" t="str">
        <f>'Reported burning'!F2956</f>
        <v>ND</v>
      </c>
      <c r="G2950" s="152" t="str">
        <f>'Reported burning'!G2956</f>
        <v>ND</v>
      </c>
      <c r="H2950" s="152" t="str">
        <f>'Reported burning'!H2956</f>
        <v>Presence</v>
      </c>
      <c r="I2950" s="205"/>
      <c r="J2950" s="21"/>
      <c r="K2950" s="103"/>
      <c r="L2950" s="205"/>
      <c r="M2950" s="21"/>
      <c r="N2950" s="21"/>
      <c r="O2950" s="21"/>
      <c r="P2950" s="103" t="s">
        <v>2379</v>
      </c>
      <c r="Q2950" s="21"/>
      <c r="R2950" s="21"/>
      <c r="S2950" s="21"/>
      <c r="T2950" s="21"/>
      <c r="U2950" s="21"/>
      <c r="V2950" s="21"/>
      <c r="W2950" s="21"/>
      <c r="X2950" s="205"/>
      <c r="Y2950" s="205"/>
      <c r="Z2950" s="205"/>
      <c r="AA2950" s="205"/>
      <c r="AB2950" s="205"/>
    </row>
    <row r="2951" spans="1:28">
      <c r="A2951" s="156">
        <f>'Reported burning'!A2957</f>
        <v>0</v>
      </c>
      <c r="B2951" s="156">
        <f>'Reported burning'!B2957</f>
        <v>0</v>
      </c>
      <c r="C2951" s="156">
        <f>'Reported burning'!C2957</f>
        <v>0</v>
      </c>
      <c r="D2951" s="156">
        <f>'Reported burning'!D2957</f>
        <v>0</v>
      </c>
      <c r="E2951" s="156">
        <f>'Reported burning'!E2957</f>
        <v>0</v>
      </c>
      <c r="F2951" s="156">
        <f>'Reported burning'!F2957</f>
        <v>0</v>
      </c>
      <c r="G2951" s="156">
        <f>'Reported burning'!G2957</f>
        <v>0</v>
      </c>
      <c r="H2951" s="156">
        <f>'Reported burning'!H2957</f>
        <v>0</v>
      </c>
      <c r="I2951" s="5"/>
    </row>
    <row r="2952" spans="1:28">
      <c r="A2952" s="156">
        <f>'Reported burning'!A2958</f>
        <v>0</v>
      </c>
      <c r="B2952" s="156">
        <f>'Reported burning'!B2958</f>
        <v>0</v>
      </c>
      <c r="C2952" s="156">
        <f>'Reported burning'!C2958</f>
        <v>0</v>
      </c>
      <c r="D2952" s="156">
        <f>'Reported burning'!D2958</f>
        <v>0</v>
      </c>
      <c r="E2952" s="156">
        <f>'Reported burning'!E2958</f>
        <v>0</v>
      </c>
      <c r="F2952" s="156">
        <f>'Reported burning'!F2958</f>
        <v>0</v>
      </c>
      <c r="G2952" s="156">
        <f>'Reported burning'!G2958</f>
        <v>0</v>
      </c>
      <c r="H2952" s="156">
        <f>'Reported burning'!H2958</f>
        <v>0</v>
      </c>
      <c r="I2952" s="5"/>
    </row>
    <row r="2953" spans="1:28">
      <c r="A2953" s="156">
        <f>'Reported burning'!A2959</f>
        <v>0</v>
      </c>
      <c r="B2953" s="156">
        <f>'Reported burning'!B2959</f>
        <v>0</v>
      </c>
      <c r="C2953" s="156">
        <f>'Reported burning'!C2959</f>
        <v>0</v>
      </c>
      <c r="D2953" s="156">
        <f>'Reported burning'!D2959</f>
        <v>0</v>
      </c>
      <c r="E2953" s="156">
        <f>'Reported burning'!E2959</f>
        <v>0</v>
      </c>
      <c r="F2953" s="156">
        <f>'Reported burning'!F2959</f>
        <v>0</v>
      </c>
      <c r="G2953" s="156">
        <f>'Reported burning'!G2959</f>
        <v>0</v>
      </c>
      <c r="H2953" s="156">
        <f>'Reported burning'!H2959</f>
        <v>0</v>
      </c>
      <c r="I2953" s="5"/>
    </row>
    <row r="2954" spans="1:28">
      <c r="A2954" s="156">
        <f>'Reported burning'!A2960</f>
        <v>0</v>
      </c>
      <c r="B2954" s="156">
        <f>'Reported burning'!B2960</f>
        <v>0</v>
      </c>
      <c r="C2954" s="156">
        <f>'Reported burning'!C2960</f>
        <v>0</v>
      </c>
      <c r="D2954" s="156">
        <f>'Reported burning'!D2960</f>
        <v>0</v>
      </c>
      <c r="E2954" s="156">
        <f>'Reported burning'!E2960</f>
        <v>0</v>
      </c>
      <c r="F2954" s="156">
        <f>'Reported burning'!F2960</f>
        <v>0</v>
      </c>
      <c r="G2954" s="156">
        <f>'Reported burning'!G2960</f>
        <v>0</v>
      </c>
      <c r="H2954" s="156">
        <f>'Reported burning'!H2960</f>
        <v>0</v>
      </c>
      <c r="I2954" s="5"/>
    </row>
    <row r="2955" spans="1:28">
      <c r="A2955" s="156">
        <f>'Reported burning'!A2961</f>
        <v>0</v>
      </c>
      <c r="B2955" s="156">
        <f>'Reported burning'!B2961</f>
        <v>0</v>
      </c>
      <c r="C2955" s="156">
        <f>'Reported burning'!C2961</f>
        <v>0</v>
      </c>
      <c r="D2955" s="156">
        <f>'Reported burning'!D2961</f>
        <v>0</v>
      </c>
      <c r="E2955" s="156">
        <f>'Reported burning'!E2961</f>
        <v>0</v>
      </c>
      <c r="F2955" s="156">
        <f>'Reported burning'!F2961</f>
        <v>0</v>
      </c>
      <c r="G2955" s="156">
        <f>'Reported burning'!G2961</f>
        <v>0</v>
      </c>
      <c r="H2955" s="156">
        <f>'Reported burning'!H2961</f>
        <v>0</v>
      </c>
      <c r="I2955" s="5"/>
    </row>
    <row r="2956" spans="1:28">
      <c r="A2956" s="156">
        <f>'Reported burning'!A2962</f>
        <v>0</v>
      </c>
      <c r="B2956" s="156">
        <f>'Reported burning'!B2962</f>
        <v>0</v>
      </c>
      <c r="C2956" s="156">
        <f>'Reported burning'!C2962</f>
        <v>0</v>
      </c>
      <c r="D2956" s="156">
        <f>'Reported burning'!D2962</f>
        <v>0</v>
      </c>
      <c r="E2956" s="156">
        <f>'Reported burning'!E2962</f>
        <v>0</v>
      </c>
      <c r="F2956" s="156">
        <f>'Reported burning'!F2962</f>
        <v>0</v>
      </c>
      <c r="G2956" s="156">
        <f>'Reported burning'!G2962</f>
        <v>0</v>
      </c>
      <c r="H2956" s="156">
        <f>'Reported burning'!H2962</f>
        <v>0</v>
      </c>
      <c r="I2956" s="5"/>
    </row>
    <row r="2957" spans="1:28">
      <c r="A2957" s="156">
        <f>'Reported burning'!A2963</f>
        <v>0</v>
      </c>
      <c r="B2957" s="156">
        <f>'Reported burning'!B2963</f>
        <v>0</v>
      </c>
      <c r="C2957" s="156">
        <f>'Reported burning'!C2963</f>
        <v>0</v>
      </c>
      <c r="D2957" s="156">
        <f>'Reported burning'!D2963</f>
        <v>0</v>
      </c>
      <c r="E2957" s="156">
        <f>'Reported burning'!E2963</f>
        <v>0</v>
      </c>
      <c r="F2957" s="156">
        <f>'Reported burning'!F2963</f>
        <v>0</v>
      </c>
      <c r="G2957" s="156">
        <f>'Reported burning'!G2963</f>
        <v>0</v>
      </c>
      <c r="H2957" s="156">
        <f>'Reported burning'!H2963</f>
        <v>0</v>
      </c>
      <c r="I2957" s="5"/>
    </row>
    <row r="2958" spans="1:28">
      <c r="A2958" s="156">
        <f>'Reported burning'!A2964</f>
        <v>0</v>
      </c>
      <c r="B2958" s="156">
        <f>'Reported burning'!B2964</f>
        <v>0</v>
      </c>
      <c r="C2958" s="156">
        <f>'Reported burning'!C2964</f>
        <v>0</v>
      </c>
      <c r="D2958" s="156">
        <f>'Reported burning'!D2964</f>
        <v>0</v>
      </c>
      <c r="E2958" s="156">
        <f>'Reported burning'!E2964</f>
        <v>0</v>
      </c>
      <c r="F2958" s="156">
        <f>'Reported burning'!F2964</f>
        <v>0</v>
      </c>
      <c r="G2958" s="156">
        <f>'Reported burning'!G2964</f>
        <v>0</v>
      </c>
      <c r="H2958" s="156">
        <f>'Reported burning'!H2964</f>
        <v>0</v>
      </c>
      <c r="I2958" s="5"/>
    </row>
    <row r="2959" spans="1:28">
      <c r="A2959" s="156">
        <f>'Reported burning'!A2965</f>
        <v>0</v>
      </c>
      <c r="B2959" s="156">
        <f>'Reported burning'!B2965</f>
        <v>0</v>
      </c>
      <c r="C2959" s="156">
        <f>'Reported burning'!C2965</f>
        <v>0</v>
      </c>
      <c r="D2959" s="156">
        <f>'Reported burning'!D2965</f>
        <v>0</v>
      </c>
      <c r="E2959" s="156">
        <f>'Reported burning'!E2965</f>
        <v>0</v>
      </c>
      <c r="F2959" s="156">
        <f>'Reported burning'!F2965</f>
        <v>0</v>
      </c>
      <c r="G2959" s="156">
        <f>'Reported burning'!G2965</f>
        <v>0</v>
      </c>
      <c r="H2959" s="156">
        <f>'Reported burning'!H2965</f>
        <v>0</v>
      </c>
      <c r="I2959" s="5"/>
    </row>
    <row r="2960" spans="1:28">
      <c r="A2960" s="156">
        <f>'Reported burning'!A2966</f>
        <v>0</v>
      </c>
      <c r="B2960" s="156">
        <f>'Reported burning'!B2966</f>
        <v>0</v>
      </c>
      <c r="C2960" s="156">
        <f>'Reported burning'!C2966</f>
        <v>0</v>
      </c>
      <c r="D2960" s="156">
        <f>'Reported burning'!D2966</f>
        <v>0</v>
      </c>
      <c r="E2960" s="156">
        <f>'Reported burning'!E2966</f>
        <v>0</v>
      </c>
      <c r="F2960" s="156">
        <f>'Reported burning'!F2966</f>
        <v>0</v>
      </c>
      <c r="G2960" s="156">
        <f>'Reported burning'!G2966</f>
        <v>0</v>
      </c>
      <c r="H2960" s="156">
        <f>'Reported burning'!H2966</f>
        <v>0</v>
      </c>
      <c r="I2960" s="5"/>
    </row>
    <row r="2961" spans="1:9">
      <c r="A2961" s="156">
        <f>'Reported burning'!A2967</f>
        <v>0</v>
      </c>
      <c r="B2961" s="156">
        <f>'Reported burning'!B2967</f>
        <v>0</v>
      </c>
      <c r="C2961" s="156">
        <f>'Reported burning'!C2967</f>
        <v>0</v>
      </c>
      <c r="D2961" s="156">
        <f>'Reported burning'!D2967</f>
        <v>0</v>
      </c>
      <c r="E2961" s="156">
        <f>'Reported burning'!E2967</f>
        <v>0</v>
      </c>
      <c r="F2961" s="156">
        <f>'Reported burning'!F2967</f>
        <v>0</v>
      </c>
      <c r="G2961" s="156">
        <f>'Reported burning'!G2967</f>
        <v>0</v>
      </c>
      <c r="H2961" s="156">
        <f>'Reported burning'!H2967</f>
        <v>0</v>
      </c>
      <c r="I2961" s="5"/>
    </row>
    <row r="2962" spans="1:9">
      <c r="A2962" s="156">
        <f>'Reported burning'!A2968</f>
        <v>0</v>
      </c>
      <c r="B2962" s="156">
        <f>'Reported burning'!B2968</f>
        <v>0</v>
      </c>
      <c r="C2962" s="156">
        <f>'Reported burning'!C2968</f>
        <v>0</v>
      </c>
      <c r="D2962" s="156">
        <f>'Reported burning'!D2968</f>
        <v>0</v>
      </c>
      <c r="E2962" s="156">
        <f>'Reported burning'!E2968</f>
        <v>0</v>
      </c>
      <c r="F2962" s="156">
        <f>'Reported burning'!F2968</f>
        <v>0</v>
      </c>
      <c r="G2962" s="156">
        <f>'Reported burning'!G2968</f>
        <v>0</v>
      </c>
      <c r="H2962" s="156">
        <f>'Reported burning'!H2968</f>
        <v>0</v>
      </c>
      <c r="I2962" s="5"/>
    </row>
    <row r="2963" spans="1:9">
      <c r="A2963" s="156">
        <f>'Reported burning'!A2969</f>
        <v>0</v>
      </c>
      <c r="B2963" s="156">
        <f>'Reported burning'!B2969</f>
        <v>0</v>
      </c>
      <c r="C2963" s="156">
        <f>'Reported burning'!C2969</f>
        <v>0</v>
      </c>
      <c r="D2963" s="156">
        <f>'Reported burning'!D2969</f>
        <v>0</v>
      </c>
      <c r="E2963" s="156">
        <f>'Reported burning'!E2969</f>
        <v>0</v>
      </c>
      <c r="F2963" s="156">
        <f>'Reported burning'!F2969</f>
        <v>0</v>
      </c>
      <c r="G2963" s="156">
        <f>'Reported burning'!G2969</f>
        <v>0</v>
      </c>
      <c r="H2963" s="156">
        <f>'Reported burning'!H2969</f>
        <v>0</v>
      </c>
      <c r="I2963" s="5"/>
    </row>
    <row r="2964" spans="1:9">
      <c r="A2964" s="156">
        <f>'Reported burning'!A2970</f>
        <v>0</v>
      </c>
      <c r="B2964" s="156">
        <f>'Reported burning'!B2970</f>
        <v>0</v>
      </c>
      <c r="C2964" s="156">
        <f>'Reported burning'!C2970</f>
        <v>0</v>
      </c>
      <c r="D2964" s="156">
        <f>'Reported burning'!D2970</f>
        <v>0</v>
      </c>
      <c r="E2964" s="156">
        <f>'Reported burning'!E2970</f>
        <v>0</v>
      </c>
      <c r="F2964" s="156">
        <f>'Reported burning'!F2970</f>
        <v>0</v>
      </c>
      <c r="G2964" s="156">
        <f>'Reported burning'!G2970</f>
        <v>0</v>
      </c>
      <c r="H2964" s="156">
        <f>'Reported burning'!H2970</f>
        <v>0</v>
      </c>
      <c r="I2964" s="5"/>
    </row>
    <row r="2965" spans="1:9">
      <c r="A2965" s="156">
        <f>'Reported burning'!A2971</f>
        <v>0</v>
      </c>
      <c r="B2965" s="156">
        <f>'Reported burning'!B2971</f>
        <v>0</v>
      </c>
      <c r="C2965" s="156">
        <f>'Reported burning'!C2971</f>
        <v>0</v>
      </c>
      <c r="D2965" s="156">
        <f>'Reported burning'!D2971</f>
        <v>0</v>
      </c>
      <c r="E2965" s="156">
        <f>'Reported burning'!E2971</f>
        <v>0</v>
      </c>
      <c r="F2965" s="156">
        <f>'Reported burning'!F2971</f>
        <v>0</v>
      </c>
      <c r="G2965" s="156">
        <f>'Reported burning'!G2971</f>
        <v>0</v>
      </c>
      <c r="H2965" s="156">
        <f>'Reported burning'!H2971</f>
        <v>0</v>
      </c>
      <c r="I2965" s="5"/>
    </row>
    <row r="2966" spans="1:9">
      <c r="A2966" s="156">
        <f>'Reported burning'!A2972</f>
        <v>0</v>
      </c>
      <c r="B2966" s="156">
        <f>'Reported burning'!B2972</f>
        <v>0</v>
      </c>
      <c r="C2966" s="156">
        <f>'Reported burning'!C2972</f>
        <v>0</v>
      </c>
      <c r="D2966" s="156">
        <f>'Reported burning'!D2972</f>
        <v>0</v>
      </c>
      <c r="E2966" s="156">
        <f>'Reported burning'!E2972</f>
        <v>0</v>
      </c>
      <c r="F2966" s="156">
        <f>'Reported burning'!F2972</f>
        <v>0</v>
      </c>
      <c r="G2966" s="156">
        <f>'Reported burning'!G2972</f>
        <v>0</v>
      </c>
      <c r="H2966" s="156">
        <f>'Reported burning'!H2972</f>
        <v>0</v>
      </c>
      <c r="I2966" s="5"/>
    </row>
    <row r="2967" spans="1:9">
      <c r="A2967" s="156">
        <f>'Reported burning'!A2973</f>
        <v>0</v>
      </c>
      <c r="B2967" s="156">
        <f>'Reported burning'!B2973</f>
        <v>0</v>
      </c>
      <c r="C2967" s="156">
        <f>'Reported burning'!C2973</f>
        <v>0</v>
      </c>
      <c r="D2967" s="156">
        <f>'Reported burning'!D2973</f>
        <v>0</v>
      </c>
      <c r="E2967" s="156">
        <f>'Reported burning'!E2973</f>
        <v>0</v>
      </c>
      <c r="F2967" s="156">
        <f>'Reported burning'!F2973</f>
        <v>0</v>
      </c>
      <c r="G2967" s="156">
        <f>'Reported burning'!G2973</f>
        <v>0</v>
      </c>
      <c r="H2967" s="156">
        <f>'Reported burning'!H2973</f>
        <v>0</v>
      </c>
      <c r="I2967" s="5"/>
    </row>
    <row r="2968" spans="1:9">
      <c r="A2968" s="156">
        <f>'Reported burning'!A2974</f>
        <v>0</v>
      </c>
      <c r="B2968" s="156">
        <f>'Reported burning'!B2974</f>
        <v>0</v>
      </c>
      <c r="C2968" s="156">
        <f>'Reported burning'!C2974</f>
        <v>0</v>
      </c>
      <c r="D2968" s="156">
        <f>'Reported burning'!D2974</f>
        <v>0</v>
      </c>
      <c r="E2968" s="156">
        <f>'Reported burning'!E2974</f>
        <v>0</v>
      </c>
      <c r="F2968" s="156">
        <f>'Reported burning'!F2974</f>
        <v>0</v>
      </c>
      <c r="G2968" s="156">
        <f>'Reported burning'!G2974</f>
        <v>0</v>
      </c>
      <c r="H2968" s="156">
        <f>'Reported burning'!H2974</f>
        <v>0</v>
      </c>
      <c r="I2968" s="5"/>
    </row>
    <row r="2969" spans="1:9">
      <c r="A2969" s="156">
        <f>'Reported burning'!A2975</f>
        <v>0</v>
      </c>
      <c r="B2969" s="156">
        <f>'Reported burning'!B2975</f>
        <v>0</v>
      </c>
      <c r="C2969" s="156">
        <f>'Reported burning'!C2975</f>
        <v>0</v>
      </c>
      <c r="D2969" s="156">
        <f>'Reported burning'!D2975</f>
        <v>0</v>
      </c>
      <c r="E2969" s="156">
        <f>'Reported burning'!E2975</f>
        <v>0</v>
      </c>
      <c r="F2969" s="156">
        <f>'Reported burning'!F2975</f>
        <v>0</v>
      </c>
      <c r="G2969" s="156">
        <f>'Reported burning'!G2975</f>
        <v>0</v>
      </c>
      <c r="H2969" s="156">
        <f>'Reported burning'!H2975</f>
        <v>0</v>
      </c>
      <c r="I2969" s="5"/>
    </row>
    <row r="2970" spans="1:9">
      <c r="A2970" s="156">
        <f>'Reported burning'!A2976</f>
        <v>0</v>
      </c>
      <c r="B2970" s="156">
        <f>'Reported burning'!B2976</f>
        <v>0</v>
      </c>
      <c r="C2970" s="156">
        <f>'Reported burning'!C2976</f>
        <v>0</v>
      </c>
      <c r="D2970" s="156">
        <f>'Reported burning'!D2976</f>
        <v>0</v>
      </c>
      <c r="E2970" s="156">
        <f>'Reported burning'!E2976</f>
        <v>0</v>
      </c>
      <c r="F2970" s="156">
        <f>'Reported burning'!F2976</f>
        <v>0</v>
      </c>
      <c r="G2970" s="156">
        <f>'Reported burning'!G2976</f>
        <v>0</v>
      </c>
      <c r="H2970" s="156">
        <f>'Reported burning'!H2976</f>
        <v>0</v>
      </c>
      <c r="I2970" s="5"/>
    </row>
    <row r="2971" spans="1:9">
      <c r="A2971" s="156">
        <f>'Reported burning'!A2977</f>
        <v>0</v>
      </c>
      <c r="B2971" s="156">
        <f>'Reported burning'!B2977</f>
        <v>0</v>
      </c>
      <c r="C2971" s="156">
        <f>'Reported burning'!C2977</f>
        <v>0</v>
      </c>
      <c r="D2971" s="156">
        <f>'Reported burning'!D2977</f>
        <v>0</v>
      </c>
      <c r="E2971" s="156">
        <f>'Reported burning'!E2977</f>
        <v>0</v>
      </c>
      <c r="F2971" s="156">
        <f>'Reported burning'!F2977</f>
        <v>0</v>
      </c>
      <c r="G2971" s="156">
        <f>'Reported burning'!G2977</f>
        <v>0</v>
      </c>
      <c r="H2971" s="156">
        <f>'Reported burning'!H2977</f>
        <v>0</v>
      </c>
      <c r="I2971" s="5"/>
    </row>
    <row r="2972" spans="1:9">
      <c r="A2972" s="156">
        <f>'Reported burning'!A2978</f>
        <v>0</v>
      </c>
      <c r="B2972" s="156">
        <f>'Reported burning'!B2978</f>
        <v>0</v>
      </c>
      <c r="C2972" s="156">
        <f>'Reported burning'!C2978</f>
        <v>0</v>
      </c>
      <c r="D2972" s="156">
        <f>'Reported burning'!D2978</f>
        <v>0</v>
      </c>
      <c r="E2972" s="156">
        <f>'Reported burning'!E2978</f>
        <v>0</v>
      </c>
      <c r="F2972" s="156">
        <f>'Reported burning'!F2978</f>
        <v>0</v>
      </c>
      <c r="G2972" s="156">
        <f>'Reported burning'!G2978</f>
        <v>0</v>
      </c>
      <c r="H2972" s="156">
        <f>'Reported burning'!H2978</f>
        <v>0</v>
      </c>
      <c r="I2972" s="5"/>
    </row>
    <row r="2973" spans="1:9">
      <c r="A2973" s="156">
        <f>'Reported burning'!A2979</f>
        <v>0</v>
      </c>
      <c r="B2973" s="156">
        <f>'Reported burning'!B2979</f>
        <v>0</v>
      </c>
      <c r="C2973" s="156">
        <f>'Reported burning'!C2979</f>
        <v>0</v>
      </c>
      <c r="D2973" s="156">
        <f>'Reported burning'!D2979</f>
        <v>0</v>
      </c>
      <c r="E2973" s="156">
        <f>'Reported burning'!E2979</f>
        <v>0</v>
      </c>
      <c r="F2973" s="156">
        <f>'Reported burning'!F2979</f>
        <v>0</v>
      </c>
      <c r="G2973" s="156">
        <f>'Reported burning'!G2979</f>
        <v>0</v>
      </c>
      <c r="H2973" s="156">
        <f>'Reported burning'!H2979</f>
        <v>0</v>
      </c>
      <c r="I2973" s="5"/>
    </row>
    <row r="2974" spans="1:9">
      <c r="A2974" s="156">
        <f>'Reported burning'!A2980</f>
        <v>0</v>
      </c>
      <c r="B2974" s="156">
        <f>'Reported burning'!B2980</f>
        <v>0</v>
      </c>
      <c r="C2974" s="156">
        <f>'Reported burning'!C2980</f>
        <v>0</v>
      </c>
      <c r="D2974" s="156">
        <f>'Reported burning'!D2980</f>
        <v>0</v>
      </c>
      <c r="E2974" s="156">
        <f>'Reported burning'!E2980</f>
        <v>0</v>
      </c>
      <c r="F2974" s="156">
        <f>'Reported burning'!F2980</f>
        <v>0</v>
      </c>
      <c r="G2974" s="156">
        <f>'Reported burning'!G2980</f>
        <v>0</v>
      </c>
      <c r="H2974" s="156">
        <f>'Reported burning'!H2980</f>
        <v>0</v>
      </c>
      <c r="I2974" s="5"/>
    </row>
    <row r="2975" spans="1:9">
      <c r="A2975" s="156">
        <f>'Reported burning'!A2981</f>
        <v>0</v>
      </c>
      <c r="B2975" s="156">
        <f>'Reported burning'!B2981</f>
        <v>0</v>
      </c>
      <c r="C2975" s="156">
        <f>'Reported burning'!C2981</f>
        <v>0</v>
      </c>
      <c r="D2975" s="156">
        <f>'Reported burning'!D2981</f>
        <v>0</v>
      </c>
      <c r="E2975" s="156">
        <f>'Reported burning'!E2981</f>
        <v>0</v>
      </c>
      <c r="F2975" s="156">
        <f>'Reported burning'!F2981</f>
        <v>0</v>
      </c>
      <c r="G2975" s="156">
        <f>'Reported burning'!G2981</f>
        <v>0</v>
      </c>
      <c r="H2975" s="156">
        <f>'Reported burning'!H2981</f>
        <v>0</v>
      </c>
      <c r="I2975" s="5"/>
    </row>
    <row r="2976" spans="1:9">
      <c r="A2976" s="156">
        <f>'Reported burning'!A2982</f>
        <v>0</v>
      </c>
      <c r="B2976" s="156">
        <f>'Reported burning'!B2982</f>
        <v>0</v>
      </c>
      <c r="C2976" s="156">
        <f>'Reported burning'!C2982</f>
        <v>0</v>
      </c>
      <c r="D2976" s="156">
        <f>'Reported burning'!D2982</f>
        <v>0</v>
      </c>
      <c r="E2976" s="156">
        <f>'Reported burning'!E2982</f>
        <v>0</v>
      </c>
      <c r="F2976" s="156">
        <f>'Reported burning'!F2982</f>
        <v>0</v>
      </c>
      <c r="G2976" s="156">
        <f>'Reported burning'!G2982</f>
        <v>0</v>
      </c>
      <c r="H2976" s="156">
        <f>'Reported burning'!H2982</f>
        <v>0</v>
      </c>
      <c r="I2976" s="5"/>
    </row>
    <row r="2977" spans="1:9">
      <c r="A2977" s="156">
        <f>'Reported burning'!A2983</f>
        <v>0</v>
      </c>
      <c r="B2977" s="156">
        <f>'Reported burning'!B2983</f>
        <v>0</v>
      </c>
      <c r="C2977" s="156">
        <f>'Reported burning'!C2983</f>
        <v>0</v>
      </c>
      <c r="D2977" s="156">
        <f>'Reported burning'!D2983</f>
        <v>0</v>
      </c>
      <c r="E2977" s="156">
        <f>'Reported burning'!E2983</f>
        <v>0</v>
      </c>
      <c r="F2977" s="156">
        <f>'Reported burning'!F2983</f>
        <v>0</v>
      </c>
      <c r="G2977" s="156">
        <f>'Reported burning'!G2983</f>
        <v>0</v>
      </c>
      <c r="H2977" s="156">
        <f>'Reported burning'!H2983</f>
        <v>0</v>
      </c>
      <c r="I2977" s="5"/>
    </row>
    <row r="2978" spans="1:9">
      <c r="A2978" s="156">
        <f>'Reported burning'!A2984</f>
        <v>0</v>
      </c>
      <c r="B2978" s="156">
        <f>'Reported burning'!B2984</f>
        <v>0</v>
      </c>
      <c r="C2978" s="156">
        <f>'Reported burning'!C2984</f>
        <v>0</v>
      </c>
      <c r="D2978" s="156">
        <f>'Reported burning'!D2984</f>
        <v>0</v>
      </c>
      <c r="E2978" s="156">
        <f>'Reported burning'!E2984</f>
        <v>0</v>
      </c>
      <c r="F2978" s="156">
        <f>'Reported burning'!F2984</f>
        <v>0</v>
      </c>
      <c r="G2978" s="156">
        <f>'Reported burning'!G2984</f>
        <v>0</v>
      </c>
      <c r="H2978" s="156">
        <f>'Reported burning'!H2984</f>
        <v>0</v>
      </c>
      <c r="I2978" s="5"/>
    </row>
    <row r="2979" spans="1:9">
      <c r="A2979" s="156">
        <f>'Reported burning'!A2985</f>
        <v>0</v>
      </c>
      <c r="B2979" s="156">
        <f>'Reported burning'!B2985</f>
        <v>0</v>
      </c>
      <c r="C2979" s="156">
        <f>'Reported burning'!C2985</f>
        <v>0</v>
      </c>
      <c r="D2979" s="156">
        <f>'Reported burning'!D2985</f>
        <v>0</v>
      </c>
      <c r="E2979" s="156">
        <f>'Reported burning'!E2985</f>
        <v>0</v>
      </c>
      <c r="F2979" s="156">
        <f>'Reported burning'!F2985</f>
        <v>0</v>
      </c>
      <c r="G2979" s="156">
        <f>'Reported burning'!G2985</f>
        <v>0</v>
      </c>
      <c r="H2979" s="156">
        <f>'Reported burning'!H2985</f>
        <v>0</v>
      </c>
      <c r="I2979" s="5"/>
    </row>
    <row r="2980" spans="1:9">
      <c r="A2980" s="156">
        <f>'Reported burning'!A2986</f>
        <v>0</v>
      </c>
      <c r="B2980" s="156">
        <f>'Reported burning'!B2986</f>
        <v>0</v>
      </c>
      <c r="C2980" s="156">
        <f>'Reported burning'!C2986</f>
        <v>0</v>
      </c>
      <c r="D2980" s="156">
        <f>'Reported burning'!D2986</f>
        <v>0</v>
      </c>
      <c r="E2980" s="156">
        <f>'Reported burning'!E2986</f>
        <v>0</v>
      </c>
      <c r="F2980" s="156">
        <f>'Reported burning'!F2986</f>
        <v>0</v>
      </c>
      <c r="G2980" s="156">
        <f>'Reported burning'!G2986</f>
        <v>0</v>
      </c>
      <c r="H2980" s="156">
        <f>'Reported burning'!H2986</f>
        <v>0</v>
      </c>
      <c r="I2980" s="5"/>
    </row>
    <row r="2981" spans="1:9">
      <c r="A2981" s="156">
        <f>'Reported burning'!A2987</f>
        <v>0</v>
      </c>
      <c r="B2981" s="156">
        <f>'Reported burning'!B2987</f>
        <v>0</v>
      </c>
      <c r="C2981" s="156">
        <f>'Reported burning'!C2987</f>
        <v>0</v>
      </c>
      <c r="D2981" s="156">
        <f>'Reported burning'!D2987</f>
        <v>0</v>
      </c>
      <c r="E2981" s="156">
        <f>'Reported burning'!E2987</f>
        <v>0</v>
      </c>
      <c r="F2981" s="156">
        <f>'Reported burning'!F2987</f>
        <v>0</v>
      </c>
      <c r="G2981" s="156">
        <f>'Reported burning'!G2987</f>
        <v>0</v>
      </c>
      <c r="H2981" s="156">
        <f>'Reported burning'!H2987</f>
        <v>0</v>
      </c>
      <c r="I2981" s="5"/>
    </row>
    <row r="2982" spans="1:9">
      <c r="A2982" s="156">
        <f>'Reported burning'!A2988</f>
        <v>0</v>
      </c>
      <c r="B2982" s="156">
        <f>'Reported burning'!B2988</f>
        <v>0</v>
      </c>
      <c r="C2982" s="156">
        <f>'Reported burning'!C2988</f>
        <v>0</v>
      </c>
      <c r="D2982" s="156">
        <f>'Reported burning'!D2988</f>
        <v>0</v>
      </c>
      <c r="E2982" s="156">
        <f>'Reported burning'!E2988</f>
        <v>0</v>
      </c>
      <c r="F2982" s="156">
        <f>'Reported burning'!F2988</f>
        <v>0</v>
      </c>
      <c r="G2982" s="156">
        <f>'Reported burning'!G2988</f>
        <v>0</v>
      </c>
      <c r="H2982" s="156">
        <f>'Reported burning'!H2988</f>
        <v>0</v>
      </c>
      <c r="I2982" s="5"/>
    </row>
    <row r="2983" spans="1:9">
      <c r="A2983" s="156">
        <f>'Reported burning'!A2989</f>
        <v>0</v>
      </c>
      <c r="B2983" s="156">
        <f>'Reported burning'!B2989</f>
        <v>0</v>
      </c>
      <c r="C2983" s="156">
        <f>'Reported burning'!C2989</f>
        <v>0</v>
      </c>
      <c r="D2983" s="156">
        <f>'Reported burning'!D2989</f>
        <v>0</v>
      </c>
      <c r="E2983" s="156">
        <f>'Reported burning'!E2989</f>
        <v>0</v>
      </c>
      <c r="F2983" s="156">
        <f>'Reported burning'!F2989</f>
        <v>0</v>
      </c>
      <c r="G2983" s="156">
        <f>'Reported burning'!G2989</f>
        <v>0</v>
      </c>
      <c r="H2983" s="156">
        <f>'Reported burning'!H2989</f>
        <v>0</v>
      </c>
      <c r="I2983" s="5"/>
    </row>
    <row r="2984" spans="1:9">
      <c r="A2984" s="156">
        <f>'Reported burning'!A2990</f>
        <v>0</v>
      </c>
      <c r="B2984" s="156">
        <f>'Reported burning'!B2990</f>
        <v>0</v>
      </c>
      <c r="C2984" s="156">
        <f>'Reported burning'!C2990</f>
        <v>0</v>
      </c>
      <c r="D2984" s="156">
        <f>'Reported burning'!D2990</f>
        <v>0</v>
      </c>
      <c r="E2984" s="156">
        <f>'Reported burning'!E2990</f>
        <v>0</v>
      </c>
      <c r="F2984" s="156">
        <f>'Reported burning'!F2990</f>
        <v>0</v>
      </c>
      <c r="G2984" s="156">
        <f>'Reported burning'!G2990</f>
        <v>0</v>
      </c>
      <c r="H2984" s="156">
        <f>'Reported burning'!H2990</f>
        <v>0</v>
      </c>
      <c r="I2984" s="5"/>
    </row>
    <row r="2985" spans="1:9">
      <c r="A2985" s="156">
        <f>'Reported burning'!A2991</f>
        <v>0</v>
      </c>
      <c r="B2985" s="156">
        <f>'Reported burning'!B2991</f>
        <v>0</v>
      </c>
      <c r="C2985" s="156">
        <f>'Reported burning'!C2991</f>
        <v>0</v>
      </c>
      <c r="D2985" s="156">
        <f>'Reported burning'!D2991</f>
        <v>0</v>
      </c>
      <c r="E2985" s="156">
        <f>'Reported burning'!E2991</f>
        <v>0</v>
      </c>
      <c r="F2985" s="156">
        <f>'Reported burning'!F2991</f>
        <v>0</v>
      </c>
      <c r="G2985" s="156">
        <f>'Reported burning'!G2991</f>
        <v>0</v>
      </c>
      <c r="H2985" s="156">
        <f>'Reported burning'!H2991</f>
        <v>0</v>
      </c>
      <c r="I2985" s="5"/>
    </row>
    <row r="2986" spans="1:9">
      <c r="A2986" s="156">
        <f>'Reported burning'!A2992</f>
        <v>0</v>
      </c>
      <c r="B2986" s="156">
        <f>'Reported burning'!B2992</f>
        <v>0</v>
      </c>
      <c r="C2986" s="156">
        <f>'Reported burning'!C2992</f>
        <v>0</v>
      </c>
      <c r="D2986" s="156">
        <f>'Reported burning'!D2992</f>
        <v>0</v>
      </c>
      <c r="E2986" s="156">
        <f>'Reported burning'!E2992</f>
        <v>0</v>
      </c>
      <c r="F2986" s="156">
        <f>'Reported burning'!F2992</f>
        <v>0</v>
      </c>
      <c r="G2986" s="156">
        <f>'Reported burning'!G2992</f>
        <v>0</v>
      </c>
      <c r="H2986" s="156">
        <f>'Reported burning'!H2992</f>
        <v>0</v>
      </c>
      <c r="I2986" s="5"/>
    </row>
    <row r="2987" spans="1:9">
      <c r="A2987" s="156">
        <f>'Reported burning'!A2993</f>
        <v>0</v>
      </c>
      <c r="B2987" s="156">
        <f>'Reported burning'!B2993</f>
        <v>0</v>
      </c>
      <c r="C2987" s="156">
        <f>'Reported burning'!C2993</f>
        <v>0</v>
      </c>
      <c r="D2987" s="156">
        <f>'Reported burning'!D2993</f>
        <v>0</v>
      </c>
      <c r="E2987" s="156">
        <f>'Reported burning'!E2993</f>
        <v>0</v>
      </c>
      <c r="F2987" s="156">
        <f>'Reported burning'!F2993</f>
        <v>0</v>
      </c>
      <c r="G2987" s="156">
        <f>'Reported burning'!G2993</f>
        <v>0</v>
      </c>
      <c r="H2987" s="156">
        <f>'Reported burning'!H2993</f>
        <v>0</v>
      </c>
      <c r="I2987" s="5"/>
    </row>
    <row r="2988" spans="1:9">
      <c r="A2988" s="156">
        <f>'Reported burning'!A2994</f>
        <v>0</v>
      </c>
      <c r="B2988" s="156">
        <f>'Reported burning'!B2994</f>
        <v>0</v>
      </c>
      <c r="C2988" s="156">
        <f>'Reported burning'!C2994</f>
        <v>0</v>
      </c>
      <c r="D2988" s="156">
        <f>'Reported burning'!D2994</f>
        <v>0</v>
      </c>
      <c r="E2988" s="156">
        <f>'Reported burning'!E2994</f>
        <v>0</v>
      </c>
      <c r="F2988" s="156">
        <f>'Reported burning'!F2994</f>
        <v>0</v>
      </c>
      <c r="G2988" s="156">
        <f>'Reported burning'!G2994</f>
        <v>0</v>
      </c>
      <c r="H2988" s="156">
        <f>'Reported burning'!H2994</f>
        <v>0</v>
      </c>
      <c r="I2988" s="5"/>
    </row>
    <row r="2989" spans="1:9">
      <c r="A2989" s="156">
        <f>'Reported burning'!A2995</f>
        <v>0</v>
      </c>
      <c r="B2989" s="156">
        <f>'Reported burning'!B2995</f>
        <v>0</v>
      </c>
      <c r="C2989" s="156">
        <f>'Reported burning'!C2995</f>
        <v>0</v>
      </c>
      <c r="D2989" s="156">
        <f>'Reported burning'!D2995</f>
        <v>0</v>
      </c>
      <c r="E2989" s="156">
        <f>'Reported burning'!E2995</f>
        <v>0</v>
      </c>
      <c r="F2989" s="156">
        <f>'Reported burning'!F2995</f>
        <v>0</v>
      </c>
      <c r="G2989" s="156">
        <f>'Reported burning'!G2995</f>
        <v>0</v>
      </c>
      <c r="H2989" s="156">
        <f>'Reported burning'!H2995</f>
        <v>0</v>
      </c>
      <c r="I2989" s="5"/>
    </row>
    <row r="2990" spans="1:9">
      <c r="A2990" s="156">
        <f>'Reported burning'!A2996</f>
        <v>0</v>
      </c>
      <c r="B2990" s="156">
        <f>'Reported burning'!B2996</f>
        <v>0</v>
      </c>
      <c r="C2990" s="156">
        <f>'Reported burning'!C2996</f>
        <v>0</v>
      </c>
      <c r="D2990" s="156">
        <f>'Reported burning'!D2996</f>
        <v>0</v>
      </c>
      <c r="E2990" s="156">
        <f>'Reported burning'!E2996</f>
        <v>0</v>
      </c>
      <c r="F2990" s="156">
        <f>'Reported burning'!F2996</f>
        <v>0</v>
      </c>
      <c r="G2990" s="156">
        <f>'Reported burning'!G2996</f>
        <v>0</v>
      </c>
      <c r="H2990" s="156">
        <f>'Reported burning'!H2996</f>
        <v>0</v>
      </c>
      <c r="I2990" s="5"/>
    </row>
    <row r="2991" spans="1:9">
      <c r="A2991" s="156">
        <f>'Reported burning'!A2997</f>
        <v>0</v>
      </c>
      <c r="B2991" s="156">
        <f>'Reported burning'!B2997</f>
        <v>0</v>
      </c>
      <c r="C2991" s="156">
        <f>'Reported burning'!C2997</f>
        <v>0</v>
      </c>
      <c r="D2991" s="156">
        <f>'Reported burning'!D2997</f>
        <v>0</v>
      </c>
      <c r="E2991" s="156">
        <f>'Reported burning'!E2997</f>
        <v>0</v>
      </c>
      <c r="F2991" s="156">
        <f>'Reported burning'!F2997</f>
        <v>0</v>
      </c>
      <c r="G2991" s="156">
        <f>'Reported burning'!G2997</f>
        <v>0</v>
      </c>
      <c r="H2991" s="156">
        <f>'Reported burning'!H2997</f>
        <v>0</v>
      </c>
      <c r="I2991" s="5"/>
    </row>
    <row r="2992" spans="1:9">
      <c r="A2992" s="156">
        <f>'Reported burning'!A2998</f>
        <v>0</v>
      </c>
      <c r="B2992" s="156">
        <f>'Reported burning'!B2998</f>
        <v>0</v>
      </c>
      <c r="C2992" s="156">
        <f>'Reported burning'!C2998</f>
        <v>0</v>
      </c>
      <c r="D2992" s="156">
        <f>'Reported burning'!D2998</f>
        <v>0</v>
      </c>
      <c r="E2992" s="156">
        <f>'Reported burning'!E2998</f>
        <v>0</v>
      </c>
      <c r="F2992" s="156">
        <f>'Reported burning'!F2998</f>
        <v>0</v>
      </c>
      <c r="G2992" s="156">
        <f>'Reported burning'!G2998</f>
        <v>0</v>
      </c>
      <c r="H2992" s="156">
        <f>'Reported burning'!H2998</f>
        <v>0</v>
      </c>
      <c r="I2992" s="5"/>
    </row>
    <row r="2993" spans="1:9">
      <c r="A2993" s="156">
        <f>'Reported burning'!A2999</f>
        <v>0</v>
      </c>
      <c r="B2993" s="156">
        <f>'Reported burning'!B2999</f>
        <v>0</v>
      </c>
      <c r="C2993" s="156">
        <f>'Reported burning'!C2999</f>
        <v>0</v>
      </c>
      <c r="D2993" s="156">
        <f>'Reported burning'!D2999</f>
        <v>0</v>
      </c>
      <c r="E2993" s="156">
        <f>'Reported burning'!E2999</f>
        <v>0</v>
      </c>
      <c r="F2993" s="156">
        <f>'Reported burning'!F2999</f>
        <v>0</v>
      </c>
      <c r="G2993" s="156">
        <f>'Reported burning'!G2999</f>
        <v>0</v>
      </c>
      <c r="H2993" s="156">
        <f>'Reported burning'!H2999</f>
        <v>0</v>
      </c>
      <c r="I2993" s="5"/>
    </row>
    <row r="2994" spans="1:9">
      <c r="A2994" s="156">
        <f>'Reported burning'!A3000</f>
        <v>0</v>
      </c>
      <c r="B2994" s="156">
        <f>'Reported burning'!B3000</f>
        <v>0</v>
      </c>
      <c r="C2994" s="156">
        <f>'Reported burning'!C3000</f>
        <v>0</v>
      </c>
      <c r="D2994" s="156">
        <f>'Reported burning'!D3000</f>
        <v>0</v>
      </c>
      <c r="E2994" s="156">
        <f>'Reported burning'!E3000</f>
        <v>0</v>
      </c>
      <c r="F2994" s="156">
        <f>'Reported burning'!F3000</f>
        <v>0</v>
      </c>
      <c r="G2994" s="156">
        <f>'Reported burning'!G3000</f>
        <v>0</v>
      </c>
      <c r="H2994" s="156">
        <f>'Reported burning'!H3000</f>
        <v>0</v>
      </c>
      <c r="I2994" s="5"/>
    </row>
    <row r="2995" spans="1:9">
      <c r="A2995" s="156">
        <f>'Reported burning'!A3001</f>
        <v>0</v>
      </c>
      <c r="B2995" s="156">
        <f>'Reported burning'!B3001</f>
        <v>0</v>
      </c>
      <c r="C2995" s="156">
        <f>'Reported burning'!C3001</f>
        <v>0</v>
      </c>
      <c r="D2995" s="156">
        <f>'Reported burning'!D3001</f>
        <v>0</v>
      </c>
      <c r="E2995" s="156">
        <f>'Reported burning'!E3001</f>
        <v>0</v>
      </c>
      <c r="F2995" s="156">
        <f>'Reported burning'!F3001</f>
        <v>0</v>
      </c>
      <c r="G2995" s="156">
        <f>'Reported burning'!G3001</f>
        <v>0</v>
      </c>
      <c r="H2995" s="156">
        <f>'Reported burning'!H3001</f>
        <v>0</v>
      </c>
      <c r="I2995" s="5"/>
    </row>
    <row r="2996" spans="1:9">
      <c r="A2996" s="156">
        <f>'Reported burning'!A3002</f>
        <v>0</v>
      </c>
      <c r="B2996" s="156">
        <f>'Reported burning'!B3002</f>
        <v>0</v>
      </c>
      <c r="C2996" s="156">
        <f>'Reported burning'!C3002</f>
        <v>0</v>
      </c>
      <c r="D2996" s="156">
        <f>'Reported burning'!D3002</f>
        <v>0</v>
      </c>
      <c r="E2996" s="156">
        <f>'Reported burning'!E3002</f>
        <v>0</v>
      </c>
      <c r="F2996" s="156">
        <f>'Reported burning'!F3002</f>
        <v>0</v>
      </c>
      <c r="G2996" s="156">
        <f>'Reported burning'!G3002</f>
        <v>0</v>
      </c>
      <c r="H2996" s="156">
        <f>'Reported burning'!H3002</f>
        <v>0</v>
      </c>
      <c r="I2996" s="5"/>
    </row>
    <row r="2997" spans="1:9">
      <c r="A2997" s="156">
        <f>'Reported burning'!A3003</f>
        <v>0</v>
      </c>
      <c r="B2997" s="156">
        <f>'Reported burning'!B3003</f>
        <v>0</v>
      </c>
      <c r="C2997" s="156">
        <f>'Reported burning'!C3003</f>
        <v>0</v>
      </c>
      <c r="D2997" s="156">
        <f>'Reported burning'!D3003</f>
        <v>0</v>
      </c>
      <c r="E2997" s="156">
        <f>'Reported burning'!E3003</f>
        <v>0</v>
      </c>
      <c r="F2997" s="156">
        <f>'Reported burning'!F3003</f>
        <v>0</v>
      </c>
      <c r="G2997" s="156">
        <f>'Reported burning'!G3003</f>
        <v>0</v>
      </c>
      <c r="H2997" s="156">
        <f>'Reported burning'!H3003</f>
        <v>0</v>
      </c>
      <c r="I2997" s="5"/>
    </row>
    <row r="2998" spans="1:9">
      <c r="A2998" s="156">
        <f>'Reported burning'!A3004</f>
        <v>0</v>
      </c>
      <c r="B2998" s="156">
        <f>'Reported burning'!B3004</f>
        <v>0</v>
      </c>
      <c r="C2998" s="156">
        <f>'Reported burning'!C3004</f>
        <v>0</v>
      </c>
      <c r="D2998" s="156">
        <f>'Reported burning'!D3004</f>
        <v>0</v>
      </c>
      <c r="E2998" s="156">
        <f>'Reported burning'!E3004</f>
        <v>0</v>
      </c>
      <c r="F2998" s="156">
        <f>'Reported burning'!F3004</f>
        <v>0</v>
      </c>
      <c r="G2998" s="156">
        <f>'Reported burning'!G3004</f>
        <v>0</v>
      </c>
      <c r="H2998" s="156">
        <f>'Reported burning'!H3004</f>
        <v>0</v>
      </c>
      <c r="I2998" s="5"/>
    </row>
    <row r="2999" spans="1:9">
      <c r="A2999" s="156">
        <f>'Reported burning'!A3005</f>
        <v>0</v>
      </c>
      <c r="B2999" s="156">
        <f>'Reported burning'!B3005</f>
        <v>0</v>
      </c>
      <c r="C2999" s="156">
        <f>'Reported burning'!C3005</f>
        <v>0</v>
      </c>
      <c r="D2999" s="156">
        <f>'Reported burning'!D3005</f>
        <v>0</v>
      </c>
      <c r="E2999" s="156">
        <f>'Reported burning'!E3005</f>
        <v>0</v>
      </c>
      <c r="F2999" s="156">
        <f>'Reported burning'!F3005</f>
        <v>0</v>
      </c>
      <c r="G2999" s="156">
        <f>'Reported burning'!G3005</f>
        <v>0</v>
      </c>
      <c r="H2999" s="156">
        <f>'Reported burning'!H3005</f>
        <v>0</v>
      </c>
      <c r="I2999" s="5"/>
    </row>
    <row r="3000" spans="1:9">
      <c r="A3000" s="156">
        <f>'Reported burning'!A3006</f>
        <v>0</v>
      </c>
      <c r="B3000" s="156">
        <f>'Reported burning'!B3006</f>
        <v>0</v>
      </c>
      <c r="C3000" s="156">
        <f>'Reported burning'!C3006</f>
        <v>0</v>
      </c>
      <c r="D3000" s="156">
        <f>'Reported burning'!D3006</f>
        <v>0</v>
      </c>
      <c r="E3000" s="156">
        <f>'Reported burning'!E3006</f>
        <v>0</v>
      </c>
      <c r="F3000" s="156">
        <f>'Reported burning'!F3006</f>
        <v>0</v>
      </c>
      <c r="G3000" s="156">
        <f>'Reported burning'!G3006</f>
        <v>0</v>
      </c>
      <c r="H3000" s="156">
        <f>'Reported burning'!H3006</f>
        <v>0</v>
      </c>
      <c r="I3000" s="5"/>
    </row>
    <row r="3001" spans="1:9">
      <c r="A3001" s="156">
        <f>'Reported burning'!A3007</f>
        <v>0</v>
      </c>
      <c r="B3001" s="156">
        <f>'Reported burning'!B3007</f>
        <v>0</v>
      </c>
      <c r="C3001" s="156">
        <f>'Reported burning'!C3007</f>
        <v>0</v>
      </c>
      <c r="D3001" s="156">
        <f>'Reported burning'!D3007</f>
        <v>0</v>
      </c>
      <c r="E3001" s="156">
        <f>'Reported burning'!E3007</f>
        <v>0</v>
      </c>
      <c r="F3001" s="156">
        <f>'Reported burning'!F3007</f>
        <v>0</v>
      </c>
      <c r="G3001" s="156">
        <f>'Reported burning'!G3007</f>
        <v>0</v>
      </c>
      <c r="H3001" s="156">
        <f>'Reported burning'!H3007</f>
        <v>0</v>
      </c>
      <c r="I3001" s="5"/>
    </row>
    <row r="3002" spans="1:9">
      <c r="A3002" s="156">
        <f>'Reported burning'!A3008</f>
        <v>0</v>
      </c>
      <c r="B3002" s="156">
        <f>'Reported burning'!B3008</f>
        <v>0</v>
      </c>
      <c r="C3002" s="156">
        <f>'Reported burning'!C3008</f>
        <v>0</v>
      </c>
      <c r="D3002" s="156">
        <f>'Reported burning'!D3008</f>
        <v>0</v>
      </c>
      <c r="E3002" s="156">
        <f>'Reported burning'!E3008</f>
        <v>0</v>
      </c>
      <c r="F3002" s="156">
        <f>'Reported burning'!F3008</f>
        <v>0</v>
      </c>
      <c r="G3002" s="156">
        <f>'Reported burning'!G3008</f>
        <v>0</v>
      </c>
      <c r="H3002" s="156">
        <f>'Reported burning'!H3008</f>
        <v>0</v>
      </c>
      <c r="I3002" s="5"/>
    </row>
    <row r="3003" spans="1:9">
      <c r="A3003" s="156">
        <f>'Reported burning'!A3009</f>
        <v>0</v>
      </c>
      <c r="B3003" s="156">
        <f>'Reported burning'!B3009</f>
        <v>0</v>
      </c>
      <c r="C3003" s="156">
        <f>'Reported burning'!C3009</f>
        <v>0</v>
      </c>
      <c r="D3003" s="156">
        <f>'Reported burning'!D3009</f>
        <v>0</v>
      </c>
      <c r="E3003" s="156">
        <f>'Reported burning'!E3009</f>
        <v>0</v>
      </c>
      <c r="F3003" s="156">
        <f>'Reported burning'!F3009</f>
        <v>0</v>
      </c>
      <c r="G3003" s="156">
        <f>'Reported burning'!G3009</f>
        <v>0</v>
      </c>
      <c r="H3003" s="156">
        <f>'Reported burning'!H3009</f>
        <v>0</v>
      </c>
      <c r="I3003" s="5"/>
    </row>
    <row r="3004" spans="1:9">
      <c r="A3004" s="156">
        <f>'Reported burning'!A3010</f>
        <v>0</v>
      </c>
      <c r="B3004" s="156">
        <f>'Reported burning'!B3010</f>
        <v>0</v>
      </c>
      <c r="C3004" s="156">
        <f>'Reported burning'!C3010</f>
        <v>0</v>
      </c>
      <c r="D3004" s="156">
        <f>'Reported burning'!D3010</f>
        <v>0</v>
      </c>
      <c r="E3004" s="156">
        <f>'Reported burning'!E3010</f>
        <v>0</v>
      </c>
      <c r="F3004" s="156">
        <f>'Reported burning'!F3010</f>
        <v>0</v>
      </c>
      <c r="G3004" s="156">
        <f>'Reported burning'!G3010</f>
        <v>0</v>
      </c>
      <c r="H3004" s="156">
        <f>'Reported burning'!H3010</f>
        <v>0</v>
      </c>
      <c r="I3004" s="5"/>
    </row>
    <row r="3005" spans="1:9">
      <c r="A3005" s="156">
        <f>'Reported burning'!A3011</f>
        <v>0</v>
      </c>
      <c r="B3005" s="156">
        <f>'Reported burning'!B3011</f>
        <v>0</v>
      </c>
      <c r="C3005" s="156">
        <f>'Reported burning'!C3011</f>
        <v>0</v>
      </c>
      <c r="D3005" s="156">
        <f>'Reported burning'!D3011</f>
        <v>0</v>
      </c>
      <c r="E3005" s="156">
        <f>'Reported burning'!E3011</f>
        <v>0</v>
      </c>
      <c r="F3005" s="156">
        <f>'Reported burning'!F3011</f>
        <v>0</v>
      </c>
      <c r="G3005" s="156">
        <f>'Reported burning'!G3011</f>
        <v>0</v>
      </c>
      <c r="H3005" s="156">
        <f>'Reported burning'!H3011</f>
        <v>0</v>
      </c>
      <c r="I3005" s="5"/>
    </row>
    <row r="3006" spans="1:9">
      <c r="A3006" s="156">
        <f>'Reported burning'!A3012</f>
        <v>0</v>
      </c>
      <c r="B3006" s="156">
        <f>'Reported burning'!B3012</f>
        <v>0</v>
      </c>
      <c r="C3006" s="156">
        <f>'Reported burning'!C3012</f>
        <v>0</v>
      </c>
      <c r="D3006" s="156">
        <f>'Reported burning'!D3012</f>
        <v>0</v>
      </c>
      <c r="E3006" s="156">
        <f>'Reported burning'!E3012</f>
        <v>0</v>
      </c>
      <c r="F3006" s="156">
        <f>'Reported burning'!F3012</f>
        <v>0</v>
      </c>
      <c r="G3006" s="156">
        <f>'Reported burning'!G3012</f>
        <v>0</v>
      </c>
      <c r="H3006" s="156">
        <f>'Reported burning'!H3012</f>
        <v>0</v>
      </c>
      <c r="I3006" s="5"/>
    </row>
    <row r="3007" spans="1:9">
      <c r="A3007" s="156">
        <f>'Reported burning'!A3013</f>
        <v>0</v>
      </c>
      <c r="B3007" s="156">
        <f>'Reported burning'!B3013</f>
        <v>0</v>
      </c>
      <c r="C3007" s="156">
        <f>'Reported burning'!C3013</f>
        <v>0</v>
      </c>
      <c r="D3007" s="156">
        <f>'Reported burning'!D3013</f>
        <v>0</v>
      </c>
      <c r="E3007" s="156">
        <f>'Reported burning'!E3013</f>
        <v>0</v>
      </c>
      <c r="F3007" s="156">
        <f>'Reported burning'!F3013</f>
        <v>0</v>
      </c>
      <c r="G3007" s="156">
        <f>'Reported burning'!G3013</f>
        <v>0</v>
      </c>
      <c r="H3007" s="156">
        <f>'Reported burning'!H3013</f>
        <v>0</v>
      </c>
      <c r="I3007" s="5"/>
    </row>
    <row r="3008" spans="1:9">
      <c r="A3008" s="156">
        <f>'Reported burning'!A3014</f>
        <v>0</v>
      </c>
      <c r="B3008" s="156">
        <f>'Reported burning'!B3014</f>
        <v>0</v>
      </c>
      <c r="C3008" s="156">
        <f>'Reported burning'!C3014</f>
        <v>0</v>
      </c>
      <c r="D3008" s="156">
        <f>'Reported burning'!D3014</f>
        <v>0</v>
      </c>
      <c r="E3008" s="156">
        <f>'Reported burning'!E3014</f>
        <v>0</v>
      </c>
      <c r="F3008" s="156">
        <f>'Reported burning'!F3014</f>
        <v>0</v>
      </c>
      <c r="G3008" s="156">
        <f>'Reported burning'!G3014</f>
        <v>0</v>
      </c>
      <c r="H3008" s="156">
        <f>'Reported burning'!H3014</f>
        <v>0</v>
      </c>
      <c r="I3008" s="5"/>
    </row>
    <row r="3009" spans="1:9">
      <c r="A3009" s="156">
        <f>'Reported burning'!A3015</f>
        <v>0</v>
      </c>
      <c r="B3009" s="156">
        <f>'Reported burning'!B3015</f>
        <v>0</v>
      </c>
      <c r="C3009" s="156">
        <f>'Reported burning'!C3015</f>
        <v>0</v>
      </c>
      <c r="D3009" s="156">
        <f>'Reported burning'!D3015</f>
        <v>0</v>
      </c>
      <c r="E3009" s="156">
        <f>'Reported burning'!E3015</f>
        <v>0</v>
      </c>
      <c r="F3009" s="156">
        <f>'Reported burning'!F3015</f>
        <v>0</v>
      </c>
      <c r="G3009" s="156">
        <f>'Reported burning'!G3015</f>
        <v>0</v>
      </c>
      <c r="H3009" s="156">
        <f>'Reported burning'!H3015</f>
        <v>0</v>
      </c>
      <c r="I3009" s="5"/>
    </row>
    <row r="3010" spans="1:9">
      <c r="A3010" s="156">
        <f>'Reported burning'!A3016</f>
        <v>0</v>
      </c>
      <c r="B3010" s="156">
        <f>'Reported burning'!B3016</f>
        <v>0</v>
      </c>
      <c r="C3010" s="156">
        <f>'Reported burning'!C3016</f>
        <v>0</v>
      </c>
      <c r="D3010" s="156">
        <f>'Reported burning'!D3016</f>
        <v>0</v>
      </c>
      <c r="E3010" s="156">
        <f>'Reported burning'!E3016</f>
        <v>0</v>
      </c>
      <c r="F3010" s="156">
        <f>'Reported burning'!F3016</f>
        <v>0</v>
      </c>
      <c r="G3010" s="156">
        <f>'Reported burning'!G3016</f>
        <v>0</v>
      </c>
      <c r="H3010" s="156">
        <f>'Reported burning'!H3016</f>
        <v>0</v>
      </c>
      <c r="I3010" s="5"/>
    </row>
    <row r="3011" spans="1:9">
      <c r="A3011" s="156">
        <f>'Reported burning'!A3017</f>
        <v>0</v>
      </c>
      <c r="B3011" s="156">
        <f>'Reported burning'!B3017</f>
        <v>0</v>
      </c>
      <c r="C3011" s="156">
        <f>'Reported burning'!C3017</f>
        <v>0</v>
      </c>
      <c r="D3011" s="156">
        <f>'Reported burning'!D3017</f>
        <v>0</v>
      </c>
      <c r="E3011" s="156">
        <f>'Reported burning'!E3017</f>
        <v>0</v>
      </c>
      <c r="F3011" s="156">
        <f>'Reported burning'!F3017</f>
        <v>0</v>
      </c>
      <c r="G3011" s="156">
        <f>'Reported burning'!G3017</f>
        <v>0</v>
      </c>
      <c r="H3011" s="156">
        <f>'Reported burning'!H3017</f>
        <v>0</v>
      </c>
      <c r="I3011" s="5"/>
    </row>
    <row r="3012" spans="1:9">
      <c r="A3012" s="156">
        <f>'Reported burning'!A3018</f>
        <v>0</v>
      </c>
      <c r="B3012" s="156">
        <f>'Reported burning'!B3018</f>
        <v>0</v>
      </c>
      <c r="C3012" s="156">
        <f>'Reported burning'!C3018</f>
        <v>0</v>
      </c>
      <c r="D3012" s="156">
        <f>'Reported burning'!D3018</f>
        <v>0</v>
      </c>
      <c r="E3012" s="156">
        <f>'Reported burning'!E3018</f>
        <v>0</v>
      </c>
      <c r="F3012" s="156">
        <f>'Reported burning'!F3018</f>
        <v>0</v>
      </c>
      <c r="G3012" s="156">
        <f>'Reported burning'!G3018</f>
        <v>0</v>
      </c>
      <c r="H3012" s="156">
        <f>'Reported burning'!H3018</f>
        <v>0</v>
      </c>
      <c r="I3012" s="5"/>
    </row>
    <row r="3013" spans="1:9">
      <c r="A3013" s="156">
        <f>'Reported burning'!A3019</f>
        <v>0</v>
      </c>
      <c r="B3013" s="156">
        <f>'Reported burning'!B3019</f>
        <v>0</v>
      </c>
      <c r="C3013" s="156">
        <f>'Reported burning'!C3019</f>
        <v>0</v>
      </c>
      <c r="D3013" s="156">
        <f>'Reported burning'!D3019</f>
        <v>0</v>
      </c>
      <c r="E3013" s="156">
        <f>'Reported burning'!E3019</f>
        <v>0</v>
      </c>
      <c r="F3013" s="156">
        <f>'Reported burning'!F3019</f>
        <v>0</v>
      </c>
      <c r="G3013" s="156">
        <f>'Reported burning'!G3019</f>
        <v>0</v>
      </c>
      <c r="H3013" s="156">
        <f>'Reported burning'!H3019</f>
        <v>0</v>
      </c>
      <c r="I3013" s="5"/>
    </row>
    <row r="3014" spans="1:9">
      <c r="A3014" s="156">
        <f>'Reported burning'!A3020</f>
        <v>0</v>
      </c>
      <c r="B3014" s="156">
        <f>'Reported burning'!B3020</f>
        <v>0</v>
      </c>
      <c r="C3014" s="156">
        <f>'Reported burning'!C3020</f>
        <v>0</v>
      </c>
      <c r="D3014" s="156">
        <f>'Reported burning'!D3020</f>
        <v>0</v>
      </c>
      <c r="E3014" s="156">
        <f>'Reported burning'!E3020</f>
        <v>0</v>
      </c>
      <c r="F3014" s="156">
        <f>'Reported burning'!F3020</f>
        <v>0</v>
      </c>
      <c r="G3014" s="156">
        <f>'Reported burning'!G3020</f>
        <v>0</v>
      </c>
      <c r="H3014" s="156">
        <f>'Reported burning'!H3020</f>
        <v>0</v>
      </c>
      <c r="I3014" s="5"/>
    </row>
    <row r="3015" spans="1:9">
      <c r="A3015" s="156">
        <f>'Reported burning'!A3021</f>
        <v>0</v>
      </c>
      <c r="B3015" s="156">
        <f>'Reported burning'!B3021</f>
        <v>0</v>
      </c>
      <c r="C3015" s="156">
        <f>'Reported burning'!C3021</f>
        <v>0</v>
      </c>
      <c r="D3015" s="156">
        <f>'Reported burning'!D3021</f>
        <v>0</v>
      </c>
      <c r="E3015" s="156">
        <f>'Reported burning'!E3021</f>
        <v>0</v>
      </c>
      <c r="F3015" s="156">
        <f>'Reported burning'!F3021</f>
        <v>0</v>
      </c>
      <c r="G3015" s="156">
        <f>'Reported burning'!G3021</f>
        <v>0</v>
      </c>
      <c r="H3015" s="156">
        <f>'Reported burning'!H3021</f>
        <v>0</v>
      </c>
      <c r="I3015" s="5"/>
    </row>
    <row r="3016" spans="1:9">
      <c r="A3016" s="156">
        <f>'Reported burning'!A3022</f>
        <v>0</v>
      </c>
      <c r="B3016" s="156">
        <f>'Reported burning'!B3022</f>
        <v>0</v>
      </c>
      <c r="C3016" s="156">
        <f>'Reported burning'!C3022</f>
        <v>0</v>
      </c>
      <c r="D3016" s="156">
        <f>'Reported burning'!D3022</f>
        <v>0</v>
      </c>
      <c r="E3016" s="156">
        <f>'Reported burning'!E3022</f>
        <v>0</v>
      </c>
      <c r="F3016" s="156">
        <f>'Reported burning'!F3022</f>
        <v>0</v>
      </c>
      <c r="G3016" s="156">
        <f>'Reported burning'!G3022</f>
        <v>0</v>
      </c>
      <c r="H3016" s="156">
        <f>'Reported burning'!H3022</f>
        <v>0</v>
      </c>
      <c r="I3016" s="5"/>
    </row>
    <row r="3017" spans="1:9">
      <c r="A3017" s="156">
        <f>'Reported burning'!A3023</f>
        <v>0</v>
      </c>
      <c r="B3017" s="156">
        <f>'Reported burning'!B3023</f>
        <v>0</v>
      </c>
      <c r="C3017" s="156">
        <f>'Reported burning'!C3023</f>
        <v>0</v>
      </c>
      <c r="D3017" s="156">
        <f>'Reported burning'!D3023</f>
        <v>0</v>
      </c>
      <c r="E3017" s="156">
        <f>'Reported burning'!E3023</f>
        <v>0</v>
      </c>
      <c r="F3017" s="156">
        <f>'Reported burning'!F3023</f>
        <v>0</v>
      </c>
      <c r="G3017" s="156">
        <f>'Reported burning'!G3023</f>
        <v>0</v>
      </c>
      <c r="H3017" s="156">
        <f>'Reported burning'!H3023</f>
        <v>0</v>
      </c>
      <c r="I3017" s="5"/>
    </row>
    <row r="3018" spans="1:9">
      <c r="A3018" s="156">
        <f>'Reported burning'!A3024</f>
        <v>0</v>
      </c>
      <c r="B3018" s="156">
        <f>'Reported burning'!B3024</f>
        <v>0</v>
      </c>
      <c r="C3018" s="156">
        <f>'Reported burning'!C3024</f>
        <v>0</v>
      </c>
      <c r="D3018" s="156">
        <f>'Reported burning'!D3024</f>
        <v>0</v>
      </c>
      <c r="E3018" s="156">
        <f>'Reported burning'!E3024</f>
        <v>0</v>
      </c>
      <c r="F3018" s="156">
        <f>'Reported burning'!F3024</f>
        <v>0</v>
      </c>
      <c r="G3018" s="156">
        <f>'Reported burning'!G3024</f>
        <v>0</v>
      </c>
      <c r="H3018" s="156">
        <f>'Reported burning'!H3024</f>
        <v>0</v>
      </c>
      <c r="I3018" s="5"/>
    </row>
    <row r="3019" spans="1:9">
      <c r="A3019" s="156">
        <f>'Reported burning'!A3025</f>
        <v>0</v>
      </c>
      <c r="B3019" s="156">
        <f>'Reported burning'!B3025</f>
        <v>0</v>
      </c>
      <c r="C3019" s="156">
        <f>'Reported burning'!C3025</f>
        <v>0</v>
      </c>
      <c r="D3019" s="156">
        <f>'Reported burning'!D3025</f>
        <v>0</v>
      </c>
      <c r="E3019" s="156">
        <f>'Reported burning'!E3025</f>
        <v>0</v>
      </c>
      <c r="F3019" s="156">
        <f>'Reported burning'!F3025</f>
        <v>0</v>
      </c>
      <c r="G3019" s="156">
        <f>'Reported burning'!G3025</f>
        <v>0</v>
      </c>
      <c r="H3019" s="156">
        <f>'Reported burning'!H3025</f>
        <v>0</v>
      </c>
      <c r="I3019" s="5"/>
    </row>
    <row r="3020" spans="1:9">
      <c r="A3020" s="156">
        <f>'Reported burning'!A3026</f>
        <v>0</v>
      </c>
      <c r="B3020" s="156">
        <f>'Reported burning'!B3026</f>
        <v>0</v>
      </c>
      <c r="C3020" s="156">
        <f>'Reported burning'!C3026</f>
        <v>0</v>
      </c>
      <c r="D3020" s="156">
        <f>'Reported burning'!D3026</f>
        <v>0</v>
      </c>
      <c r="E3020" s="156">
        <f>'Reported burning'!E3026</f>
        <v>0</v>
      </c>
      <c r="F3020" s="156">
        <f>'Reported burning'!F3026</f>
        <v>0</v>
      </c>
      <c r="G3020" s="156">
        <f>'Reported burning'!G3026</f>
        <v>0</v>
      </c>
      <c r="H3020" s="156">
        <f>'Reported burning'!H3026</f>
        <v>0</v>
      </c>
      <c r="I3020" s="5"/>
    </row>
    <row r="3021" spans="1:9">
      <c r="A3021" s="156">
        <f>'Reported burning'!A3027</f>
        <v>0</v>
      </c>
      <c r="B3021" s="156">
        <f>'Reported burning'!B3027</f>
        <v>0</v>
      </c>
      <c r="C3021" s="156">
        <f>'Reported burning'!C3027</f>
        <v>0</v>
      </c>
      <c r="D3021" s="156">
        <f>'Reported burning'!D3027</f>
        <v>0</v>
      </c>
      <c r="E3021" s="156">
        <f>'Reported burning'!E3027</f>
        <v>0</v>
      </c>
      <c r="F3021" s="156">
        <f>'Reported burning'!F3027</f>
        <v>0</v>
      </c>
      <c r="G3021" s="156">
        <f>'Reported burning'!G3027</f>
        <v>0</v>
      </c>
      <c r="H3021" s="156">
        <f>'Reported burning'!H3027</f>
        <v>0</v>
      </c>
      <c r="I3021" s="5"/>
    </row>
    <row r="3022" spans="1:9">
      <c r="A3022" s="156">
        <f>'Reported burning'!A3028</f>
        <v>0</v>
      </c>
      <c r="B3022" s="156">
        <f>'Reported burning'!B3028</f>
        <v>0</v>
      </c>
      <c r="C3022" s="156">
        <f>'Reported burning'!C3028</f>
        <v>0</v>
      </c>
      <c r="D3022" s="156">
        <f>'Reported burning'!D3028</f>
        <v>0</v>
      </c>
      <c r="E3022" s="156">
        <f>'Reported burning'!E3028</f>
        <v>0</v>
      </c>
      <c r="F3022" s="156">
        <f>'Reported burning'!F3028</f>
        <v>0</v>
      </c>
      <c r="G3022" s="156">
        <f>'Reported burning'!G3028</f>
        <v>0</v>
      </c>
      <c r="H3022" s="156">
        <f>'Reported burning'!H3028</f>
        <v>0</v>
      </c>
      <c r="I3022" s="5"/>
    </row>
    <row r="3023" spans="1:9">
      <c r="A3023" s="156">
        <f>'Reported burning'!A3029</f>
        <v>0</v>
      </c>
      <c r="B3023" s="156">
        <f>'Reported burning'!B3029</f>
        <v>0</v>
      </c>
      <c r="C3023" s="156">
        <f>'Reported burning'!C3029</f>
        <v>0</v>
      </c>
      <c r="D3023" s="156">
        <f>'Reported burning'!D3029</f>
        <v>0</v>
      </c>
      <c r="E3023" s="156">
        <f>'Reported burning'!E3029</f>
        <v>0</v>
      </c>
      <c r="F3023" s="156">
        <f>'Reported burning'!F3029</f>
        <v>0</v>
      </c>
      <c r="G3023" s="156">
        <f>'Reported burning'!G3029</f>
        <v>0</v>
      </c>
      <c r="H3023" s="156">
        <f>'Reported burning'!H3029</f>
        <v>0</v>
      </c>
      <c r="I3023" s="5"/>
    </row>
    <row r="3024" spans="1:9">
      <c r="A3024" s="156">
        <f>'Reported burning'!A3030</f>
        <v>0</v>
      </c>
      <c r="B3024" s="156">
        <f>'Reported burning'!B3030</f>
        <v>0</v>
      </c>
      <c r="C3024" s="156">
        <f>'Reported burning'!C3030</f>
        <v>0</v>
      </c>
      <c r="D3024" s="156">
        <f>'Reported burning'!D3030</f>
        <v>0</v>
      </c>
      <c r="E3024" s="156">
        <f>'Reported burning'!E3030</f>
        <v>0</v>
      </c>
      <c r="F3024" s="156">
        <f>'Reported burning'!F3030</f>
        <v>0</v>
      </c>
      <c r="G3024" s="156">
        <f>'Reported burning'!G3030</f>
        <v>0</v>
      </c>
      <c r="H3024" s="156">
        <f>'Reported burning'!H3030</f>
        <v>0</v>
      </c>
      <c r="I3024" s="5"/>
    </row>
    <row r="3025" spans="1:9">
      <c r="A3025" s="156">
        <f>'Reported burning'!A3031</f>
        <v>0</v>
      </c>
      <c r="B3025" s="156">
        <f>'Reported burning'!B3031</f>
        <v>0</v>
      </c>
      <c r="C3025" s="156">
        <f>'Reported burning'!C3031</f>
        <v>0</v>
      </c>
      <c r="D3025" s="156">
        <f>'Reported burning'!D3031</f>
        <v>0</v>
      </c>
      <c r="E3025" s="156">
        <f>'Reported burning'!E3031</f>
        <v>0</v>
      </c>
      <c r="F3025" s="156">
        <f>'Reported burning'!F3031</f>
        <v>0</v>
      </c>
      <c r="G3025" s="156">
        <f>'Reported burning'!G3031</f>
        <v>0</v>
      </c>
      <c r="H3025" s="156">
        <f>'Reported burning'!H3031</f>
        <v>0</v>
      </c>
      <c r="I3025" s="5"/>
    </row>
    <row r="3026" spans="1:9">
      <c r="A3026" s="156">
        <f>'Reported burning'!A3032</f>
        <v>0</v>
      </c>
      <c r="B3026" s="156">
        <f>'Reported burning'!B3032</f>
        <v>0</v>
      </c>
      <c r="C3026" s="156">
        <f>'Reported burning'!C3032</f>
        <v>0</v>
      </c>
      <c r="D3026" s="156">
        <f>'Reported burning'!D3032</f>
        <v>0</v>
      </c>
      <c r="E3026" s="156">
        <f>'Reported burning'!E3032</f>
        <v>0</v>
      </c>
      <c r="F3026" s="156">
        <f>'Reported burning'!F3032</f>
        <v>0</v>
      </c>
      <c r="G3026" s="156">
        <f>'Reported burning'!G3032</f>
        <v>0</v>
      </c>
      <c r="H3026" s="156">
        <f>'Reported burning'!H3032</f>
        <v>0</v>
      </c>
      <c r="I3026" s="5"/>
    </row>
    <row r="3027" spans="1:9">
      <c r="A3027" s="156">
        <f>'Reported burning'!A3033</f>
        <v>0</v>
      </c>
      <c r="B3027" s="156">
        <f>'Reported burning'!B3033</f>
        <v>0</v>
      </c>
      <c r="C3027" s="156">
        <f>'Reported burning'!C3033</f>
        <v>0</v>
      </c>
      <c r="D3027" s="156">
        <f>'Reported burning'!D3033</f>
        <v>0</v>
      </c>
      <c r="E3027" s="156">
        <f>'Reported burning'!E3033</f>
        <v>0</v>
      </c>
      <c r="F3027" s="156">
        <f>'Reported burning'!F3033</f>
        <v>0</v>
      </c>
      <c r="G3027" s="156">
        <f>'Reported burning'!G3033</f>
        <v>0</v>
      </c>
      <c r="H3027" s="156">
        <f>'Reported burning'!H3033</f>
        <v>0</v>
      </c>
      <c r="I3027" s="5"/>
    </row>
    <row r="3028" spans="1:9">
      <c r="A3028" s="156">
        <f>'Reported burning'!A3034</f>
        <v>0</v>
      </c>
      <c r="B3028" s="156">
        <f>'Reported burning'!B3034</f>
        <v>0</v>
      </c>
      <c r="C3028" s="156">
        <f>'Reported burning'!C3034</f>
        <v>0</v>
      </c>
      <c r="D3028" s="156">
        <f>'Reported burning'!D3034</f>
        <v>0</v>
      </c>
      <c r="E3028" s="156">
        <f>'Reported burning'!E3034</f>
        <v>0</v>
      </c>
      <c r="F3028" s="156">
        <f>'Reported burning'!F3034</f>
        <v>0</v>
      </c>
      <c r="G3028" s="156">
        <f>'Reported burning'!G3034</f>
        <v>0</v>
      </c>
      <c r="H3028" s="156">
        <f>'Reported burning'!H3034</f>
        <v>0</v>
      </c>
      <c r="I3028" s="5"/>
    </row>
    <row r="3029" spans="1:9">
      <c r="A3029" s="156">
        <f>'Reported burning'!A3035</f>
        <v>0</v>
      </c>
      <c r="B3029" s="156">
        <f>'Reported burning'!B3035</f>
        <v>0</v>
      </c>
      <c r="C3029" s="156">
        <f>'Reported burning'!C3035</f>
        <v>0</v>
      </c>
      <c r="D3029" s="156">
        <f>'Reported burning'!D3035</f>
        <v>0</v>
      </c>
      <c r="E3029" s="156">
        <f>'Reported burning'!E3035</f>
        <v>0</v>
      </c>
      <c r="F3029" s="156">
        <f>'Reported burning'!F3035</f>
        <v>0</v>
      </c>
      <c r="G3029" s="156">
        <f>'Reported burning'!G3035</f>
        <v>0</v>
      </c>
      <c r="H3029" s="156">
        <f>'Reported burning'!H3035</f>
        <v>0</v>
      </c>
      <c r="I3029" s="5"/>
    </row>
    <row r="3030" spans="1:9">
      <c r="A3030" s="156">
        <f>'Reported burning'!A3036</f>
        <v>0</v>
      </c>
      <c r="B3030" s="156">
        <f>'Reported burning'!B3036</f>
        <v>0</v>
      </c>
      <c r="C3030" s="156">
        <f>'Reported burning'!C3036</f>
        <v>0</v>
      </c>
      <c r="D3030" s="156">
        <f>'Reported burning'!D3036</f>
        <v>0</v>
      </c>
      <c r="E3030" s="156">
        <f>'Reported burning'!E3036</f>
        <v>0</v>
      </c>
      <c r="F3030" s="156">
        <f>'Reported burning'!F3036</f>
        <v>0</v>
      </c>
      <c r="G3030" s="156">
        <f>'Reported burning'!G3036</f>
        <v>0</v>
      </c>
      <c r="H3030" s="156">
        <f>'Reported burning'!H3036</f>
        <v>0</v>
      </c>
      <c r="I3030" s="5"/>
    </row>
    <row r="3031" spans="1:9">
      <c r="A3031" s="156">
        <f>'Reported burning'!A3037</f>
        <v>0</v>
      </c>
      <c r="B3031" s="156">
        <f>'Reported burning'!B3037</f>
        <v>0</v>
      </c>
      <c r="C3031" s="156">
        <f>'Reported burning'!C3037</f>
        <v>0</v>
      </c>
      <c r="D3031" s="156">
        <f>'Reported burning'!D3037</f>
        <v>0</v>
      </c>
      <c r="E3031" s="156">
        <f>'Reported burning'!E3037</f>
        <v>0</v>
      </c>
      <c r="F3031" s="156">
        <f>'Reported burning'!F3037</f>
        <v>0</v>
      </c>
      <c r="G3031" s="156">
        <f>'Reported burning'!G3037</f>
        <v>0</v>
      </c>
      <c r="H3031" s="156">
        <f>'Reported burning'!H3037</f>
        <v>0</v>
      </c>
      <c r="I3031" s="5"/>
    </row>
    <row r="3032" spans="1:9">
      <c r="A3032" s="156">
        <f>'Reported burning'!A3038</f>
        <v>0</v>
      </c>
      <c r="B3032" s="156">
        <f>'Reported burning'!B3038</f>
        <v>0</v>
      </c>
      <c r="C3032" s="156">
        <f>'Reported burning'!C3038</f>
        <v>0</v>
      </c>
      <c r="D3032" s="156">
        <f>'Reported burning'!D3038</f>
        <v>0</v>
      </c>
      <c r="E3032" s="156">
        <f>'Reported burning'!E3038</f>
        <v>0</v>
      </c>
      <c r="F3032" s="156">
        <f>'Reported burning'!F3038</f>
        <v>0</v>
      </c>
      <c r="G3032" s="156">
        <f>'Reported burning'!G3038</f>
        <v>0</v>
      </c>
      <c r="H3032" s="156">
        <f>'Reported burning'!H3038</f>
        <v>0</v>
      </c>
      <c r="I3032" s="5"/>
    </row>
    <row r="3033" spans="1:9">
      <c r="A3033" s="156">
        <f>'Reported burning'!A3039</f>
        <v>0</v>
      </c>
      <c r="B3033" s="156">
        <f>'Reported burning'!B3039</f>
        <v>0</v>
      </c>
      <c r="C3033" s="156">
        <f>'Reported burning'!C3039</f>
        <v>0</v>
      </c>
      <c r="D3033" s="156">
        <f>'Reported burning'!D3039</f>
        <v>0</v>
      </c>
      <c r="E3033" s="156">
        <f>'Reported burning'!E3039</f>
        <v>0</v>
      </c>
      <c r="F3033" s="156">
        <f>'Reported burning'!F3039</f>
        <v>0</v>
      </c>
      <c r="G3033" s="156">
        <f>'Reported burning'!G3039</f>
        <v>0</v>
      </c>
      <c r="H3033" s="156">
        <f>'Reported burning'!H3039</f>
        <v>0</v>
      </c>
      <c r="I3033" s="5"/>
    </row>
    <row r="3034" spans="1:9">
      <c r="A3034" s="156">
        <f>'Reported burning'!A3040</f>
        <v>0</v>
      </c>
      <c r="B3034" s="156">
        <f>'Reported burning'!B3040</f>
        <v>0</v>
      </c>
      <c r="C3034" s="156">
        <f>'Reported burning'!C3040</f>
        <v>0</v>
      </c>
      <c r="D3034" s="156">
        <f>'Reported burning'!D3040</f>
        <v>0</v>
      </c>
      <c r="E3034" s="156">
        <f>'Reported burning'!E3040</f>
        <v>0</v>
      </c>
      <c r="F3034" s="156">
        <f>'Reported burning'!F3040</f>
        <v>0</v>
      </c>
      <c r="G3034" s="156">
        <f>'Reported burning'!G3040</f>
        <v>0</v>
      </c>
      <c r="H3034" s="156">
        <f>'Reported burning'!H3040</f>
        <v>0</v>
      </c>
      <c r="I3034" s="5"/>
    </row>
    <row r="3035" spans="1:9">
      <c r="A3035" s="156">
        <f>'Reported burning'!A3041</f>
        <v>0</v>
      </c>
      <c r="B3035" s="156">
        <f>'Reported burning'!B3041</f>
        <v>0</v>
      </c>
      <c r="C3035" s="156">
        <f>'Reported burning'!C3041</f>
        <v>0</v>
      </c>
      <c r="D3035" s="156">
        <f>'Reported burning'!D3041</f>
        <v>0</v>
      </c>
      <c r="E3035" s="156">
        <f>'Reported burning'!E3041</f>
        <v>0</v>
      </c>
      <c r="F3035" s="156">
        <f>'Reported burning'!F3041</f>
        <v>0</v>
      </c>
      <c r="G3035" s="156">
        <f>'Reported burning'!G3041</f>
        <v>0</v>
      </c>
      <c r="H3035" s="156">
        <f>'Reported burning'!H3041</f>
        <v>0</v>
      </c>
      <c r="I3035" s="5"/>
    </row>
    <row r="3036" spans="1:9">
      <c r="A3036" s="156">
        <f>'Reported burning'!A3042</f>
        <v>0</v>
      </c>
      <c r="B3036" s="156">
        <f>'Reported burning'!B3042</f>
        <v>0</v>
      </c>
      <c r="C3036" s="156">
        <f>'Reported burning'!C3042</f>
        <v>0</v>
      </c>
      <c r="D3036" s="156">
        <f>'Reported burning'!D3042</f>
        <v>0</v>
      </c>
      <c r="E3036" s="156">
        <f>'Reported burning'!E3042</f>
        <v>0</v>
      </c>
      <c r="F3036" s="156">
        <f>'Reported burning'!F3042</f>
        <v>0</v>
      </c>
      <c r="G3036" s="156">
        <f>'Reported burning'!G3042</f>
        <v>0</v>
      </c>
      <c r="H3036" s="156">
        <f>'Reported burning'!H3042</f>
        <v>0</v>
      </c>
      <c r="I3036" s="5"/>
    </row>
    <row r="3037" spans="1:9">
      <c r="A3037" s="156">
        <f>'Reported burning'!A3043</f>
        <v>0</v>
      </c>
      <c r="B3037" s="156">
        <f>'Reported burning'!B3043</f>
        <v>0</v>
      </c>
      <c r="C3037" s="156">
        <f>'Reported burning'!C3043</f>
        <v>0</v>
      </c>
      <c r="D3037" s="156">
        <f>'Reported burning'!D3043</f>
        <v>0</v>
      </c>
      <c r="E3037" s="156">
        <f>'Reported burning'!E3043</f>
        <v>0</v>
      </c>
      <c r="F3037" s="156">
        <f>'Reported burning'!F3043</f>
        <v>0</v>
      </c>
      <c r="G3037" s="156">
        <f>'Reported burning'!G3043</f>
        <v>0</v>
      </c>
      <c r="H3037" s="156">
        <f>'Reported burning'!H3043</f>
        <v>0</v>
      </c>
      <c r="I3037" s="5"/>
    </row>
    <row r="3038" spans="1:9">
      <c r="A3038" s="156">
        <f>'Reported burning'!A3044</f>
        <v>0</v>
      </c>
      <c r="B3038" s="156">
        <f>'Reported burning'!B3044</f>
        <v>0</v>
      </c>
      <c r="C3038" s="156">
        <f>'Reported burning'!C3044</f>
        <v>0</v>
      </c>
      <c r="D3038" s="156">
        <f>'Reported burning'!D3044</f>
        <v>0</v>
      </c>
      <c r="E3038" s="156">
        <f>'Reported burning'!E3044</f>
        <v>0</v>
      </c>
      <c r="F3038" s="156">
        <f>'Reported burning'!F3044</f>
        <v>0</v>
      </c>
      <c r="G3038" s="156">
        <f>'Reported burning'!G3044</f>
        <v>0</v>
      </c>
      <c r="H3038" s="156">
        <f>'Reported burning'!H3044</f>
        <v>0</v>
      </c>
      <c r="I3038" s="5"/>
    </row>
    <row r="3039" spans="1:9">
      <c r="A3039" s="156">
        <f>'Reported burning'!A3045</f>
        <v>0</v>
      </c>
      <c r="B3039" s="156">
        <f>'Reported burning'!B3045</f>
        <v>0</v>
      </c>
      <c r="C3039" s="156">
        <f>'Reported burning'!C3045</f>
        <v>0</v>
      </c>
      <c r="D3039" s="156">
        <f>'Reported burning'!D3045</f>
        <v>0</v>
      </c>
      <c r="E3039" s="156">
        <f>'Reported burning'!E3045</f>
        <v>0</v>
      </c>
      <c r="F3039" s="156">
        <f>'Reported burning'!F3045</f>
        <v>0</v>
      </c>
      <c r="G3039" s="156">
        <f>'Reported burning'!G3045</f>
        <v>0</v>
      </c>
      <c r="H3039" s="156">
        <f>'Reported burning'!H3045</f>
        <v>0</v>
      </c>
      <c r="I3039" s="5"/>
    </row>
    <row r="3040" spans="1:9">
      <c r="A3040" s="156">
        <f>'Reported burning'!A3046</f>
        <v>0</v>
      </c>
      <c r="B3040" s="156">
        <f>'Reported burning'!B3046</f>
        <v>0</v>
      </c>
      <c r="C3040" s="156">
        <f>'Reported burning'!C3046</f>
        <v>0</v>
      </c>
      <c r="D3040" s="156">
        <f>'Reported burning'!D3046</f>
        <v>0</v>
      </c>
      <c r="E3040" s="156">
        <f>'Reported burning'!E3046</f>
        <v>0</v>
      </c>
      <c r="F3040" s="156">
        <f>'Reported burning'!F3046</f>
        <v>0</v>
      </c>
      <c r="G3040" s="156">
        <f>'Reported burning'!G3046</f>
        <v>0</v>
      </c>
      <c r="H3040" s="156">
        <f>'Reported burning'!H3046</f>
        <v>0</v>
      </c>
      <c r="I3040" s="5"/>
    </row>
    <row r="3041" spans="1:9">
      <c r="A3041" s="156">
        <f>'Reported burning'!A3047</f>
        <v>0</v>
      </c>
      <c r="B3041" s="156">
        <f>'Reported burning'!B3047</f>
        <v>0</v>
      </c>
      <c r="C3041" s="156">
        <f>'Reported burning'!C3047</f>
        <v>0</v>
      </c>
      <c r="D3041" s="156">
        <f>'Reported burning'!D3047</f>
        <v>0</v>
      </c>
      <c r="E3041" s="156">
        <f>'Reported burning'!E3047</f>
        <v>0</v>
      </c>
      <c r="F3041" s="156">
        <f>'Reported burning'!F3047</f>
        <v>0</v>
      </c>
      <c r="G3041" s="156">
        <f>'Reported burning'!G3047</f>
        <v>0</v>
      </c>
      <c r="H3041" s="156">
        <f>'Reported burning'!H3047</f>
        <v>0</v>
      </c>
      <c r="I3041" s="5"/>
    </row>
    <row r="3042" spans="1:9">
      <c r="A3042" s="156">
        <f>'Reported burning'!A3048</f>
        <v>0</v>
      </c>
      <c r="B3042" s="156">
        <f>'Reported burning'!B3048</f>
        <v>0</v>
      </c>
      <c r="C3042" s="156">
        <f>'Reported burning'!C3048</f>
        <v>0</v>
      </c>
      <c r="D3042" s="156">
        <f>'Reported burning'!D3048</f>
        <v>0</v>
      </c>
      <c r="E3042" s="156">
        <f>'Reported burning'!E3048</f>
        <v>0</v>
      </c>
      <c r="F3042" s="156">
        <f>'Reported burning'!F3048</f>
        <v>0</v>
      </c>
      <c r="G3042" s="156">
        <f>'Reported burning'!G3048</f>
        <v>0</v>
      </c>
      <c r="H3042" s="156">
        <f>'Reported burning'!H3048</f>
        <v>0</v>
      </c>
      <c r="I3042" s="5"/>
    </row>
    <row r="3043" spans="1:9">
      <c r="A3043" s="156">
        <f>'Reported burning'!A3049</f>
        <v>0</v>
      </c>
      <c r="B3043" s="156">
        <f>'Reported burning'!B3049</f>
        <v>0</v>
      </c>
      <c r="C3043" s="156">
        <f>'Reported burning'!C3049</f>
        <v>0</v>
      </c>
      <c r="D3043" s="156">
        <f>'Reported burning'!D3049</f>
        <v>0</v>
      </c>
      <c r="E3043" s="156">
        <f>'Reported burning'!E3049</f>
        <v>0</v>
      </c>
      <c r="F3043" s="156">
        <f>'Reported burning'!F3049</f>
        <v>0</v>
      </c>
      <c r="G3043" s="156">
        <f>'Reported burning'!G3049</f>
        <v>0</v>
      </c>
      <c r="H3043" s="156">
        <f>'Reported burning'!H3049</f>
        <v>0</v>
      </c>
      <c r="I3043" s="5"/>
    </row>
    <row r="3044" spans="1:9">
      <c r="A3044" s="156">
        <f>'Reported burning'!A3050</f>
        <v>0</v>
      </c>
      <c r="B3044" s="156">
        <f>'Reported burning'!B3050</f>
        <v>0</v>
      </c>
      <c r="C3044" s="156">
        <f>'Reported burning'!C3050</f>
        <v>0</v>
      </c>
      <c r="D3044" s="156">
        <f>'Reported burning'!D3050</f>
        <v>0</v>
      </c>
      <c r="E3044" s="156">
        <f>'Reported burning'!E3050</f>
        <v>0</v>
      </c>
      <c r="F3044" s="156">
        <f>'Reported burning'!F3050</f>
        <v>0</v>
      </c>
      <c r="G3044" s="156">
        <f>'Reported burning'!G3050</f>
        <v>0</v>
      </c>
      <c r="H3044" s="156">
        <f>'Reported burning'!H3050</f>
        <v>0</v>
      </c>
      <c r="I3044" s="5"/>
    </row>
    <row r="3045" spans="1:9">
      <c r="A3045" s="156">
        <f>'Reported burning'!A3051</f>
        <v>0</v>
      </c>
      <c r="B3045" s="156">
        <f>'Reported burning'!B3051</f>
        <v>0</v>
      </c>
      <c r="C3045" s="156">
        <f>'Reported burning'!C3051</f>
        <v>0</v>
      </c>
      <c r="D3045" s="156">
        <f>'Reported burning'!D3051</f>
        <v>0</v>
      </c>
      <c r="E3045" s="156">
        <f>'Reported burning'!E3051</f>
        <v>0</v>
      </c>
      <c r="F3045" s="156">
        <f>'Reported burning'!F3051</f>
        <v>0</v>
      </c>
      <c r="G3045" s="156">
        <f>'Reported burning'!G3051</f>
        <v>0</v>
      </c>
      <c r="H3045" s="156">
        <f>'Reported burning'!H3051</f>
        <v>0</v>
      </c>
      <c r="I3045" s="5"/>
    </row>
    <row r="3046" spans="1:9">
      <c r="A3046" s="156">
        <f>'Reported burning'!A3052</f>
        <v>0</v>
      </c>
      <c r="B3046" s="156">
        <f>'Reported burning'!B3052</f>
        <v>0</v>
      </c>
      <c r="C3046" s="156">
        <f>'Reported burning'!C3052</f>
        <v>0</v>
      </c>
      <c r="D3046" s="156">
        <f>'Reported burning'!D3052</f>
        <v>0</v>
      </c>
      <c r="E3046" s="156">
        <f>'Reported burning'!E3052</f>
        <v>0</v>
      </c>
      <c r="F3046" s="156">
        <f>'Reported burning'!F3052</f>
        <v>0</v>
      </c>
      <c r="G3046" s="156">
        <f>'Reported burning'!G3052</f>
        <v>0</v>
      </c>
      <c r="H3046" s="156">
        <f>'Reported burning'!H3052</f>
        <v>0</v>
      </c>
      <c r="I3046" s="5"/>
    </row>
    <row r="3047" spans="1:9">
      <c r="A3047" s="156">
        <f>'Reported burning'!A3053</f>
        <v>0</v>
      </c>
      <c r="B3047" s="156">
        <f>'Reported burning'!B3053</f>
        <v>0</v>
      </c>
      <c r="C3047" s="156">
        <f>'Reported burning'!C3053</f>
        <v>0</v>
      </c>
      <c r="D3047" s="156">
        <f>'Reported burning'!D3053</f>
        <v>0</v>
      </c>
      <c r="E3047" s="156">
        <f>'Reported burning'!E3053</f>
        <v>0</v>
      </c>
      <c r="F3047" s="156">
        <f>'Reported burning'!F3053</f>
        <v>0</v>
      </c>
      <c r="G3047" s="156">
        <f>'Reported burning'!G3053</f>
        <v>0</v>
      </c>
      <c r="H3047" s="156">
        <f>'Reported burning'!H3053</f>
        <v>0</v>
      </c>
      <c r="I3047" s="5"/>
    </row>
    <row r="3048" spans="1:9">
      <c r="A3048" s="156">
        <f>'Reported burning'!A3054</f>
        <v>0</v>
      </c>
      <c r="B3048" s="156">
        <f>'Reported burning'!B3054</f>
        <v>0</v>
      </c>
      <c r="C3048" s="156">
        <f>'Reported burning'!C3054</f>
        <v>0</v>
      </c>
      <c r="D3048" s="156">
        <f>'Reported burning'!D3054</f>
        <v>0</v>
      </c>
      <c r="E3048" s="156">
        <f>'Reported burning'!E3054</f>
        <v>0</v>
      </c>
      <c r="F3048" s="156">
        <f>'Reported burning'!F3054</f>
        <v>0</v>
      </c>
      <c r="G3048" s="156">
        <f>'Reported burning'!G3054</f>
        <v>0</v>
      </c>
      <c r="H3048" s="156">
        <f>'Reported burning'!H3054</f>
        <v>0</v>
      </c>
      <c r="I3048" s="5"/>
    </row>
    <row r="3049" spans="1:9">
      <c r="A3049" s="156">
        <f>'Reported burning'!A3055</f>
        <v>0</v>
      </c>
      <c r="B3049" s="156">
        <f>'Reported burning'!B3055</f>
        <v>0</v>
      </c>
      <c r="C3049" s="156">
        <f>'Reported burning'!C3055</f>
        <v>0</v>
      </c>
      <c r="D3049" s="156">
        <f>'Reported burning'!D3055</f>
        <v>0</v>
      </c>
      <c r="E3049" s="156">
        <f>'Reported burning'!E3055</f>
        <v>0</v>
      </c>
      <c r="F3049" s="156">
        <f>'Reported burning'!F3055</f>
        <v>0</v>
      </c>
      <c r="G3049" s="156">
        <f>'Reported burning'!G3055</f>
        <v>0</v>
      </c>
      <c r="H3049" s="156">
        <f>'Reported burning'!H3055</f>
        <v>0</v>
      </c>
      <c r="I3049" s="5"/>
    </row>
    <row r="3050" spans="1:9">
      <c r="A3050" s="156">
        <f>'Reported burning'!A3056</f>
        <v>0</v>
      </c>
      <c r="B3050" s="156">
        <f>'Reported burning'!B3056</f>
        <v>0</v>
      </c>
      <c r="C3050" s="156">
        <f>'Reported burning'!C3056</f>
        <v>0</v>
      </c>
      <c r="D3050" s="156">
        <f>'Reported burning'!D3056</f>
        <v>0</v>
      </c>
      <c r="E3050" s="156">
        <f>'Reported burning'!E3056</f>
        <v>0</v>
      </c>
      <c r="F3050" s="156">
        <f>'Reported burning'!F3056</f>
        <v>0</v>
      </c>
      <c r="G3050" s="156">
        <f>'Reported burning'!G3056</f>
        <v>0</v>
      </c>
      <c r="H3050" s="156">
        <f>'Reported burning'!H3056</f>
        <v>0</v>
      </c>
      <c r="I3050" s="5"/>
    </row>
    <row r="3051" spans="1:9">
      <c r="A3051" s="156">
        <f>'Reported burning'!A3057</f>
        <v>0</v>
      </c>
      <c r="B3051" s="156">
        <f>'Reported burning'!B3057</f>
        <v>0</v>
      </c>
      <c r="C3051" s="156">
        <f>'Reported burning'!C3057</f>
        <v>0</v>
      </c>
      <c r="D3051" s="156">
        <f>'Reported burning'!D3057</f>
        <v>0</v>
      </c>
      <c r="E3051" s="156">
        <f>'Reported burning'!E3057</f>
        <v>0</v>
      </c>
      <c r="F3051" s="156">
        <f>'Reported burning'!F3057</f>
        <v>0</v>
      </c>
      <c r="G3051" s="156">
        <f>'Reported burning'!G3057</f>
        <v>0</v>
      </c>
      <c r="H3051" s="156">
        <f>'Reported burning'!H3057</f>
        <v>0</v>
      </c>
      <c r="I3051" s="5"/>
    </row>
    <row r="3052" spans="1:9">
      <c r="A3052" s="156">
        <f>'Reported burning'!A3058</f>
        <v>0</v>
      </c>
      <c r="B3052" s="156">
        <f>'Reported burning'!B3058</f>
        <v>0</v>
      </c>
      <c r="C3052" s="156">
        <f>'Reported burning'!C3058</f>
        <v>0</v>
      </c>
      <c r="D3052" s="156">
        <f>'Reported burning'!D3058</f>
        <v>0</v>
      </c>
      <c r="E3052" s="156">
        <f>'Reported burning'!E3058</f>
        <v>0</v>
      </c>
      <c r="F3052" s="156">
        <f>'Reported burning'!F3058</f>
        <v>0</v>
      </c>
      <c r="G3052" s="156">
        <f>'Reported burning'!G3058</f>
        <v>0</v>
      </c>
      <c r="H3052" s="156">
        <f>'Reported burning'!H3058</f>
        <v>0</v>
      </c>
      <c r="I3052" s="5"/>
    </row>
    <row r="3053" spans="1:9">
      <c r="A3053" s="156">
        <f>'Reported burning'!A3059</f>
        <v>0</v>
      </c>
      <c r="B3053" s="156">
        <f>'Reported burning'!B3059</f>
        <v>0</v>
      </c>
      <c r="C3053" s="156">
        <f>'Reported burning'!C3059</f>
        <v>0</v>
      </c>
      <c r="D3053" s="156">
        <f>'Reported burning'!D3059</f>
        <v>0</v>
      </c>
      <c r="E3053" s="156">
        <f>'Reported burning'!E3059</f>
        <v>0</v>
      </c>
      <c r="F3053" s="156">
        <f>'Reported burning'!F3059</f>
        <v>0</v>
      </c>
      <c r="G3053" s="156">
        <f>'Reported burning'!G3059</f>
        <v>0</v>
      </c>
      <c r="H3053" s="156">
        <f>'Reported burning'!H3059</f>
        <v>0</v>
      </c>
      <c r="I3053" s="5"/>
    </row>
    <row r="3054" spans="1:9">
      <c r="A3054" s="156">
        <f>'Reported burning'!A3060</f>
        <v>0</v>
      </c>
      <c r="B3054" s="156">
        <f>'Reported burning'!B3060</f>
        <v>0</v>
      </c>
      <c r="C3054" s="156">
        <f>'Reported burning'!C3060</f>
        <v>0</v>
      </c>
      <c r="D3054" s="156">
        <f>'Reported burning'!D3060</f>
        <v>0</v>
      </c>
      <c r="E3054" s="156">
        <f>'Reported burning'!E3060</f>
        <v>0</v>
      </c>
      <c r="F3054" s="156">
        <f>'Reported burning'!F3060</f>
        <v>0</v>
      </c>
      <c r="G3054" s="156">
        <f>'Reported burning'!G3060</f>
        <v>0</v>
      </c>
      <c r="H3054" s="156">
        <f>'Reported burning'!H3060</f>
        <v>0</v>
      </c>
      <c r="I3054" s="5"/>
    </row>
    <row r="3055" spans="1:9">
      <c r="A3055" s="156">
        <f>'Reported burning'!A3061</f>
        <v>0</v>
      </c>
      <c r="B3055" s="156">
        <f>'Reported burning'!B3061</f>
        <v>0</v>
      </c>
      <c r="C3055" s="156">
        <f>'Reported burning'!C3061</f>
        <v>0</v>
      </c>
      <c r="D3055" s="156">
        <f>'Reported burning'!D3061</f>
        <v>0</v>
      </c>
      <c r="E3055" s="156">
        <f>'Reported burning'!E3061</f>
        <v>0</v>
      </c>
      <c r="F3055" s="156">
        <f>'Reported burning'!F3061</f>
        <v>0</v>
      </c>
      <c r="G3055" s="156">
        <f>'Reported burning'!G3061</f>
        <v>0</v>
      </c>
      <c r="H3055" s="156">
        <f>'Reported burning'!H3061</f>
        <v>0</v>
      </c>
      <c r="I3055" s="5"/>
    </row>
    <row r="3056" spans="1:9">
      <c r="A3056" s="156">
        <f>'Reported burning'!A3062</f>
        <v>0</v>
      </c>
      <c r="B3056" s="156">
        <f>'Reported burning'!B3062</f>
        <v>0</v>
      </c>
      <c r="C3056" s="156">
        <f>'Reported burning'!C3062</f>
        <v>0</v>
      </c>
      <c r="D3056" s="156">
        <f>'Reported burning'!D3062</f>
        <v>0</v>
      </c>
      <c r="E3056" s="156">
        <f>'Reported burning'!E3062</f>
        <v>0</v>
      </c>
      <c r="F3056" s="156">
        <f>'Reported burning'!F3062</f>
        <v>0</v>
      </c>
      <c r="G3056" s="156">
        <f>'Reported burning'!G3062</f>
        <v>0</v>
      </c>
      <c r="H3056" s="156">
        <f>'Reported burning'!H3062</f>
        <v>0</v>
      </c>
      <c r="I3056" s="5"/>
    </row>
    <row r="3057" spans="1:9">
      <c r="A3057" s="156">
        <f>'Reported burning'!A3063</f>
        <v>0</v>
      </c>
      <c r="B3057" s="156">
        <f>'Reported burning'!B3063</f>
        <v>0</v>
      </c>
      <c r="C3057" s="156">
        <f>'Reported burning'!C3063</f>
        <v>0</v>
      </c>
      <c r="D3057" s="156">
        <f>'Reported burning'!D3063</f>
        <v>0</v>
      </c>
      <c r="E3057" s="156">
        <f>'Reported burning'!E3063</f>
        <v>0</v>
      </c>
      <c r="F3057" s="156">
        <f>'Reported burning'!F3063</f>
        <v>0</v>
      </c>
      <c r="G3057" s="156">
        <f>'Reported burning'!G3063</f>
        <v>0</v>
      </c>
      <c r="H3057" s="156">
        <f>'Reported burning'!H3063</f>
        <v>0</v>
      </c>
      <c r="I3057" s="5"/>
    </row>
    <row r="3058" spans="1:9">
      <c r="A3058" s="156">
        <f>'Reported burning'!A3064</f>
        <v>0</v>
      </c>
      <c r="B3058" s="156">
        <f>'Reported burning'!B3064</f>
        <v>0</v>
      </c>
      <c r="C3058" s="156">
        <f>'Reported burning'!C3064</f>
        <v>0</v>
      </c>
      <c r="D3058" s="156">
        <f>'Reported burning'!D3064</f>
        <v>0</v>
      </c>
      <c r="E3058" s="156">
        <f>'Reported burning'!E3064</f>
        <v>0</v>
      </c>
      <c r="F3058" s="156">
        <f>'Reported burning'!F3064</f>
        <v>0</v>
      </c>
      <c r="G3058" s="156">
        <f>'Reported burning'!G3064</f>
        <v>0</v>
      </c>
      <c r="H3058" s="156">
        <f>'Reported burning'!H3064</f>
        <v>0</v>
      </c>
      <c r="I3058" s="5"/>
    </row>
    <row r="3059" spans="1:9">
      <c r="A3059" s="156">
        <f>'Reported burning'!A3065</f>
        <v>0</v>
      </c>
      <c r="B3059" s="156">
        <f>'Reported burning'!B3065</f>
        <v>0</v>
      </c>
      <c r="C3059" s="156">
        <f>'Reported burning'!C3065</f>
        <v>0</v>
      </c>
      <c r="D3059" s="156">
        <f>'Reported burning'!D3065</f>
        <v>0</v>
      </c>
      <c r="E3059" s="156">
        <f>'Reported burning'!E3065</f>
        <v>0</v>
      </c>
      <c r="F3059" s="156">
        <f>'Reported burning'!F3065</f>
        <v>0</v>
      </c>
      <c r="G3059" s="156">
        <f>'Reported burning'!G3065</f>
        <v>0</v>
      </c>
      <c r="H3059" s="156">
        <f>'Reported burning'!H3065</f>
        <v>0</v>
      </c>
      <c r="I3059" s="5"/>
    </row>
    <row r="3060" spans="1:9">
      <c r="A3060" s="156">
        <f>'Reported burning'!A3066</f>
        <v>0</v>
      </c>
      <c r="B3060" s="156">
        <f>'Reported burning'!B3066</f>
        <v>0</v>
      </c>
      <c r="C3060" s="156">
        <f>'Reported burning'!C3066</f>
        <v>0</v>
      </c>
      <c r="D3060" s="156">
        <f>'Reported burning'!D3066</f>
        <v>0</v>
      </c>
      <c r="E3060" s="156">
        <f>'Reported burning'!E3066</f>
        <v>0</v>
      </c>
      <c r="F3060" s="156">
        <f>'Reported burning'!F3066</f>
        <v>0</v>
      </c>
      <c r="G3060" s="156">
        <f>'Reported burning'!G3066</f>
        <v>0</v>
      </c>
      <c r="H3060" s="156">
        <f>'Reported burning'!H3066</f>
        <v>0</v>
      </c>
      <c r="I3060" s="5"/>
    </row>
    <row r="3061" spans="1:9">
      <c r="A3061" s="156">
        <f>'Reported burning'!A3067</f>
        <v>0</v>
      </c>
      <c r="B3061" s="156">
        <f>'Reported burning'!B3067</f>
        <v>0</v>
      </c>
      <c r="C3061" s="156">
        <f>'Reported burning'!C3067</f>
        <v>0</v>
      </c>
      <c r="D3061" s="156">
        <f>'Reported burning'!D3067</f>
        <v>0</v>
      </c>
      <c r="E3061" s="156">
        <f>'Reported burning'!E3067</f>
        <v>0</v>
      </c>
      <c r="F3061" s="156">
        <f>'Reported burning'!F3067</f>
        <v>0</v>
      </c>
      <c r="G3061" s="156">
        <f>'Reported burning'!G3067</f>
        <v>0</v>
      </c>
      <c r="H3061" s="156">
        <f>'Reported burning'!H3067</f>
        <v>0</v>
      </c>
      <c r="I3061" s="5"/>
    </row>
    <row r="3062" spans="1:9">
      <c r="A3062" s="156">
        <f>'Reported burning'!A3068</f>
        <v>0</v>
      </c>
      <c r="B3062" s="156">
        <f>'Reported burning'!B3068</f>
        <v>0</v>
      </c>
      <c r="C3062" s="156">
        <f>'Reported burning'!C3068</f>
        <v>0</v>
      </c>
      <c r="D3062" s="156">
        <f>'Reported burning'!D3068</f>
        <v>0</v>
      </c>
      <c r="E3062" s="156">
        <f>'Reported burning'!E3068</f>
        <v>0</v>
      </c>
      <c r="F3062" s="156">
        <f>'Reported burning'!F3068</f>
        <v>0</v>
      </c>
      <c r="G3062" s="156">
        <f>'Reported burning'!G3068</f>
        <v>0</v>
      </c>
      <c r="H3062" s="156">
        <f>'Reported burning'!H3068</f>
        <v>0</v>
      </c>
      <c r="I3062" s="5"/>
    </row>
    <row r="3063" spans="1:9">
      <c r="A3063" s="156">
        <f>'Reported burning'!A3069</f>
        <v>0</v>
      </c>
      <c r="B3063" s="156">
        <f>'Reported burning'!B3069</f>
        <v>0</v>
      </c>
      <c r="C3063" s="156">
        <f>'Reported burning'!C3069</f>
        <v>0</v>
      </c>
      <c r="D3063" s="156">
        <f>'Reported burning'!D3069</f>
        <v>0</v>
      </c>
      <c r="E3063" s="156">
        <f>'Reported burning'!E3069</f>
        <v>0</v>
      </c>
      <c r="F3063" s="156">
        <f>'Reported burning'!F3069</f>
        <v>0</v>
      </c>
      <c r="G3063" s="156">
        <f>'Reported burning'!G3069</f>
        <v>0</v>
      </c>
      <c r="H3063" s="156">
        <f>'Reported burning'!H3069</f>
        <v>0</v>
      </c>
      <c r="I3063" s="5"/>
    </row>
    <row r="3064" spans="1:9">
      <c r="A3064" s="156">
        <f>'Reported burning'!A3070</f>
        <v>0</v>
      </c>
      <c r="B3064" s="156">
        <f>'Reported burning'!B3070</f>
        <v>0</v>
      </c>
      <c r="C3064" s="156">
        <f>'Reported burning'!C3070</f>
        <v>0</v>
      </c>
      <c r="D3064" s="156">
        <f>'Reported burning'!D3070</f>
        <v>0</v>
      </c>
      <c r="E3064" s="156">
        <f>'Reported burning'!E3070</f>
        <v>0</v>
      </c>
      <c r="F3064" s="156">
        <f>'Reported burning'!F3070</f>
        <v>0</v>
      </c>
      <c r="G3064" s="156">
        <f>'Reported burning'!G3070</f>
        <v>0</v>
      </c>
      <c r="H3064" s="156">
        <f>'Reported burning'!H3070</f>
        <v>0</v>
      </c>
      <c r="I3064" s="5"/>
    </row>
    <row r="3065" spans="1:9">
      <c r="A3065" s="156">
        <f>'Reported burning'!A3071</f>
        <v>0</v>
      </c>
      <c r="B3065" s="156">
        <f>'Reported burning'!B3071</f>
        <v>0</v>
      </c>
      <c r="C3065" s="156">
        <f>'Reported burning'!C3071</f>
        <v>0</v>
      </c>
      <c r="D3065" s="156">
        <f>'Reported burning'!D3071</f>
        <v>0</v>
      </c>
      <c r="E3065" s="156">
        <f>'Reported burning'!E3071</f>
        <v>0</v>
      </c>
      <c r="F3065" s="156">
        <f>'Reported burning'!F3071</f>
        <v>0</v>
      </c>
      <c r="G3065" s="156">
        <f>'Reported burning'!G3071</f>
        <v>0</v>
      </c>
      <c r="H3065" s="156">
        <f>'Reported burning'!H3071</f>
        <v>0</v>
      </c>
      <c r="I3065" s="5"/>
    </row>
    <row r="3066" spans="1:9">
      <c r="A3066" s="156">
        <f>'Reported burning'!A3072</f>
        <v>0</v>
      </c>
      <c r="B3066" s="156">
        <f>'Reported burning'!B3072</f>
        <v>0</v>
      </c>
      <c r="C3066" s="156">
        <f>'Reported burning'!C3072</f>
        <v>0</v>
      </c>
      <c r="D3066" s="156">
        <f>'Reported burning'!D3072</f>
        <v>0</v>
      </c>
      <c r="E3066" s="156">
        <f>'Reported burning'!E3072</f>
        <v>0</v>
      </c>
      <c r="F3066" s="156">
        <f>'Reported burning'!F3072</f>
        <v>0</v>
      </c>
      <c r="G3066" s="156">
        <f>'Reported burning'!G3072</f>
        <v>0</v>
      </c>
      <c r="H3066" s="156">
        <f>'Reported burning'!H3072</f>
        <v>0</v>
      </c>
      <c r="I3066" s="5"/>
    </row>
    <row r="3067" spans="1:9">
      <c r="A3067" s="156">
        <f>'Reported burning'!A3073</f>
        <v>0</v>
      </c>
      <c r="B3067" s="156">
        <f>'Reported burning'!B3073</f>
        <v>0</v>
      </c>
      <c r="C3067" s="156">
        <f>'Reported burning'!C3073</f>
        <v>0</v>
      </c>
      <c r="D3067" s="156">
        <f>'Reported burning'!D3073</f>
        <v>0</v>
      </c>
      <c r="E3067" s="156">
        <f>'Reported burning'!E3073</f>
        <v>0</v>
      </c>
      <c r="F3067" s="156">
        <f>'Reported burning'!F3073</f>
        <v>0</v>
      </c>
      <c r="G3067" s="156">
        <f>'Reported burning'!G3073</f>
        <v>0</v>
      </c>
      <c r="H3067" s="156">
        <f>'Reported burning'!H3073</f>
        <v>0</v>
      </c>
      <c r="I3067" s="5"/>
    </row>
    <row r="3068" spans="1:9">
      <c r="A3068" s="156">
        <f>'Reported burning'!A3074</f>
        <v>0</v>
      </c>
      <c r="B3068" s="156">
        <f>'Reported burning'!B3074</f>
        <v>0</v>
      </c>
      <c r="C3068" s="156">
        <f>'Reported burning'!C3074</f>
        <v>0</v>
      </c>
      <c r="D3068" s="156">
        <f>'Reported burning'!D3074</f>
        <v>0</v>
      </c>
      <c r="E3068" s="156">
        <f>'Reported burning'!E3074</f>
        <v>0</v>
      </c>
      <c r="F3068" s="156">
        <f>'Reported burning'!F3074</f>
        <v>0</v>
      </c>
      <c r="G3068" s="156">
        <f>'Reported burning'!G3074</f>
        <v>0</v>
      </c>
      <c r="H3068" s="156">
        <f>'Reported burning'!H3074</f>
        <v>0</v>
      </c>
      <c r="I3068" s="5"/>
    </row>
    <row r="3069" spans="1:9">
      <c r="A3069" s="156">
        <f>'Reported burning'!A3075</f>
        <v>0</v>
      </c>
      <c r="B3069" s="156">
        <f>'Reported burning'!B3075</f>
        <v>0</v>
      </c>
      <c r="C3069" s="156">
        <f>'Reported burning'!C3075</f>
        <v>0</v>
      </c>
      <c r="D3069" s="156">
        <f>'Reported burning'!D3075</f>
        <v>0</v>
      </c>
      <c r="E3069" s="156">
        <f>'Reported burning'!E3075</f>
        <v>0</v>
      </c>
      <c r="F3069" s="156">
        <f>'Reported burning'!F3075</f>
        <v>0</v>
      </c>
      <c r="G3069" s="156">
        <f>'Reported burning'!G3075</f>
        <v>0</v>
      </c>
      <c r="H3069" s="156">
        <f>'Reported burning'!H3075</f>
        <v>0</v>
      </c>
      <c r="I3069" s="5"/>
    </row>
    <row r="3070" spans="1:9">
      <c r="A3070" s="156">
        <f>'Reported burning'!A3076</f>
        <v>0</v>
      </c>
      <c r="B3070" s="156">
        <f>'Reported burning'!B3076</f>
        <v>0</v>
      </c>
      <c r="C3070" s="156">
        <f>'Reported burning'!C3076</f>
        <v>0</v>
      </c>
      <c r="D3070" s="156">
        <f>'Reported burning'!D3076</f>
        <v>0</v>
      </c>
      <c r="E3070" s="156">
        <f>'Reported burning'!E3076</f>
        <v>0</v>
      </c>
      <c r="F3070" s="156">
        <f>'Reported burning'!F3076</f>
        <v>0</v>
      </c>
      <c r="G3070" s="156">
        <f>'Reported burning'!G3076</f>
        <v>0</v>
      </c>
      <c r="H3070" s="156">
        <f>'Reported burning'!H3076</f>
        <v>0</v>
      </c>
      <c r="I3070" s="5"/>
    </row>
    <row r="3071" spans="1:9">
      <c r="A3071" s="156">
        <f>'Reported burning'!A3077</f>
        <v>0</v>
      </c>
      <c r="B3071" s="156">
        <f>'Reported burning'!B3077</f>
        <v>0</v>
      </c>
      <c r="C3071" s="156">
        <f>'Reported burning'!C3077</f>
        <v>0</v>
      </c>
      <c r="D3071" s="156">
        <f>'Reported burning'!D3077</f>
        <v>0</v>
      </c>
      <c r="E3071" s="156">
        <f>'Reported burning'!E3077</f>
        <v>0</v>
      </c>
      <c r="F3071" s="156">
        <f>'Reported burning'!F3077</f>
        <v>0</v>
      </c>
      <c r="G3071" s="156">
        <f>'Reported burning'!G3077</f>
        <v>0</v>
      </c>
      <c r="H3071" s="156">
        <f>'Reported burning'!H3077</f>
        <v>0</v>
      </c>
      <c r="I3071" s="5"/>
    </row>
    <row r="3072" spans="1:9">
      <c r="A3072" s="156">
        <f>'Reported burning'!A3078</f>
        <v>0</v>
      </c>
      <c r="B3072" s="156">
        <f>'Reported burning'!B3078</f>
        <v>0</v>
      </c>
      <c r="C3072" s="156">
        <f>'Reported burning'!C3078</f>
        <v>0</v>
      </c>
      <c r="D3072" s="156">
        <f>'Reported burning'!D3078</f>
        <v>0</v>
      </c>
      <c r="E3072" s="156">
        <f>'Reported burning'!E3078</f>
        <v>0</v>
      </c>
      <c r="F3072" s="156">
        <f>'Reported burning'!F3078</f>
        <v>0</v>
      </c>
      <c r="G3072" s="156">
        <f>'Reported burning'!G3078</f>
        <v>0</v>
      </c>
      <c r="H3072" s="156">
        <f>'Reported burning'!H3078</f>
        <v>0</v>
      </c>
      <c r="I3072" s="5"/>
    </row>
    <row r="3073" spans="1:9">
      <c r="A3073" s="156">
        <f>'Reported burning'!A3079</f>
        <v>0</v>
      </c>
      <c r="B3073" s="156">
        <f>'Reported burning'!B3079</f>
        <v>0</v>
      </c>
      <c r="C3073" s="156">
        <f>'Reported burning'!C3079</f>
        <v>0</v>
      </c>
      <c r="D3073" s="156">
        <f>'Reported burning'!D3079</f>
        <v>0</v>
      </c>
      <c r="E3073" s="156">
        <f>'Reported burning'!E3079</f>
        <v>0</v>
      </c>
      <c r="F3073" s="156">
        <f>'Reported burning'!F3079</f>
        <v>0</v>
      </c>
      <c r="G3073" s="156">
        <f>'Reported burning'!G3079</f>
        <v>0</v>
      </c>
      <c r="H3073" s="156">
        <f>'Reported burning'!H3079</f>
        <v>0</v>
      </c>
      <c r="I3073" s="5"/>
    </row>
    <row r="3074" spans="1:9">
      <c r="A3074" s="156">
        <f>'Reported burning'!A3080</f>
        <v>0</v>
      </c>
      <c r="B3074" s="156">
        <f>'Reported burning'!B3080</f>
        <v>0</v>
      </c>
      <c r="C3074" s="156">
        <f>'Reported burning'!C3080</f>
        <v>0</v>
      </c>
      <c r="D3074" s="156">
        <f>'Reported burning'!D3080</f>
        <v>0</v>
      </c>
      <c r="E3074" s="156">
        <f>'Reported burning'!E3080</f>
        <v>0</v>
      </c>
      <c r="F3074" s="156">
        <f>'Reported burning'!F3080</f>
        <v>0</v>
      </c>
      <c r="G3074" s="156">
        <f>'Reported burning'!G3080</f>
        <v>0</v>
      </c>
      <c r="H3074" s="156">
        <f>'Reported burning'!H3080</f>
        <v>0</v>
      </c>
      <c r="I3074" s="5"/>
    </row>
    <row r="3075" spans="1:9">
      <c r="A3075" s="156">
        <f>'Reported burning'!A3081</f>
        <v>0</v>
      </c>
      <c r="B3075" s="156">
        <f>'Reported burning'!B3081</f>
        <v>0</v>
      </c>
      <c r="C3075" s="156">
        <f>'Reported burning'!C3081</f>
        <v>0</v>
      </c>
      <c r="D3075" s="156">
        <f>'Reported burning'!D3081</f>
        <v>0</v>
      </c>
      <c r="E3075" s="156">
        <f>'Reported burning'!E3081</f>
        <v>0</v>
      </c>
      <c r="F3075" s="156">
        <f>'Reported burning'!F3081</f>
        <v>0</v>
      </c>
      <c r="G3075" s="156">
        <f>'Reported burning'!G3081</f>
        <v>0</v>
      </c>
      <c r="H3075" s="156">
        <f>'Reported burning'!H3081</f>
        <v>0</v>
      </c>
      <c r="I3075" s="5"/>
    </row>
    <row r="3076" spans="1:9">
      <c r="A3076" s="156">
        <f>'Reported burning'!A3082</f>
        <v>0</v>
      </c>
      <c r="B3076" s="156">
        <f>'Reported burning'!B3082</f>
        <v>0</v>
      </c>
      <c r="C3076" s="156">
        <f>'Reported burning'!C3082</f>
        <v>0</v>
      </c>
      <c r="D3076" s="156">
        <f>'Reported burning'!D3082</f>
        <v>0</v>
      </c>
      <c r="E3076" s="156">
        <f>'Reported burning'!E3082</f>
        <v>0</v>
      </c>
      <c r="F3076" s="156">
        <f>'Reported burning'!F3082</f>
        <v>0</v>
      </c>
      <c r="G3076" s="156">
        <f>'Reported burning'!G3082</f>
        <v>0</v>
      </c>
      <c r="H3076" s="156">
        <f>'Reported burning'!H3082</f>
        <v>0</v>
      </c>
      <c r="I3076" s="5"/>
    </row>
    <row r="3077" spans="1:9">
      <c r="A3077" s="156">
        <f>'Reported burning'!A3083</f>
        <v>0</v>
      </c>
      <c r="B3077" s="156">
        <f>'Reported burning'!B3083</f>
        <v>0</v>
      </c>
      <c r="C3077" s="156">
        <f>'Reported burning'!C3083</f>
        <v>0</v>
      </c>
      <c r="D3077" s="156">
        <f>'Reported burning'!D3083</f>
        <v>0</v>
      </c>
      <c r="E3077" s="156">
        <f>'Reported burning'!E3083</f>
        <v>0</v>
      </c>
      <c r="F3077" s="156">
        <f>'Reported burning'!F3083</f>
        <v>0</v>
      </c>
      <c r="G3077" s="156">
        <f>'Reported burning'!G3083</f>
        <v>0</v>
      </c>
      <c r="H3077" s="156">
        <f>'Reported burning'!H3083</f>
        <v>0</v>
      </c>
      <c r="I3077" s="5"/>
    </row>
    <row r="3078" spans="1:9">
      <c r="A3078" s="156">
        <f>'Reported burning'!A3084</f>
        <v>0</v>
      </c>
      <c r="B3078" s="156">
        <f>'Reported burning'!B3084</f>
        <v>0</v>
      </c>
      <c r="C3078" s="156">
        <f>'Reported burning'!C3084</f>
        <v>0</v>
      </c>
      <c r="D3078" s="156">
        <f>'Reported burning'!D3084</f>
        <v>0</v>
      </c>
      <c r="E3078" s="156">
        <f>'Reported burning'!E3084</f>
        <v>0</v>
      </c>
      <c r="F3078" s="156">
        <f>'Reported burning'!F3084</f>
        <v>0</v>
      </c>
      <c r="G3078" s="156">
        <f>'Reported burning'!G3084</f>
        <v>0</v>
      </c>
      <c r="H3078" s="156">
        <f>'Reported burning'!H3084</f>
        <v>0</v>
      </c>
      <c r="I3078" s="5"/>
    </row>
    <row r="3079" spans="1:9">
      <c r="A3079" s="156">
        <f>'Reported burning'!A3085</f>
        <v>0</v>
      </c>
      <c r="B3079" s="156">
        <f>'Reported burning'!B3085</f>
        <v>0</v>
      </c>
      <c r="C3079" s="156">
        <f>'Reported burning'!C3085</f>
        <v>0</v>
      </c>
      <c r="D3079" s="156">
        <f>'Reported burning'!D3085</f>
        <v>0</v>
      </c>
      <c r="E3079" s="156">
        <f>'Reported burning'!E3085</f>
        <v>0</v>
      </c>
      <c r="F3079" s="156">
        <f>'Reported burning'!F3085</f>
        <v>0</v>
      </c>
      <c r="G3079" s="156">
        <f>'Reported burning'!G3085</f>
        <v>0</v>
      </c>
      <c r="H3079" s="156">
        <f>'Reported burning'!H3085</f>
        <v>0</v>
      </c>
      <c r="I3079" s="5"/>
    </row>
    <row r="3080" spans="1:9">
      <c r="A3080" s="156">
        <f>'Reported burning'!A3086</f>
        <v>0</v>
      </c>
      <c r="B3080" s="156">
        <f>'Reported burning'!B3086</f>
        <v>0</v>
      </c>
      <c r="C3080" s="156">
        <f>'Reported burning'!C3086</f>
        <v>0</v>
      </c>
      <c r="D3080" s="156">
        <f>'Reported burning'!D3086</f>
        <v>0</v>
      </c>
      <c r="E3080" s="156">
        <f>'Reported burning'!E3086</f>
        <v>0</v>
      </c>
      <c r="F3080" s="156">
        <f>'Reported burning'!F3086</f>
        <v>0</v>
      </c>
      <c r="G3080" s="156">
        <f>'Reported burning'!G3086</f>
        <v>0</v>
      </c>
      <c r="H3080" s="156">
        <f>'Reported burning'!H3086</f>
        <v>0</v>
      </c>
      <c r="I3080" s="5"/>
    </row>
    <row r="3081" spans="1:9">
      <c r="A3081" s="156">
        <f>'Reported burning'!A3087</f>
        <v>0</v>
      </c>
      <c r="B3081" s="156">
        <f>'Reported burning'!B3087</f>
        <v>0</v>
      </c>
      <c r="C3081" s="156">
        <f>'Reported burning'!C3087</f>
        <v>0</v>
      </c>
      <c r="D3081" s="156">
        <f>'Reported burning'!D3087</f>
        <v>0</v>
      </c>
      <c r="E3081" s="156">
        <f>'Reported burning'!E3087</f>
        <v>0</v>
      </c>
      <c r="F3081" s="156">
        <f>'Reported burning'!F3087</f>
        <v>0</v>
      </c>
      <c r="G3081" s="156">
        <f>'Reported burning'!G3087</f>
        <v>0</v>
      </c>
      <c r="H3081" s="156">
        <f>'Reported burning'!H3087</f>
        <v>0</v>
      </c>
      <c r="I3081" s="5"/>
    </row>
    <row r="3082" spans="1:9">
      <c r="A3082" s="156">
        <f>'Reported burning'!A3088</f>
        <v>0</v>
      </c>
      <c r="B3082" s="156">
        <f>'Reported burning'!B3088</f>
        <v>0</v>
      </c>
      <c r="C3082" s="156">
        <f>'Reported burning'!C3088</f>
        <v>0</v>
      </c>
      <c r="D3082" s="156">
        <f>'Reported burning'!D3088</f>
        <v>0</v>
      </c>
      <c r="E3082" s="156">
        <f>'Reported burning'!E3088</f>
        <v>0</v>
      </c>
      <c r="F3082" s="156">
        <f>'Reported burning'!F3088</f>
        <v>0</v>
      </c>
      <c r="G3082" s="156">
        <f>'Reported burning'!G3088</f>
        <v>0</v>
      </c>
      <c r="H3082" s="156">
        <f>'Reported burning'!H3088</f>
        <v>0</v>
      </c>
      <c r="I3082" s="5"/>
    </row>
    <row r="3083" spans="1:9">
      <c r="A3083" s="156">
        <f>'Reported burning'!A3089</f>
        <v>0</v>
      </c>
      <c r="B3083" s="156">
        <f>'Reported burning'!B3089</f>
        <v>0</v>
      </c>
      <c r="C3083" s="156">
        <f>'Reported burning'!C3089</f>
        <v>0</v>
      </c>
      <c r="D3083" s="156">
        <f>'Reported burning'!D3089</f>
        <v>0</v>
      </c>
      <c r="E3083" s="156">
        <f>'Reported burning'!E3089</f>
        <v>0</v>
      </c>
      <c r="F3083" s="156">
        <f>'Reported burning'!F3089</f>
        <v>0</v>
      </c>
      <c r="G3083" s="156">
        <f>'Reported burning'!G3089</f>
        <v>0</v>
      </c>
      <c r="H3083" s="156">
        <f>'Reported burning'!H3089</f>
        <v>0</v>
      </c>
      <c r="I3083" s="5"/>
    </row>
    <row r="3084" spans="1:9">
      <c r="A3084" s="156">
        <f>'Reported burning'!A3090</f>
        <v>0</v>
      </c>
      <c r="B3084" s="156">
        <f>'Reported burning'!B3090</f>
        <v>0</v>
      </c>
      <c r="C3084" s="156">
        <f>'Reported burning'!C3090</f>
        <v>0</v>
      </c>
      <c r="D3084" s="156">
        <f>'Reported burning'!D3090</f>
        <v>0</v>
      </c>
      <c r="E3084" s="156">
        <f>'Reported burning'!E3090</f>
        <v>0</v>
      </c>
      <c r="F3084" s="156">
        <f>'Reported burning'!F3090</f>
        <v>0</v>
      </c>
      <c r="G3084" s="156">
        <f>'Reported burning'!G3090</f>
        <v>0</v>
      </c>
      <c r="H3084" s="156">
        <f>'Reported burning'!H3090</f>
        <v>0</v>
      </c>
      <c r="I3084" s="5"/>
    </row>
    <row r="3085" spans="1:9">
      <c r="A3085" s="156">
        <f>'Reported burning'!A3091</f>
        <v>0</v>
      </c>
      <c r="B3085" s="156">
        <f>'Reported burning'!B3091</f>
        <v>0</v>
      </c>
      <c r="C3085" s="156">
        <f>'Reported burning'!C3091</f>
        <v>0</v>
      </c>
      <c r="D3085" s="156">
        <f>'Reported burning'!D3091</f>
        <v>0</v>
      </c>
      <c r="E3085" s="156">
        <f>'Reported burning'!E3091</f>
        <v>0</v>
      </c>
      <c r="F3085" s="156">
        <f>'Reported burning'!F3091</f>
        <v>0</v>
      </c>
      <c r="G3085" s="156">
        <f>'Reported burning'!G3091</f>
        <v>0</v>
      </c>
      <c r="H3085" s="156">
        <f>'Reported burning'!H3091</f>
        <v>0</v>
      </c>
      <c r="I3085" s="5"/>
    </row>
    <row r="3086" spans="1:9">
      <c r="A3086" s="156">
        <f>'Reported burning'!A3092</f>
        <v>0</v>
      </c>
      <c r="B3086" s="156">
        <f>'Reported burning'!B3092</f>
        <v>0</v>
      </c>
      <c r="C3086" s="156">
        <f>'Reported burning'!C3092</f>
        <v>0</v>
      </c>
      <c r="D3086" s="156">
        <f>'Reported burning'!D3092</f>
        <v>0</v>
      </c>
      <c r="E3086" s="156">
        <f>'Reported burning'!E3092</f>
        <v>0</v>
      </c>
      <c r="F3086" s="156">
        <f>'Reported burning'!F3092</f>
        <v>0</v>
      </c>
      <c r="G3086" s="156">
        <f>'Reported burning'!G3092</f>
        <v>0</v>
      </c>
      <c r="H3086" s="156">
        <f>'Reported burning'!H3092</f>
        <v>0</v>
      </c>
      <c r="I3086" s="5"/>
    </row>
    <row r="3087" spans="1:9">
      <c r="A3087" s="156">
        <f>'Reported burning'!A3093</f>
        <v>0</v>
      </c>
      <c r="B3087" s="156">
        <f>'Reported burning'!B3093</f>
        <v>0</v>
      </c>
      <c r="C3087" s="156">
        <f>'Reported burning'!C3093</f>
        <v>0</v>
      </c>
      <c r="D3087" s="156">
        <f>'Reported burning'!D3093</f>
        <v>0</v>
      </c>
      <c r="E3087" s="156">
        <f>'Reported burning'!E3093</f>
        <v>0</v>
      </c>
      <c r="F3087" s="156">
        <f>'Reported burning'!F3093</f>
        <v>0</v>
      </c>
      <c r="G3087" s="156">
        <f>'Reported burning'!G3093</f>
        <v>0</v>
      </c>
      <c r="H3087" s="156">
        <f>'Reported burning'!H3093</f>
        <v>0</v>
      </c>
      <c r="I3087" s="5"/>
    </row>
    <row r="3088" spans="1:9">
      <c r="A3088" s="156">
        <f>'Reported burning'!A3094</f>
        <v>0</v>
      </c>
      <c r="B3088" s="156">
        <f>'Reported burning'!B3094</f>
        <v>0</v>
      </c>
      <c r="C3088" s="156">
        <f>'Reported burning'!C3094</f>
        <v>0</v>
      </c>
      <c r="D3088" s="156">
        <f>'Reported burning'!D3094</f>
        <v>0</v>
      </c>
      <c r="E3088" s="156">
        <f>'Reported burning'!E3094</f>
        <v>0</v>
      </c>
      <c r="F3088" s="156">
        <f>'Reported burning'!F3094</f>
        <v>0</v>
      </c>
      <c r="G3088" s="156">
        <f>'Reported burning'!G3094</f>
        <v>0</v>
      </c>
      <c r="H3088" s="156">
        <f>'Reported burning'!H3094</f>
        <v>0</v>
      </c>
      <c r="I3088" s="5"/>
    </row>
    <row r="3089" spans="1:9">
      <c r="A3089" s="156">
        <f>'Reported burning'!A3095</f>
        <v>0</v>
      </c>
      <c r="B3089" s="156">
        <f>'Reported burning'!B3095</f>
        <v>0</v>
      </c>
      <c r="C3089" s="156">
        <f>'Reported burning'!C3095</f>
        <v>0</v>
      </c>
      <c r="D3089" s="156">
        <f>'Reported burning'!D3095</f>
        <v>0</v>
      </c>
      <c r="E3089" s="156">
        <f>'Reported burning'!E3095</f>
        <v>0</v>
      </c>
      <c r="F3089" s="156">
        <f>'Reported burning'!F3095</f>
        <v>0</v>
      </c>
      <c r="G3089" s="156">
        <f>'Reported burning'!G3095</f>
        <v>0</v>
      </c>
      <c r="H3089" s="156">
        <f>'Reported burning'!H3095</f>
        <v>0</v>
      </c>
      <c r="I3089" s="5"/>
    </row>
    <row r="3090" spans="1:9">
      <c r="A3090" s="156">
        <f>'Reported burning'!A3096</f>
        <v>0</v>
      </c>
      <c r="B3090" s="156">
        <f>'Reported burning'!B3096</f>
        <v>0</v>
      </c>
      <c r="C3090" s="156">
        <f>'Reported burning'!C3096</f>
        <v>0</v>
      </c>
      <c r="D3090" s="156">
        <f>'Reported burning'!D3096</f>
        <v>0</v>
      </c>
      <c r="E3090" s="156">
        <f>'Reported burning'!E3096</f>
        <v>0</v>
      </c>
      <c r="F3090" s="156">
        <f>'Reported burning'!F3096</f>
        <v>0</v>
      </c>
      <c r="G3090" s="156">
        <f>'Reported burning'!G3096</f>
        <v>0</v>
      </c>
      <c r="H3090" s="156">
        <f>'Reported burning'!H3096</f>
        <v>0</v>
      </c>
      <c r="I3090" s="5"/>
    </row>
    <row r="3091" spans="1:9">
      <c r="A3091" s="156">
        <f>'Reported burning'!A3097</f>
        <v>0</v>
      </c>
      <c r="B3091" s="156">
        <f>'Reported burning'!B3097</f>
        <v>0</v>
      </c>
      <c r="C3091" s="156">
        <f>'Reported burning'!C3097</f>
        <v>0</v>
      </c>
      <c r="D3091" s="156">
        <f>'Reported burning'!D3097</f>
        <v>0</v>
      </c>
      <c r="E3091" s="156">
        <f>'Reported burning'!E3097</f>
        <v>0</v>
      </c>
      <c r="F3091" s="156">
        <f>'Reported burning'!F3097</f>
        <v>0</v>
      </c>
      <c r="G3091" s="156">
        <f>'Reported burning'!G3097</f>
        <v>0</v>
      </c>
      <c r="H3091" s="156">
        <f>'Reported burning'!H3097</f>
        <v>0</v>
      </c>
      <c r="I3091" s="5"/>
    </row>
    <row r="3092" spans="1:9">
      <c r="A3092" s="156">
        <f>'Reported burning'!A3098</f>
        <v>0</v>
      </c>
      <c r="B3092" s="156">
        <f>'Reported burning'!B3098</f>
        <v>0</v>
      </c>
      <c r="C3092" s="156">
        <f>'Reported burning'!C3098</f>
        <v>0</v>
      </c>
      <c r="D3092" s="156">
        <f>'Reported burning'!D3098</f>
        <v>0</v>
      </c>
      <c r="E3092" s="156">
        <f>'Reported burning'!E3098</f>
        <v>0</v>
      </c>
      <c r="F3092" s="156">
        <f>'Reported burning'!F3098</f>
        <v>0</v>
      </c>
      <c r="G3092" s="156">
        <f>'Reported burning'!G3098</f>
        <v>0</v>
      </c>
      <c r="H3092" s="156">
        <f>'Reported burning'!H3098</f>
        <v>0</v>
      </c>
      <c r="I3092" s="5"/>
    </row>
    <row r="3093" spans="1:9">
      <c r="A3093" s="156">
        <f>'Reported burning'!A3099</f>
        <v>0</v>
      </c>
      <c r="B3093" s="156">
        <f>'Reported burning'!B3099</f>
        <v>0</v>
      </c>
      <c r="C3093" s="156">
        <f>'Reported burning'!C3099</f>
        <v>0</v>
      </c>
      <c r="D3093" s="156">
        <f>'Reported burning'!D3099</f>
        <v>0</v>
      </c>
      <c r="E3093" s="156">
        <f>'Reported burning'!E3099</f>
        <v>0</v>
      </c>
      <c r="F3093" s="156">
        <f>'Reported burning'!F3099</f>
        <v>0</v>
      </c>
      <c r="G3093" s="156">
        <f>'Reported burning'!G3099</f>
        <v>0</v>
      </c>
      <c r="H3093" s="156">
        <f>'Reported burning'!H3099</f>
        <v>0</v>
      </c>
      <c r="I3093" s="5"/>
    </row>
    <row r="3094" spans="1:9">
      <c r="A3094" s="156">
        <f>'Reported burning'!A3100</f>
        <v>0</v>
      </c>
      <c r="B3094" s="156">
        <f>'Reported burning'!B3100</f>
        <v>0</v>
      </c>
      <c r="C3094" s="156">
        <f>'Reported burning'!C3100</f>
        <v>0</v>
      </c>
      <c r="D3094" s="156">
        <f>'Reported burning'!D3100</f>
        <v>0</v>
      </c>
      <c r="E3094" s="156">
        <f>'Reported burning'!E3100</f>
        <v>0</v>
      </c>
      <c r="F3094" s="156">
        <f>'Reported burning'!F3100</f>
        <v>0</v>
      </c>
      <c r="G3094" s="156">
        <f>'Reported burning'!G3100</f>
        <v>0</v>
      </c>
      <c r="H3094" s="156">
        <f>'Reported burning'!H3100</f>
        <v>0</v>
      </c>
      <c r="I3094" s="5"/>
    </row>
    <row r="3095" spans="1:9">
      <c r="A3095" s="156">
        <f>'Reported burning'!A3101</f>
        <v>0</v>
      </c>
      <c r="B3095" s="156">
        <f>'Reported burning'!B3101</f>
        <v>0</v>
      </c>
      <c r="C3095" s="156">
        <f>'Reported burning'!C3101</f>
        <v>0</v>
      </c>
      <c r="D3095" s="156">
        <f>'Reported burning'!D3101</f>
        <v>0</v>
      </c>
      <c r="E3095" s="156">
        <f>'Reported burning'!E3101</f>
        <v>0</v>
      </c>
      <c r="F3095" s="156">
        <f>'Reported burning'!F3101</f>
        <v>0</v>
      </c>
      <c r="G3095" s="156">
        <f>'Reported burning'!G3101</f>
        <v>0</v>
      </c>
      <c r="H3095" s="156">
        <f>'Reported burning'!H3101</f>
        <v>0</v>
      </c>
      <c r="I3095" s="5"/>
    </row>
    <row r="3096" spans="1:9">
      <c r="A3096" s="156">
        <f>'Reported burning'!A3102</f>
        <v>0</v>
      </c>
      <c r="B3096" s="156">
        <f>'Reported burning'!B3102</f>
        <v>0</v>
      </c>
      <c r="C3096" s="156">
        <f>'Reported burning'!C3102</f>
        <v>0</v>
      </c>
      <c r="D3096" s="156">
        <f>'Reported burning'!D3102</f>
        <v>0</v>
      </c>
      <c r="E3096" s="156">
        <f>'Reported burning'!E3102</f>
        <v>0</v>
      </c>
      <c r="F3096" s="156">
        <f>'Reported burning'!F3102</f>
        <v>0</v>
      </c>
      <c r="G3096" s="156">
        <f>'Reported burning'!G3102</f>
        <v>0</v>
      </c>
      <c r="H3096" s="156">
        <f>'Reported burning'!H3102</f>
        <v>0</v>
      </c>
      <c r="I3096" s="5"/>
    </row>
    <row r="3097" spans="1:9">
      <c r="A3097" s="156">
        <f>'Reported burning'!A3103</f>
        <v>0</v>
      </c>
      <c r="B3097" s="156">
        <f>'Reported burning'!B3103</f>
        <v>0</v>
      </c>
      <c r="C3097" s="156">
        <f>'Reported burning'!C3103</f>
        <v>0</v>
      </c>
      <c r="D3097" s="156">
        <f>'Reported burning'!D3103</f>
        <v>0</v>
      </c>
      <c r="E3097" s="156">
        <f>'Reported burning'!E3103</f>
        <v>0</v>
      </c>
      <c r="F3097" s="156">
        <f>'Reported burning'!F3103</f>
        <v>0</v>
      </c>
      <c r="G3097" s="156">
        <f>'Reported burning'!G3103</f>
        <v>0</v>
      </c>
      <c r="H3097" s="156">
        <f>'Reported burning'!H3103</f>
        <v>0</v>
      </c>
      <c r="I3097" s="5"/>
    </row>
    <row r="3098" spans="1:9">
      <c r="A3098" s="156">
        <f>'Reported burning'!A3104</f>
        <v>0</v>
      </c>
      <c r="B3098" s="156">
        <f>'Reported burning'!B3104</f>
        <v>0</v>
      </c>
      <c r="C3098" s="156">
        <f>'Reported burning'!C3104</f>
        <v>0</v>
      </c>
      <c r="D3098" s="156">
        <f>'Reported burning'!D3104</f>
        <v>0</v>
      </c>
      <c r="E3098" s="156">
        <f>'Reported burning'!E3104</f>
        <v>0</v>
      </c>
      <c r="F3098" s="156">
        <f>'Reported burning'!F3104</f>
        <v>0</v>
      </c>
      <c r="G3098" s="156">
        <f>'Reported burning'!G3104</f>
        <v>0</v>
      </c>
      <c r="H3098" s="156">
        <f>'Reported burning'!H3104</f>
        <v>0</v>
      </c>
      <c r="I3098" s="5"/>
    </row>
    <row r="3099" spans="1:9">
      <c r="A3099" s="156">
        <f>'Reported burning'!A3105</f>
        <v>0</v>
      </c>
      <c r="B3099" s="156">
        <f>'Reported burning'!B3105</f>
        <v>0</v>
      </c>
      <c r="C3099" s="156">
        <f>'Reported burning'!C3105</f>
        <v>0</v>
      </c>
      <c r="D3099" s="156">
        <f>'Reported burning'!D3105</f>
        <v>0</v>
      </c>
      <c r="E3099" s="156">
        <f>'Reported burning'!E3105</f>
        <v>0</v>
      </c>
      <c r="F3099" s="156">
        <f>'Reported burning'!F3105</f>
        <v>0</v>
      </c>
      <c r="G3099" s="156">
        <f>'Reported burning'!G3105</f>
        <v>0</v>
      </c>
      <c r="H3099" s="156">
        <f>'Reported burning'!H3105</f>
        <v>0</v>
      </c>
      <c r="I3099" s="5"/>
    </row>
    <row r="3100" spans="1:9">
      <c r="A3100" s="156">
        <f>'Reported burning'!A3106</f>
        <v>0</v>
      </c>
      <c r="B3100" s="156">
        <f>'Reported burning'!B3106</f>
        <v>0</v>
      </c>
      <c r="C3100" s="156">
        <f>'Reported burning'!C3106</f>
        <v>0</v>
      </c>
      <c r="D3100" s="156">
        <f>'Reported burning'!D3106</f>
        <v>0</v>
      </c>
      <c r="E3100" s="156">
        <f>'Reported burning'!E3106</f>
        <v>0</v>
      </c>
      <c r="F3100" s="156">
        <f>'Reported burning'!F3106</f>
        <v>0</v>
      </c>
      <c r="G3100" s="156">
        <f>'Reported burning'!G3106</f>
        <v>0</v>
      </c>
      <c r="H3100" s="156">
        <f>'Reported burning'!H3106</f>
        <v>0</v>
      </c>
      <c r="I3100" s="5"/>
    </row>
    <row r="3101" spans="1:9">
      <c r="A3101" s="156">
        <f>'Reported burning'!A3107</f>
        <v>0</v>
      </c>
      <c r="B3101" s="156">
        <f>'Reported burning'!B3107</f>
        <v>0</v>
      </c>
      <c r="C3101" s="156">
        <f>'Reported burning'!C3107</f>
        <v>0</v>
      </c>
      <c r="D3101" s="156">
        <f>'Reported burning'!D3107</f>
        <v>0</v>
      </c>
      <c r="E3101" s="156">
        <f>'Reported burning'!E3107</f>
        <v>0</v>
      </c>
      <c r="F3101" s="156">
        <f>'Reported burning'!F3107</f>
        <v>0</v>
      </c>
      <c r="G3101" s="156">
        <f>'Reported burning'!G3107</f>
        <v>0</v>
      </c>
      <c r="H3101" s="156">
        <f>'Reported burning'!H3107</f>
        <v>0</v>
      </c>
      <c r="I3101" s="5"/>
    </row>
    <row r="3102" spans="1:9">
      <c r="A3102" s="156">
        <f>'Reported burning'!A3108</f>
        <v>0</v>
      </c>
      <c r="B3102" s="156">
        <f>'Reported burning'!B3108</f>
        <v>0</v>
      </c>
      <c r="C3102" s="156">
        <f>'Reported burning'!C3108</f>
        <v>0</v>
      </c>
      <c r="D3102" s="156">
        <f>'Reported burning'!D3108</f>
        <v>0</v>
      </c>
      <c r="E3102" s="156">
        <f>'Reported burning'!E3108</f>
        <v>0</v>
      </c>
      <c r="F3102" s="156">
        <f>'Reported burning'!F3108</f>
        <v>0</v>
      </c>
      <c r="G3102" s="156">
        <f>'Reported burning'!G3108</f>
        <v>0</v>
      </c>
      <c r="H3102" s="156">
        <f>'Reported burning'!H3108</f>
        <v>0</v>
      </c>
      <c r="I3102" s="5"/>
    </row>
    <row r="3103" spans="1:9">
      <c r="A3103" s="156">
        <f>'Reported burning'!A3109</f>
        <v>0</v>
      </c>
      <c r="B3103" s="156">
        <f>'Reported burning'!B3109</f>
        <v>0</v>
      </c>
      <c r="C3103" s="156">
        <f>'Reported burning'!C3109</f>
        <v>0</v>
      </c>
      <c r="D3103" s="156">
        <f>'Reported burning'!D3109</f>
        <v>0</v>
      </c>
      <c r="E3103" s="156">
        <f>'Reported burning'!E3109</f>
        <v>0</v>
      </c>
      <c r="F3103" s="156">
        <f>'Reported burning'!F3109</f>
        <v>0</v>
      </c>
      <c r="G3103" s="156">
        <f>'Reported burning'!G3109</f>
        <v>0</v>
      </c>
      <c r="H3103" s="156">
        <f>'Reported burning'!H3109</f>
        <v>0</v>
      </c>
      <c r="I3103" s="5"/>
    </row>
    <row r="3104" spans="1:9">
      <c r="A3104" s="156">
        <f>'Reported burning'!A3110</f>
        <v>0</v>
      </c>
      <c r="B3104" s="156">
        <f>'Reported burning'!B3110</f>
        <v>0</v>
      </c>
      <c r="C3104" s="156">
        <f>'Reported burning'!C3110</f>
        <v>0</v>
      </c>
      <c r="D3104" s="156">
        <f>'Reported burning'!D3110</f>
        <v>0</v>
      </c>
      <c r="E3104" s="156">
        <f>'Reported burning'!E3110</f>
        <v>0</v>
      </c>
      <c r="F3104" s="156">
        <f>'Reported burning'!F3110</f>
        <v>0</v>
      </c>
      <c r="G3104" s="156">
        <f>'Reported burning'!G3110</f>
        <v>0</v>
      </c>
      <c r="H3104" s="156">
        <f>'Reported burning'!H3110</f>
        <v>0</v>
      </c>
      <c r="I3104" s="5"/>
    </row>
    <row r="3105" spans="1:9">
      <c r="A3105" s="156">
        <f>'Reported burning'!A3111</f>
        <v>0</v>
      </c>
      <c r="B3105" s="156">
        <f>'Reported burning'!B3111</f>
        <v>0</v>
      </c>
      <c r="C3105" s="156">
        <f>'Reported burning'!C3111</f>
        <v>0</v>
      </c>
      <c r="D3105" s="156">
        <f>'Reported burning'!D3111</f>
        <v>0</v>
      </c>
      <c r="E3105" s="156">
        <f>'Reported burning'!E3111</f>
        <v>0</v>
      </c>
      <c r="F3105" s="156">
        <f>'Reported burning'!F3111</f>
        <v>0</v>
      </c>
      <c r="G3105" s="156">
        <f>'Reported burning'!G3111</f>
        <v>0</v>
      </c>
      <c r="H3105" s="156">
        <f>'Reported burning'!H3111</f>
        <v>0</v>
      </c>
      <c r="I3105" s="5"/>
    </row>
    <row r="3106" spans="1:9">
      <c r="A3106" s="156">
        <f>'Reported burning'!A3112</f>
        <v>0</v>
      </c>
      <c r="B3106" s="156">
        <f>'Reported burning'!B3112</f>
        <v>0</v>
      </c>
      <c r="C3106" s="156">
        <f>'Reported burning'!C3112</f>
        <v>0</v>
      </c>
      <c r="D3106" s="156">
        <f>'Reported burning'!D3112</f>
        <v>0</v>
      </c>
      <c r="E3106" s="156">
        <f>'Reported burning'!E3112</f>
        <v>0</v>
      </c>
      <c r="F3106" s="156">
        <f>'Reported burning'!F3112</f>
        <v>0</v>
      </c>
      <c r="G3106" s="156">
        <f>'Reported burning'!G3112</f>
        <v>0</v>
      </c>
      <c r="H3106" s="156">
        <f>'Reported burning'!H3112</f>
        <v>0</v>
      </c>
      <c r="I3106" s="5"/>
    </row>
    <row r="3107" spans="1:9">
      <c r="A3107" s="156">
        <f>'Reported burning'!A3113</f>
        <v>0</v>
      </c>
      <c r="B3107" s="156">
        <f>'Reported burning'!B3113</f>
        <v>0</v>
      </c>
      <c r="C3107" s="156">
        <f>'Reported burning'!C3113</f>
        <v>0</v>
      </c>
      <c r="D3107" s="156">
        <f>'Reported burning'!D3113</f>
        <v>0</v>
      </c>
      <c r="E3107" s="156">
        <f>'Reported burning'!E3113</f>
        <v>0</v>
      </c>
      <c r="F3107" s="156">
        <f>'Reported burning'!F3113</f>
        <v>0</v>
      </c>
      <c r="G3107" s="156">
        <f>'Reported burning'!G3113</f>
        <v>0</v>
      </c>
      <c r="H3107" s="156">
        <f>'Reported burning'!H3113</f>
        <v>0</v>
      </c>
      <c r="I3107" s="5"/>
    </row>
    <row r="3108" spans="1:9">
      <c r="A3108" s="156">
        <f>'Reported burning'!A3114</f>
        <v>0</v>
      </c>
      <c r="B3108" s="156">
        <f>'Reported burning'!B3114</f>
        <v>0</v>
      </c>
      <c r="C3108" s="156">
        <f>'Reported burning'!C3114</f>
        <v>0</v>
      </c>
      <c r="D3108" s="156">
        <f>'Reported burning'!D3114</f>
        <v>0</v>
      </c>
      <c r="E3108" s="156">
        <f>'Reported burning'!E3114</f>
        <v>0</v>
      </c>
      <c r="F3108" s="156">
        <f>'Reported burning'!F3114</f>
        <v>0</v>
      </c>
      <c r="G3108" s="156">
        <f>'Reported burning'!G3114</f>
        <v>0</v>
      </c>
      <c r="H3108" s="156">
        <f>'Reported burning'!H3114</f>
        <v>0</v>
      </c>
      <c r="I3108" s="5"/>
    </row>
    <row r="3109" spans="1:9">
      <c r="A3109" s="156">
        <f>'Reported burning'!A3115</f>
        <v>0</v>
      </c>
      <c r="B3109" s="156">
        <f>'Reported burning'!B3115</f>
        <v>0</v>
      </c>
      <c r="C3109" s="156">
        <f>'Reported burning'!C3115</f>
        <v>0</v>
      </c>
      <c r="D3109" s="156">
        <f>'Reported burning'!D3115</f>
        <v>0</v>
      </c>
      <c r="E3109" s="156">
        <f>'Reported burning'!E3115</f>
        <v>0</v>
      </c>
      <c r="F3109" s="156">
        <f>'Reported burning'!F3115</f>
        <v>0</v>
      </c>
      <c r="G3109" s="156">
        <f>'Reported burning'!G3115</f>
        <v>0</v>
      </c>
      <c r="H3109" s="156">
        <f>'Reported burning'!H3115</f>
        <v>0</v>
      </c>
      <c r="I3109" s="5"/>
    </row>
    <row r="3110" spans="1:9">
      <c r="A3110" s="156">
        <f>'Reported burning'!A3116</f>
        <v>0</v>
      </c>
      <c r="B3110" s="156">
        <f>'Reported burning'!B3116</f>
        <v>0</v>
      </c>
      <c r="C3110" s="156">
        <f>'Reported burning'!C3116</f>
        <v>0</v>
      </c>
      <c r="D3110" s="156">
        <f>'Reported burning'!D3116</f>
        <v>0</v>
      </c>
      <c r="E3110" s="156">
        <f>'Reported burning'!E3116</f>
        <v>0</v>
      </c>
      <c r="F3110" s="156">
        <f>'Reported burning'!F3116</f>
        <v>0</v>
      </c>
      <c r="G3110" s="156">
        <f>'Reported burning'!G3116</f>
        <v>0</v>
      </c>
      <c r="H3110" s="156">
        <f>'Reported burning'!H3116</f>
        <v>0</v>
      </c>
      <c r="I3110" s="5"/>
    </row>
    <row r="3111" spans="1:9">
      <c r="A3111" s="156">
        <f>'Reported burning'!A3117</f>
        <v>0</v>
      </c>
      <c r="B3111" s="156">
        <f>'Reported burning'!B3117</f>
        <v>0</v>
      </c>
      <c r="C3111" s="156">
        <f>'Reported burning'!C3117</f>
        <v>0</v>
      </c>
      <c r="D3111" s="156">
        <f>'Reported burning'!D3117</f>
        <v>0</v>
      </c>
      <c r="E3111" s="156">
        <f>'Reported burning'!E3117</f>
        <v>0</v>
      </c>
      <c r="F3111" s="156">
        <f>'Reported burning'!F3117</f>
        <v>0</v>
      </c>
      <c r="G3111" s="156">
        <f>'Reported burning'!G3117</f>
        <v>0</v>
      </c>
      <c r="H3111" s="156">
        <f>'Reported burning'!H3117</f>
        <v>0</v>
      </c>
      <c r="I3111" s="5"/>
    </row>
    <row r="3112" spans="1:9">
      <c r="A3112" s="156">
        <f>'Reported burning'!A3118</f>
        <v>0</v>
      </c>
      <c r="B3112" s="156">
        <f>'Reported burning'!B3118</f>
        <v>0</v>
      </c>
      <c r="C3112" s="156">
        <f>'Reported burning'!C3118</f>
        <v>0</v>
      </c>
      <c r="D3112" s="156">
        <f>'Reported burning'!D3118</f>
        <v>0</v>
      </c>
      <c r="E3112" s="156">
        <f>'Reported burning'!E3118</f>
        <v>0</v>
      </c>
      <c r="F3112" s="156">
        <f>'Reported burning'!F3118</f>
        <v>0</v>
      </c>
      <c r="G3112" s="156">
        <f>'Reported burning'!G3118</f>
        <v>0</v>
      </c>
      <c r="H3112" s="156">
        <f>'Reported burning'!H3118</f>
        <v>0</v>
      </c>
      <c r="I3112" s="5"/>
    </row>
    <row r="3113" spans="1:9">
      <c r="A3113" s="156">
        <f>'Reported burning'!A3119</f>
        <v>0</v>
      </c>
      <c r="B3113" s="156">
        <f>'Reported burning'!B3119</f>
        <v>0</v>
      </c>
      <c r="C3113" s="156">
        <f>'Reported burning'!C3119</f>
        <v>0</v>
      </c>
      <c r="D3113" s="156">
        <f>'Reported burning'!D3119</f>
        <v>0</v>
      </c>
      <c r="E3113" s="156">
        <f>'Reported burning'!E3119</f>
        <v>0</v>
      </c>
      <c r="F3113" s="156">
        <f>'Reported burning'!F3119</f>
        <v>0</v>
      </c>
      <c r="G3113" s="156">
        <f>'Reported burning'!G3119</f>
        <v>0</v>
      </c>
      <c r="H3113" s="156">
        <f>'Reported burning'!H3119</f>
        <v>0</v>
      </c>
      <c r="I3113" s="5"/>
    </row>
    <row r="3114" spans="1:9">
      <c r="A3114" s="156">
        <f>'Reported burning'!A3120</f>
        <v>0</v>
      </c>
      <c r="B3114" s="156">
        <f>'Reported burning'!B3120</f>
        <v>0</v>
      </c>
      <c r="C3114" s="156">
        <f>'Reported burning'!C3120</f>
        <v>0</v>
      </c>
      <c r="D3114" s="156">
        <f>'Reported burning'!D3120</f>
        <v>0</v>
      </c>
      <c r="E3114" s="156">
        <f>'Reported burning'!E3120</f>
        <v>0</v>
      </c>
      <c r="F3114" s="156">
        <f>'Reported burning'!F3120</f>
        <v>0</v>
      </c>
      <c r="G3114" s="156">
        <f>'Reported burning'!G3120</f>
        <v>0</v>
      </c>
      <c r="H3114" s="156">
        <f>'Reported burning'!H3120</f>
        <v>0</v>
      </c>
      <c r="I3114" s="5"/>
    </row>
    <row r="3115" spans="1:9">
      <c r="A3115" s="156">
        <f>'Reported burning'!A3121</f>
        <v>0</v>
      </c>
      <c r="B3115" s="156">
        <f>'Reported burning'!B3121</f>
        <v>0</v>
      </c>
      <c r="C3115" s="156">
        <f>'Reported burning'!C3121</f>
        <v>0</v>
      </c>
      <c r="D3115" s="156">
        <f>'Reported burning'!D3121</f>
        <v>0</v>
      </c>
      <c r="E3115" s="156">
        <f>'Reported burning'!E3121</f>
        <v>0</v>
      </c>
      <c r="F3115" s="156">
        <f>'Reported burning'!F3121</f>
        <v>0</v>
      </c>
      <c r="G3115" s="156">
        <f>'Reported burning'!G3121</f>
        <v>0</v>
      </c>
      <c r="H3115" s="156">
        <f>'Reported burning'!H3121</f>
        <v>0</v>
      </c>
      <c r="I3115" s="5"/>
    </row>
    <row r="3116" spans="1:9">
      <c r="A3116" s="156">
        <f>'Reported burning'!A3122</f>
        <v>0</v>
      </c>
      <c r="B3116" s="156">
        <f>'Reported burning'!B3122</f>
        <v>0</v>
      </c>
      <c r="C3116" s="156">
        <f>'Reported burning'!C3122</f>
        <v>0</v>
      </c>
      <c r="D3116" s="156">
        <f>'Reported burning'!D3122</f>
        <v>0</v>
      </c>
      <c r="E3116" s="156">
        <f>'Reported burning'!E3122</f>
        <v>0</v>
      </c>
      <c r="F3116" s="156">
        <f>'Reported burning'!F3122</f>
        <v>0</v>
      </c>
      <c r="G3116" s="156">
        <f>'Reported burning'!G3122</f>
        <v>0</v>
      </c>
      <c r="H3116" s="156">
        <f>'Reported burning'!H3122</f>
        <v>0</v>
      </c>
      <c r="I3116" s="5"/>
    </row>
    <row r="3117" spans="1:9">
      <c r="A3117" s="156">
        <f>'Reported burning'!A3123</f>
        <v>0</v>
      </c>
      <c r="B3117" s="156">
        <f>'Reported burning'!B3123</f>
        <v>0</v>
      </c>
      <c r="C3117" s="156">
        <f>'Reported burning'!C3123</f>
        <v>0</v>
      </c>
      <c r="D3117" s="156">
        <f>'Reported burning'!D3123</f>
        <v>0</v>
      </c>
      <c r="E3117" s="156">
        <f>'Reported burning'!E3123</f>
        <v>0</v>
      </c>
      <c r="F3117" s="156">
        <f>'Reported burning'!F3123</f>
        <v>0</v>
      </c>
      <c r="G3117" s="156">
        <f>'Reported burning'!G3123</f>
        <v>0</v>
      </c>
      <c r="H3117" s="156">
        <f>'Reported burning'!H3123</f>
        <v>0</v>
      </c>
      <c r="I3117" s="5"/>
    </row>
    <row r="3118" spans="1:9">
      <c r="A3118" s="156">
        <f>'Reported burning'!A3124</f>
        <v>0</v>
      </c>
      <c r="B3118" s="156">
        <f>'Reported burning'!B3124</f>
        <v>0</v>
      </c>
      <c r="C3118" s="156">
        <f>'Reported burning'!C3124</f>
        <v>0</v>
      </c>
      <c r="D3118" s="156">
        <f>'Reported burning'!D3124</f>
        <v>0</v>
      </c>
      <c r="E3118" s="156">
        <f>'Reported burning'!E3124</f>
        <v>0</v>
      </c>
      <c r="F3118" s="156">
        <f>'Reported burning'!F3124</f>
        <v>0</v>
      </c>
      <c r="G3118" s="156">
        <f>'Reported burning'!G3124</f>
        <v>0</v>
      </c>
      <c r="H3118" s="156">
        <f>'Reported burning'!H3124</f>
        <v>0</v>
      </c>
      <c r="I3118" s="5"/>
    </row>
    <row r="3119" spans="1:9">
      <c r="A3119" s="156">
        <f>'Reported burning'!A3125</f>
        <v>0</v>
      </c>
      <c r="B3119" s="156">
        <f>'Reported burning'!B3125</f>
        <v>0</v>
      </c>
      <c r="C3119" s="156">
        <f>'Reported burning'!C3125</f>
        <v>0</v>
      </c>
      <c r="D3119" s="156">
        <f>'Reported burning'!D3125</f>
        <v>0</v>
      </c>
      <c r="E3119" s="156">
        <f>'Reported burning'!E3125</f>
        <v>0</v>
      </c>
      <c r="F3119" s="156">
        <f>'Reported burning'!F3125</f>
        <v>0</v>
      </c>
      <c r="G3119" s="156">
        <f>'Reported burning'!G3125</f>
        <v>0</v>
      </c>
      <c r="H3119" s="156">
        <f>'Reported burning'!H3125</f>
        <v>0</v>
      </c>
      <c r="I3119" s="5"/>
    </row>
    <row r="3120" spans="1:9">
      <c r="A3120" s="156">
        <f>'Reported burning'!A3126</f>
        <v>0</v>
      </c>
      <c r="B3120" s="156">
        <f>'Reported burning'!B3126</f>
        <v>0</v>
      </c>
      <c r="C3120" s="156">
        <f>'Reported burning'!C3126</f>
        <v>0</v>
      </c>
      <c r="D3120" s="156">
        <f>'Reported burning'!D3126</f>
        <v>0</v>
      </c>
      <c r="E3120" s="156">
        <f>'Reported burning'!E3126</f>
        <v>0</v>
      </c>
      <c r="F3120" s="156">
        <f>'Reported burning'!F3126</f>
        <v>0</v>
      </c>
      <c r="G3120" s="156">
        <f>'Reported burning'!G3126</f>
        <v>0</v>
      </c>
      <c r="H3120" s="156">
        <f>'Reported burning'!H3126</f>
        <v>0</v>
      </c>
      <c r="I3120" s="5"/>
    </row>
    <row r="3121" spans="1:9">
      <c r="A3121" s="156">
        <f>'Reported burning'!A3127</f>
        <v>0</v>
      </c>
      <c r="B3121" s="156">
        <f>'Reported burning'!B3127</f>
        <v>0</v>
      </c>
      <c r="C3121" s="156">
        <f>'Reported burning'!C3127</f>
        <v>0</v>
      </c>
      <c r="D3121" s="156">
        <f>'Reported burning'!D3127</f>
        <v>0</v>
      </c>
      <c r="E3121" s="156">
        <f>'Reported burning'!E3127</f>
        <v>0</v>
      </c>
      <c r="F3121" s="156">
        <f>'Reported burning'!F3127</f>
        <v>0</v>
      </c>
      <c r="G3121" s="156">
        <f>'Reported burning'!G3127</f>
        <v>0</v>
      </c>
      <c r="H3121" s="156">
        <f>'Reported burning'!H3127</f>
        <v>0</v>
      </c>
      <c r="I3121" s="5"/>
    </row>
    <row r="3122" spans="1:9">
      <c r="A3122" s="156">
        <f>'Reported burning'!A3128</f>
        <v>0</v>
      </c>
      <c r="B3122" s="156">
        <f>'Reported burning'!B3128</f>
        <v>0</v>
      </c>
      <c r="C3122" s="156">
        <f>'Reported burning'!C3128</f>
        <v>0</v>
      </c>
      <c r="D3122" s="156">
        <f>'Reported burning'!D3128</f>
        <v>0</v>
      </c>
      <c r="E3122" s="156">
        <f>'Reported burning'!E3128</f>
        <v>0</v>
      </c>
      <c r="F3122" s="156">
        <f>'Reported burning'!F3128</f>
        <v>0</v>
      </c>
      <c r="G3122" s="156">
        <f>'Reported burning'!G3128</f>
        <v>0</v>
      </c>
      <c r="H3122" s="156">
        <f>'Reported burning'!H3128</f>
        <v>0</v>
      </c>
      <c r="I3122" s="5"/>
    </row>
    <row r="3123" spans="1:9">
      <c r="A3123" s="156">
        <f>'Reported burning'!A3129</f>
        <v>0</v>
      </c>
      <c r="B3123" s="156">
        <f>'Reported burning'!B3129</f>
        <v>0</v>
      </c>
      <c r="C3123" s="156">
        <f>'Reported burning'!C3129</f>
        <v>0</v>
      </c>
      <c r="D3123" s="156">
        <f>'Reported burning'!D3129</f>
        <v>0</v>
      </c>
      <c r="E3123" s="156">
        <f>'Reported burning'!E3129</f>
        <v>0</v>
      </c>
      <c r="F3123" s="156">
        <f>'Reported burning'!F3129</f>
        <v>0</v>
      </c>
      <c r="G3123" s="156">
        <f>'Reported burning'!G3129</f>
        <v>0</v>
      </c>
      <c r="H3123" s="156">
        <f>'Reported burning'!H3129</f>
        <v>0</v>
      </c>
      <c r="I3123" s="5"/>
    </row>
    <row r="3124" spans="1:9">
      <c r="A3124" s="156">
        <f>'Reported burning'!A3130</f>
        <v>0</v>
      </c>
      <c r="B3124" s="156">
        <f>'Reported burning'!B3130</f>
        <v>0</v>
      </c>
      <c r="C3124" s="156">
        <f>'Reported burning'!C3130</f>
        <v>0</v>
      </c>
      <c r="D3124" s="156">
        <f>'Reported burning'!D3130</f>
        <v>0</v>
      </c>
      <c r="E3124" s="156">
        <f>'Reported burning'!E3130</f>
        <v>0</v>
      </c>
      <c r="F3124" s="156">
        <f>'Reported burning'!F3130</f>
        <v>0</v>
      </c>
      <c r="G3124" s="156">
        <f>'Reported burning'!G3130</f>
        <v>0</v>
      </c>
      <c r="H3124" s="156">
        <f>'Reported burning'!H3130</f>
        <v>0</v>
      </c>
      <c r="I3124" s="5"/>
    </row>
    <row r="3125" spans="1:9">
      <c r="A3125" s="156">
        <f>'Reported burning'!A3131</f>
        <v>0</v>
      </c>
      <c r="B3125" s="156">
        <f>'Reported burning'!B3131</f>
        <v>0</v>
      </c>
      <c r="C3125" s="156">
        <f>'Reported burning'!C3131</f>
        <v>0</v>
      </c>
      <c r="D3125" s="156">
        <f>'Reported burning'!D3131</f>
        <v>0</v>
      </c>
      <c r="E3125" s="156">
        <f>'Reported burning'!E3131</f>
        <v>0</v>
      </c>
      <c r="F3125" s="156">
        <f>'Reported burning'!F3131</f>
        <v>0</v>
      </c>
      <c r="G3125" s="156">
        <f>'Reported burning'!G3131</f>
        <v>0</v>
      </c>
      <c r="H3125" s="156">
        <f>'Reported burning'!H3131</f>
        <v>0</v>
      </c>
      <c r="I3125" s="5"/>
    </row>
    <row r="3126" spans="1:9">
      <c r="A3126" s="156">
        <f>'Reported burning'!A3132</f>
        <v>0</v>
      </c>
      <c r="B3126" s="156">
        <f>'Reported burning'!B3132</f>
        <v>0</v>
      </c>
      <c r="C3126" s="156">
        <f>'Reported burning'!C3132</f>
        <v>0</v>
      </c>
      <c r="D3126" s="156">
        <f>'Reported burning'!D3132</f>
        <v>0</v>
      </c>
      <c r="E3126" s="156">
        <f>'Reported burning'!E3132</f>
        <v>0</v>
      </c>
      <c r="F3126" s="156">
        <f>'Reported burning'!F3132</f>
        <v>0</v>
      </c>
      <c r="G3126" s="156">
        <f>'Reported burning'!G3132</f>
        <v>0</v>
      </c>
      <c r="H3126" s="156">
        <f>'Reported burning'!H3132</f>
        <v>0</v>
      </c>
      <c r="I3126" s="5"/>
    </row>
    <row r="3127" spans="1:9">
      <c r="A3127" s="156">
        <f>'Reported burning'!A3133</f>
        <v>0</v>
      </c>
      <c r="B3127" s="156">
        <f>'Reported burning'!B3133</f>
        <v>0</v>
      </c>
      <c r="C3127" s="156">
        <f>'Reported burning'!C3133</f>
        <v>0</v>
      </c>
      <c r="D3127" s="156">
        <f>'Reported burning'!D3133</f>
        <v>0</v>
      </c>
      <c r="E3127" s="156">
        <f>'Reported burning'!E3133</f>
        <v>0</v>
      </c>
      <c r="F3127" s="156">
        <f>'Reported burning'!F3133</f>
        <v>0</v>
      </c>
      <c r="G3127" s="156">
        <f>'Reported burning'!G3133</f>
        <v>0</v>
      </c>
      <c r="H3127" s="156">
        <f>'Reported burning'!H3133</f>
        <v>0</v>
      </c>
      <c r="I3127" s="5"/>
    </row>
    <row r="3128" spans="1:9">
      <c r="A3128" s="156">
        <f>'Reported burning'!A3134</f>
        <v>0</v>
      </c>
      <c r="B3128" s="156">
        <f>'Reported burning'!B3134</f>
        <v>0</v>
      </c>
      <c r="C3128" s="156">
        <f>'Reported burning'!C3134</f>
        <v>0</v>
      </c>
      <c r="D3128" s="156">
        <f>'Reported burning'!D3134</f>
        <v>0</v>
      </c>
      <c r="E3128" s="156">
        <f>'Reported burning'!E3134</f>
        <v>0</v>
      </c>
      <c r="F3128" s="156">
        <f>'Reported burning'!F3134</f>
        <v>0</v>
      </c>
      <c r="G3128" s="156">
        <f>'Reported burning'!G3134</f>
        <v>0</v>
      </c>
      <c r="H3128" s="156">
        <f>'Reported burning'!H3134</f>
        <v>0</v>
      </c>
      <c r="I3128" s="5"/>
    </row>
    <row r="3129" spans="1:9">
      <c r="A3129" s="156">
        <f>'Reported burning'!A3135</f>
        <v>0</v>
      </c>
      <c r="B3129" s="156">
        <f>'Reported burning'!B3135</f>
        <v>0</v>
      </c>
      <c r="C3129" s="156">
        <f>'Reported burning'!C3135</f>
        <v>0</v>
      </c>
      <c r="D3129" s="156">
        <f>'Reported burning'!D3135</f>
        <v>0</v>
      </c>
      <c r="E3129" s="156">
        <f>'Reported burning'!E3135</f>
        <v>0</v>
      </c>
      <c r="F3129" s="156">
        <f>'Reported burning'!F3135</f>
        <v>0</v>
      </c>
      <c r="G3129" s="156">
        <f>'Reported burning'!G3135</f>
        <v>0</v>
      </c>
      <c r="H3129" s="156">
        <f>'Reported burning'!H3135</f>
        <v>0</v>
      </c>
      <c r="I3129" s="5"/>
    </row>
    <row r="3130" spans="1:9">
      <c r="A3130" s="156">
        <f>'Reported burning'!A3136</f>
        <v>0</v>
      </c>
      <c r="B3130" s="156">
        <f>'Reported burning'!B3136</f>
        <v>0</v>
      </c>
      <c r="C3130" s="156">
        <f>'Reported burning'!C3136</f>
        <v>0</v>
      </c>
      <c r="D3130" s="156">
        <f>'Reported burning'!D3136</f>
        <v>0</v>
      </c>
      <c r="E3130" s="156">
        <f>'Reported burning'!E3136</f>
        <v>0</v>
      </c>
      <c r="F3130" s="156">
        <f>'Reported burning'!F3136</f>
        <v>0</v>
      </c>
      <c r="G3130" s="156">
        <f>'Reported burning'!G3136</f>
        <v>0</v>
      </c>
      <c r="H3130" s="156">
        <f>'Reported burning'!H3136</f>
        <v>0</v>
      </c>
      <c r="I3130" s="5"/>
    </row>
    <row r="3131" spans="1:9">
      <c r="A3131" s="156">
        <f>'Reported burning'!A3137</f>
        <v>0</v>
      </c>
      <c r="B3131" s="156">
        <f>'Reported burning'!B3137</f>
        <v>0</v>
      </c>
      <c r="C3131" s="156">
        <f>'Reported burning'!C3137</f>
        <v>0</v>
      </c>
      <c r="D3131" s="156">
        <f>'Reported burning'!D3137</f>
        <v>0</v>
      </c>
      <c r="E3131" s="156">
        <f>'Reported burning'!E3137</f>
        <v>0</v>
      </c>
      <c r="F3131" s="156">
        <f>'Reported burning'!F3137</f>
        <v>0</v>
      </c>
      <c r="G3131" s="156">
        <f>'Reported burning'!G3137</f>
        <v>0</v>
      </c>
      <c r="H3131" s="156">
        <f>'Reported burning'!H3137</f>
        <v>0</v>
      </c>
      <c r="I3131" s="5"/>
    </row>
    <row r="3132" spans="1:9">
      <c r="A3132" s="156">
        <f>'Reported burning'!A3138</f>
        <v>0</v>
      </c>
      <c r="B3132" s="156">
        <f>'Reported burning'!B3138</f>
        <v>0</v>
      </c>
      <c r="C3132" s="156">
        <f>'Reported burning'!C3138</f>
        <v>0</v>
      </c>
      <c r="D3132" s="156">
        <f>'Reported burning'!D3138</f>
        <v>0</v>
      </c>
      <c r="E3132" s="156">
        <f>'Reported burning'!E3138</f>
        <v>0</v>
      </c>
      <c r="F3132" s="156">
        <f>'Reported burning'!F3138</f>
        <v>0</v>
      </c>
      <c r="G3132" s="156">
        <f>'Reported burning'!G3138</f>
        <v>0</v>
      </c>
      <c r="H3132" s="156">
        <f>'Reported burning'!H3138</f>
        <v>0</v>
      </c>
      <c r="I3132" s="5"/>
    </row>
    <row r="3133" spans="1:9">
      <c r="A3133" s="156">
        <f>'Reported burning'!A3139</f>
        <v>0</v>
      </c>
      <c r="B3133" s="156">
        <f>'Reported burning'!B3139</f>
        <v>0</v>
      </c>
      <c r="C3133" s="156">
        <f>'Reported burning'!C3139</f>
        <v>0</v>
      </c>
      <c r="D3133" s="156">
        <f>'Reported burning'!D3139</f>
        <v>0</v>
      </c>
      <c r="E3133" s="156">
        <f>'Reported burning'!E3139</f>
        <v>0</v>
      </c>
      <c r="F3133" s="156">
        <f>'Reported burning'!F3139</f>
        <v>0</v>
      </c>
      <c r="G3133" s="156">
        <f>'Reported burning'!G3139</f>
        <v>0</v>
      </c>
      <c r="H3133" s="156">
        <f>'Reported burning'!H3139</f>
        <v>0</v>
      </c>
      <c r="I3133" s="5"/>
    </row>
    <row r="3134" spans="1:9">
      <c r="A3134" s="156">
        <f>'Reported burning'!A3140</f>
        <v>0</v>
      </c>
      <c r="B3134" s="156">
        <f>'Reported burning'!B3140</f>
        <v>0</v>
      </c>
      <c r="C3134" s="156">
        <f>'Reported burning'!C3140</f>
        <v>0</v>
      </c>
      <c r="D3134" s="156">
        <f>'Reported burning'!D3140</f>
        <v>0</v>
      </c>
      <c r="E3134" s="156">
        <f>'Reported burning'!E3140</f>
        <v>0</v>
      </c>
      <c r="F3134" s="156">
        <f>'Reported burning'!F3140</f>
        <v>0</v>
      </c>
      <c r="G3134" s="156">
        <f>'Reported burning'!G3140</f>
        <v>0</v>
      </c>
      <c r="H3134" s="156">
        <f>'Reported burning'!H3140</f>
        <v>0</v>
      </c>
      <c r="I3134" s="5"/>
    </row>
    <row r="3135" spans="1:9">
      <c r="A3135" s="156">
        <f>'Reported burning'!A3141</f>
        <v>0</v>
      </c>
      <c r="B3135" s="156">
        <f>'Reported burning'!B3141</f>
        <v>0</v>
      </c>
      <c r="C3135" s="156">
        <f>'Reported burning'!C3141</f>
        <v>0</v>
      </c>
      <c r="D3135" s="156">
        <f>'Reported burning'!D3141</f>
        <v>0</v>
      </c>
      <c r="E3135" s="156">
        <f>'Reported burning'!E3141</f>
        <v>0</v>
      </c>
      <c r="F3135" s="156">
        <f>'Reported burning'!F3141</f>
        <v>0</v>
      </c>
      <c r="G3135" s="156">
        <f>'Reported burning'!G3141</f>
        <v>0</v>
      </c>
      <c r="H3135" s="156">
        <f>'Reported burning'!H3141</f>
        <v>0</v>
      </c>
      <c r="I3135" s="5"/>
    </row>
    <row r="3136" spans="1:9">
      <c r="A3136" s="156">
        <f>'Reported burning'!A3142</f>
        <v>0</v>
      </c>
      <c r="B3136" s="156">
        <f>'Reported burning'!B3142</f>
        <v>0</v>
      </c>
      <c r="C3136" s="156">
        <f>'Reported burning'!C3142</f>
        <v>0</v>
      </c>
      <c r="D3136" s="156">
        <f>'Reported burning'!D3142</f>
        <v>0</v>
      </c>
      <c r="E3136" s="156">
        <f>'Reported burning'!E3142</f>
        <v>0</v>
      </c>
      <c r="F3136" s="156">
        <f>'Reported burning'!F3142</f>
        <v>0</v>
      </c>
      <c r="G3136" s="156">
        <f>'Reported burning'!G3142</f>
        <v>0</v>
      </c>
      <c r="H3136" s="156">
        <f>'Reported burning'!H3142</f>
        <v>0</v>
      </c>
      <c r="I3136" s="5"/>
    </row>
    <row r="3137" spans="1:9">
      <c r="A3137" s="156">
        <f>'Reported burning'!A3143</f>
        <v>0</v>
      </c>
      <c r="B3137" s="156">
        <f>'Reported burning'!B3143</f>
        <v>0</v>
      </c>
      <c r="C3137" s="156">
        <f>'Reported burning'!C3143</f>
        <v>0</v>
      </c>
      <c r="D3137" s="156">
        <f>'Reported burning'!D3143</f>
        <v>0</v>
      </c>
      <c r="E3137" s="156">
        <f>'Reported burning'!E3143</f>
        <v>0</v>
      </c>
      <c r="F3137" s="156">
        <f>'Reported burning'!F3143</f>
        <v>0</v>
      </c>
      <c r="G3137" s="156">
        <f>'Reported burning'!G3143</f>
        <v>0</v>
      </c>
      <c r="H3137" s="156">
        <f>'Reported burning'!H3143</f>
        <v>0</v>
      </c>
      <c r="I3137" s="5"/>
    </row>
    <row r="3138" spans="1:9">
      <c r="A3138" s="156">
        <f>'Reported burning'!A3144</f>
        <v>0</v>
      </c>
      <c r="B3138" s="156">
        <f>'Reported burning'!B3144</f>
        <v>0</v>
      </c>
      <c r="C3138" s="156">
        <f>'Reported burning'!C3144</f>
        <v>0</v>
      </c>
      <c r="D3138" s="156">
        <f>'Reported burning'!D3144</f>
        <v>0</v>
      </c>
      <c r="E3138" s="156">
        <f>'Reported burning'!E3144</f>
        <v>0</v>
      </c>
      <c r="F3138" s="156">
        <f>'Reported burning'!F3144</f>
        <v>0</v>
      </c>
      <c r="G3138" s="156">
        <f>'Reported burning'!G3144</f>
        <v>0</v>
      </c>
      <c r="H3138" s="156">
        <f>'Reported burning'!H3144</f>
        <v>0</v>
      </c>
      <c r="I3138" s="5"/>
    </row>
    <row r="3139" spans="1:9">
      <c r="A3139" s="156">
        <f>'Reported burning'!A3145</f>
        <v>0</v>
      </c>
      <c r="B3139" s="156">
        <f>'Reported burning'!B3145</f>
        <v>0</v>
      </c>
      <c r="C3139" s="156">
        <f>'Reported burning'!C3145</f>
        <v>0</v>
      </c>
      <c r="D3139" s="156">
        <f>'Reported burning'!D3145</f>
        <v>0</v>
      </c>
      <c r="E3139" s="156">
        <f>'Reported burning'!E3145</f>
        <v>0</v>
      </c>
      <c r="F3139" s="156">
        <f>'Reported burning'!F3145</f>
        <v>0</v>
      </c>
      <c r="G3139" s="156">
        <f>'Reported burning'!G3145</f>
        <v>0</v>
      </c>
      <c r="H3139" s="156">
        <f>'Reported burning'!H3145</f>
        <v>0</v>
      </c>
      <c r="I3139" s="5"/>
    </row>
    <row r="3140" spans="1:9">
      <c r="A3140" s="156">
        <f>'Reported burning'!A3146</f>
        <v>0</v>
      </c>
      <c r="B3140" s="156">
        <f>'Reported burning'!B3146</f>
        <v>0</v>
      </c>
      <c r="C3140" s="156">
        <f>'Reported burning'!C3146</f>
        <v>0</v>
      </c>
      <c r="D3140" s="156">
        <f>'Reported burning'!D3146</f>
        <v>0</v>
      </c>
      <c r="E3140" s="156">
        <f>'Reported burning'!E3146</f>
        <v>0</v>
      </c>
      <c r="F3140" s="156">
        <f>'Reported burning'!F3146</f>
        <v>0</v>
      </c>
      <c r="G3140" s="156">
        <f>'Reported burning'!G3146</f>
        <v>0</v>
      </c>
      <c r="H3140" s="156">
        <f>'Reported burning'!H3146</f>
        <v>0</v>
      </c>
      <c r="I3140" s="5"/>
    </row>
    <row r="3141" spans="1:9">
      <c r="A3141" s="156">
        <f>'Reported burning'!A3147</f>
        <v>0</v>
      </c>
      <c r="B3141" s="156">
        <f>'Reported burning'!B3147</f>
        <v>0</v>
      </c>
      <c r="C3141" s="156">
        <f>'Reported burning'!C3147</f>
        <v>0</v>
      </c>
      <c r="D3141" s="156">
        <f>'Reported burning'!D3147</f>
        <v>0</v>
      </c>
      <c r="E3141" s="156">
        <f>'Reported burning'!E3147</f>
        <v>0</v>
      </c>
      <c r="F3141" s="156">
        <f>'Reported burning'!F3147</f>
        <v>0</v>
      </c>
      <c r="G3141" s="156">
        <f>'Reported burning'!G3147</f>
        <v>0</v>
      </c>
      <c r="H3141" s="156">
        <f>'Reported burning'!H3147</f>
        <v>0</v>
      </c>
      <c r="I3141" s="5"/>
    </row>
    <row r="3142" spans="1:9">
      <c r="A3142" s="156">
        <f>'Reported burning'!A3148</f>
        <v>0</v>
      </c>
      <c r="B3142" s="156">
        <f>'Reported burning'!B3148</f>
        <v>0</v>
      </c>
      <c r="C3142" s="156">
        <f>'Reported burning'!C3148</f>
        <v>0</v>
      </c>
      <c r="D3142" s="156">
        <f>'Reported burning'!D3148</f>
        <v>0</v>
      </c>
      <c r="E3142" s="156">
        <f>'Reported burning'!E3148</f>
        <v>0</v>
      </c>
      <c r="F3142" s="156">
        <f>'Reported burning'!F3148</f>
        <v>0</v>
      </c>
      <c r="G3142" s="156">
        <f>'Reported burning'!G3148</f>
        <v>0</v>
      </c>
      <c r="H3142" s="156">
        <f>'Reported burning'!H3148</f>
        <v>0</v>
      </c>
      <c r="I3142" s="5"/>
    </row>
    <row r="3143" spans="1:9">
      <c r="A3143" s="156">
        <f>'Reported burning'!A3149</f>
        <v>0</v>
      </c>
      <c r="B3143" s="156">
        <f>'Reported burning'!B3149</f>
        <v>0</v>
      </c>
      <c r="C3143" s="156">
        <f>'Reported burning'!C3149</f>
        <v>0</v>
      </c>
      <c r="D3143" s="156">
        <f>'Reported burning'!D3149</f>
        <v>0</v>
      </c>
      <c r="E3143" s="156">
        <f>'Reported burning'!E3149</f>
        <v>0</v>
      </c>
      <c r="F3143" s="156">
        <f>'Reported burning'!F3149</f>
        <v>0</v>
      </c>
      <c r="G3143" s="156">
        <f>'Reported burning'!G3149</f>
        <v>0</v>
      </c>
      <c r="H3143" s="156">
        <f>'Reported burning'!H3149</f>
        <v>0</v>
      </c>
      <c r="I3143" s="5"/>
    </row>
    <row r="3144" spans="1:9">
      <c r="A3144" s="156">
        <f>'Reported burning'!A3150</f>
        <v>0</v>
      </c>
      <c r="B3144" s="156">
        <f>'Reported burning'!B3150</f>
        <v>0</v>
      </c>
      <c r="C3144" s="156">
        <f>'Reported burning'!C3150</f>
        <v>0</v>
      </c>
      <c r="D3144" s="156">
        <f>'Reported burning'!D3150</f>
        <v>0</v>
      </c>
      <c r="E3144" s="156">
        <f>'Reported burning'!E3150</f>
        <v>0</v>
      </c>
      <c r="F3144" s="156">
        <f>'Reported burning'!F3150</f>
        <v>0</v>
      </c>
      <c r="G3144" s="156">
        <f>'Reported burning'!G3150</f>
        <v>0</v>
      </c>
      <c r="H3144" s="156">
        <f>'Reported burning'!H3150</f>
        <v>0</v>
      </c>
      <c r="I3144" s="5"/>
    </row>
    <row r="3145" spans="1:9">
      <c r="A3145" s="156">
        <f>'Reported burning'!A3151</f>
        <v>0</v>
      </c>
      <c r="B3145" s="156">
        <f>'Reported burning'!B3151</f>
        <v>0</v>
      </c>
      <c r="C3145" s="156">
        <f>'Reported burning'!C3151</f>
        <v>0</v>
      </c>
      <c r="D3145" s="156">
        <f>'Reported burning'!D3151</f>
        <v>0</v>
      </c>
      <c r="E3145" s="156">
        <f>'Reported burning'!E3151</f>
        <v>0</v>
      </c>
      <c r="F3145" s="156">
        <f>'Reported burning'!F3151</f>
        <v>0</v>
      </c>
      <c r="G3145" s="156">
        <f>'Reported burning'!G3151</f>
        <v>0</v>
      </c>
      <c r="H3145" s="156">
        <f>'Reported burning'!H3151</f>
        <v>0</v>
      </c>
      <c r="I3145" s="5"/>
    </row>
    <row r="3146" spans="1:9">
      <c r="A3146" s="156">
        <f>'Reported burning'!A3152</f>
        <v>0</v>
      </c>
      <c r="B3146" s="156">
        <f>'Reported burning'!B3152</f>
        <v>0</v>
      </c>
      <c r="C3146" s="156">
        <f>'Reported burning'!C3152</f>
        <v>0</v>
      </c>
      <c r="D3146" s="156">
        <f>'Reported burning'!D3152</f>
        <v>0</v>
      </c>
      <c r="E3146" s="156">
        <f>'Reported burning'!E3152</f>
        <v>0</v>
      </c>
      <c r="F3146" s="156">
        <f>'Reported burning'!F3152</f>
        <v>0</v>
      </c>
      <c r="G3146" s="156">
        <f>'Reported burning'!G3152</f>
        <v>0</v>
      </c>
      <c r="H3146" s="156">
        <f>'Reported burning'!H3152</f>
        <v>0</v>
      </c>
      <c r="I3146" s="5"/>
    </row>
    <row r="3147" spans="1:9">
      <c r="A3147" s="156">
        <f>'Reported burning'!A3153</f>
        <v>0</v>
      </c>
      <c r="B3147" s="156">
        <f>'Reported burning'!B3153</f>
        <v>0</v>
      </c>
      <c r="C3147" s="156">
        <f>'Reported burning'!C3153</f>
        <v>0</v>
      </c>
      <c r="D3147" s="156">
        <f>'Reported burning'!D3153</f>
        <v>0</v>
      </c>
      <c r="E3147" s="156">
        <f>'Reported burning'!E3153</f>
        <v>0</v>
      </c>
      <c r="F3147" s="156">
        <f>'Reported burning'!F3153</f>
        <v>0</v>
      </c>
      <c r="G3147" s="156">
        <f>'Reported burning'!G3153</f>
        <v>0</v>
      </c>
      <c r="H3147" s="156">
        <f>'Reported burning'!H3153</f>
        <v>0</v>
      </c>
      <c r="I3147" s="5"/>
    </row>
    <row r="3148" spans="1:9">
      <c r="A3148" s="156">
        <f>'Reported burning'!A3154</f>
        <v>0</v>
      </c>
      <c r="B3148" s="156">
        <f>'Reported burning'!B3154</f>
        <v>0</v>
      </c>
      <c r="C3148" s="156">
        <f>'Reported burning'!C3154</f>
        <v>0</v>
      </c>
      <c r="D3148" s="156">
        <f>'Reported burning'!D3154</f>
        <v>0</v>
      </c>
      <c r="E3148" s="156">
        <f>'Reported burning'!E3154</f>
        <v>0</v>
      </c>
      <c r="F3148" s="156">
        <f>'Reported burning'!F3154</f>
        <v>0</v>
      </c>
      <c r="G3148" s="156">
        <f>'Reported burning'!G3154</f>
        <v>0</v>
      </c>
      <c r="H3148" s="156">
        <f>'Reported burning'!H3154</f>
        <v>0</v>
      </c>
      <c r="I3148" s="5"/>
    </row>
    <row r="3149" spans="1:9">
      <c r="A3149" s="156">
        <f>'Reported burning'!A3155</f>
        <v>0</v>
      </c>
      <c r="B3149" s="156">
        <f>'Reported burning'!B3155</f>
        <v>0</v>
      </c>
      <c r="C3149" s="156">
        <f>'Reported burning'!C3155</f>
        <v>0</v>
      </c>
      <c r="D3149" s="156">
        <f>'Reported burning'!D3155</f>
        <v>0</v>
      </c>
      <c r="E3149" s="156">
        <f>'Reported burning'!E3155</f>
        <v>0</v>
      </c>
      <c r="F3149" s="156">
        <f>'Reported burning'!F3155</f>
        <v>0</v>
      </c>
      <c r="G3149" s="156">
        <f>'Reported burning'!G3155</f>
        <v>0</v>
      </c>
      <c r="H3149" s="156">
        <f>'Reported burning'!H3155</f>
        <v>0</v>
      </c>
      <c r="I3149" s="5"/>
    </row>
    <row r="3150" spans="1:9">
      <c r="A3150" s="156">
        <f>'Reported burning'!A3156</f>
        <v>0</v>
      </c>
      <c r="B3150" s="156">
        <f>'Reported burning'!B3156</f>
        <v>0</v>
      </c>
      <c r="C3150" s="156">
        <f>'Reported burning'!C3156</f>
        <v>0</v>
      </c>
      <c r="D3150" s="156">
        <f>'Reported burning'!D3156</f>
        <v>0</v>
      </c>
      <c r="E3150" s="156">
        <f>'Reported burning'!E3156</f>
        <v>0</v>
      </c>
      <c r="F3150" s="156">
        <f>'Reported burning'!F3156</f>
        <v>0</v>
      </c>
      <c r="G3150" s="156">
        <f>'Reported burning'!G3156</f>
        <v>0</v>
      </c>
      <c r="H3150" s="156">
        <f>'Reported burning'!H3156</f>
        <v>0</v>
      </c>
      <c r="I3150" s="5"/>
    </row>
    <row r="3151" spans="1:9">
      <c r="A3151" s="156">
        <f>'Reported burning'!A3157</f>
        <v>0</v>
      </c>
      <c r="B3151" s="156">
        <f>'Reported burning'!B3157</f>
        <v>0</v>
      </c>
      <c r="C3151" s="156">
        <f>'Reported burning'!C3157</f>
        <v>0</v>
      </c>
      <c r="D3151" s="156">
        <f>'Reported burning'!D3157</f>
        <v>0</v>
      </c>
      <c r="E3151" s="156">
        <f>'Reported burning'!E3157</f>
        <v>0</v>
      </c>
      <c r="F3151" s="156">
        <f>'Reported burning'!F3157</f>
        <v>0</v>
      </c>
      <c r="G3151" s="156">
        <f>'Reported burning'!G3157</f>
        <v>0</v>
      </c>
      <c r="H3151" s="156">
        <f>'Reported burning'!H3157</f>
        <v>0</v>
      </c>
      <c r="I3151" s="5"/>
    </row>
    <row r="3152" spans="1:9">
      <c r="A3152" s="156">
        <f>'Reported burning'!A3158</f>
        <v>0</v>
      </c>
      <c r="B3152" s="156">
        <f>'Reported burning'!B3158</f>
        <v>0</v>
      </c>
      <c r="C3152" s="156">
        <f>'Reported burning'!C3158</f>
        <v>0</v>
      </c>
      <c r="D3152" s="156">
        <f>'Reported burning'!D3158</f>
        <v>0</v>
      </c>
      <c r="E3152" s="156">
        <f>'Reported burning'!E3158</f>
        <v>0</v>
      </c>
      <c r="F3152" s="156">
        <f>'Reported burning'!F3158</f>
        <v>0</v>
      </c>
      <c r="G3152" s="156">
        <f>'Reported burning'!G3158</f>
        <v>0</v>
      </c>
      <c r="H3152" s="156">
        <f>'Reported burning'!H3158</f>
        <v>0</v>
      </c>
      <c r="I3152" s="5"/>
    </row>
    <row r="3153" spans="1:9">
      <c r="A3153" s="156">
        <f>'Reported burning'!A3159</f>
        <v>0</v>
      </c>
      <c r="B3153" s="156">
        <f>'Reported burning'!B3159</f>
        <v>0</v>
      </c>
      <c r="C3153" s="156">
        <f>'Reported burning'!C3159</f>
        <v>0</v>
      </c>
      <c r="D3153" s="156">
        <f>'Reported burning'!D3159</f>
        <v>0</v>
      </c>
      <c r="E3153" s="156">
        <f>'Reported burning'!E3159</f>
        <v>0</v>
      </c>
      <c r="F3153" s="156">
        <f>'Reported burning'!F3159</f>
        <v>0</v>
      </c>
      <c r="G3153" s="156">
        <f>'Reported burning'!G3159</f>
        <v>0</v>
      </c>
      <c r="H3153" s="156">
        <f>'Reported burning'!H3159</f>
        <v>0</v>
      </c>
      <c r="I3153" s="5"/>
    </row>
    <row r="3154" spans="1:9">
      <c r="A3154" s="156">
        <f>'Reported burning'!A3160</f>
        <v>0</v>
      </c>
      <c r="B3154" s="156">
        <f>'Reported burning'!B3160</f>
        <v>0</v>
      </c>
      <c r="C3154" s="156">
        <f>'Reported burning'!C3160</f>
        <v>0</v>
      </c>
      <c r="D3154" s="156">
        <f>'Reported burning'!D3160</f>
        <v>0</v>
      </c>
      <c r="E3154" s="156">
        <f>'Reported burning'!E3160</f>
        <v>0</v>
      </c>
      <c r="F3154" s="156">
        <f>'Reported burning'!F3160</f>
        <v>0</v>
      </c>
      <c r="G3154" s="156">
        <f>'Reported burning'!G3160</f>
        <v>0</v>
      </c>
      <c r="H3154" s="156">
        <f>'Reported burning'!H3160</f>
        <v>0</v>
      </c>
      <c r="I3154" s="5"/>
    </row>
    <row r="3155" spans="1:9">
      <c r="A3155" s="156">
        <f>'Reported burning'!A3161</f>
        <v>0</v>
      </c>
      <c r="B3155" s="156">
        <f>'Reported burning'!B3161</f>
        <v>0</v>
      </c>
      <c r="C3155" s="156">
        <f>'Reported burning'!C3161</f>
        <v>0</v>
      </c>
      <c r="D3155" s="156">
        <f>'Reported burning'!D3161</f>
        <v>0</v>
      </c>
      <c r="E3155" s="156">
        <f>'Reported burning'!E3161</f>
        <v>0</v>
      </c>
      <c r="F3155" s="156">
        <f>'Reported burning'!F3161</f>
        <v>0</v>
      </c>
      <c r="G3155" s="156">
        <f>'Reported burning'!G3161</f>
        <v>0</v>
      </c>
      <c r="H3155" s="156">
        <f>'Reported burning'!H3161</f>
        <v>0</v>
      </c>
      <c r="I3155" s="5"/>
    </row>
    <row r="3156" spans="1:9">
      <c r="A3156" s="156">
        <f>'Reported burning'!A3162</f>
        <v>0</v>
      </c>
      <c r="B3156" s="156">
        <f>'Reported burning'!B3162</f>
        <v>0</v>
      </c>
      <c r="C3156" s="156">
        <f>'Reported burning'!C3162</f>
        <v>0</v>
      </c>
      <c r="D3156" s="156">
        <f>'Reported burning'!D3162</f>
        <v>0</v>
      </c>
      <c r="E3156" s="156">
        <f>'Reported burning'!E3162</f>
        <v>0</v>
      </c>
      <c r="F3156" s="156">
        <f>'Reported burning'!F3162</f>
        <v>0</v>
      </c>
      <c r="G3156" s="156">
        <f>'Reported burning'!G3162</f>
        <v>0</v>
      </c>
      <c r="H3156" s="156">
        <f>'Reported burning'!H3162</f>
        <v>0</v>
      </c>
      <c r="I3156" s="5"/>
    </row>
    <row r="3157" spans="1:9">
      <c r="A3157" s="156">
        <f>'Reported burning'!A3163</f>
        <v>0</v>
      </c>
      <c r="B3157" s="156">
        <f>'Reported burning'!B3163</f>
        <v>0</v>
      </c>
      <c r="C3157" s="156">
        <f>'Reported burning'!C3163</f>
        <v>0</v>
      </c>
      <c r="D3157" s="156">
        <f>'Reported burning'!D3163</f>
        <v>0</v>
      </c>
      <c r="E3157" s="156">
        <f>'Reported burning'!E3163</f>
        <v>0</v>
      </c>
      <c r="F3157" s="156">
        <f>'Reported burning'!F3163</f>
        <v>0</v>
      </c>
      <c r="G3157" s="156">
        <f>'Reported burning'!G3163</f>
        <v>0</v>
      </c>
      <c r="H3157" s="156">
        <f>'Reported burning'!H3163</f>
        <v>0</v>
      </c>
      <c r="I3157" s="5"/>
    </row>
    <row r="3158" spans="1:9">
      <c r="A3158" s="156">
        <f>'Reported burning'!A3164</f>
        <v>0</v>
      </c>
      <c r="B3158" s="156">
        <f>'Reported burning'!B3164</f>
        <v>0</v>
      </c>
      <c r="C3158" s="156">
        <f>'Reported burning'!C3164</f>
        <v>0</v>
      </c>
      <c r="D3158" s="156">
        <f>'Reported burning'!D3164</f>
        <v>0</v>
      </c>
      <c r="E3158" s="156">
        <f>'Reported burning'!E3164</f>
        <v>0</v>
      </c>
      <c r="F3158" s="156">
        <f>'Reported burning'!F3164</f>
        <v>0</v>
      </c>
      <c r="G3158" s="156">
        <f>'Reported burning'!G3164</f>
        <v>0</v>
      </c>
      <c r="H3158" s="156">
        <f>'Reported burning'!H3164</f>
        <v>0</v>
      </c>
      <c r="I3158" s="5"/>
    </row>
    <row r="3159" spans="1:9">
      <c r="A3159" s="156">
        <f>'Reported burning'!A3165</f>
        <v>0</v>
      </c>
      <c r="B3159" s="156">
        <f>'Reported burning'!B3165</f>
        <v>0</v>
      </c>
      <c r="C3159" s="156">
        <f>'Reported burning'!C3165</f>
        <v>0</v>
      </c>
      <c r="D3159" s="156">
        <f>'Reported burning'!D3165</f>
        <v>0</v>
      </c>
      <c r="E3159" s="156">
        <f>'Reported burning'!E3165</f>
        <v>0</v>
      </c>
      <c r="F3159" s="156">
        <f>'Reported burning'!F3165</f>
        <v>0</v>
      </c>
      <c r="G3159" s="156">
        <f>'Reported burning'!G3165</f>
        <v>0</v>
      </c>
      <c r="H3159" s="156">
        <f>'Reported burning'!H3165</f>
        <v>0</v>
      </c>
      <c r="I3159" s="5"/>
    </row>
    <row r="3160" spans="1:9">
      <c r="A3160" s="156">
        <f>'Reported burning'!A3166</f>
        <v>0</v>
      </c>
      <c r="B3160" s="156">
        <f>'Reported burning'!B3166</f>
        <v>0</v>
      </c>
      <c r="C3160" s="156">
        <f>'Reported burning'!C3166</f>
        <v>0</v>
      </c>
      <c r="D3160" s="156">
        <f>'Reported burning'!D3166</f>
        <v>0</v>
      </c>
      <c r="E3160" s="156">
        <f>'Reported burning'!E3166</f>
        <v>0</v>
      </c>
      <c r="F3160" s="156">
        <f>'Reported burning'!F3166</f>
        <v>0</v>
      </c>
      <c r="G3160" s="156">
        <f>'Reported burning'!G3166</f>
        <v>0</v>
      </c>
      <c r="H3160" s="156">
        <f>'Reported burning'!H3166</f>
        <v>0</v>
      </c>
      <c r="I3160" s="5"/>
    </row>
    <row r="3161" spans="1:9">
      <c r="A3161" s="156">
        <f>'Reported burning'!A3167</f>
        <v>0</v>
      </c>
      <c r="B3161" s="156">
        <f>'Reported burning'!B3167</f>
        <v>0</v>
      </c>
      <c r="C3161" s="156">
        <f>'Reported burning'!C3167</f>
        <v>0</v>
      </c>
      <c r="D3161" s="156">
        <f>'Reported burning'!D3167</f>
        <v>0</v>
      </c>
      <c r="E3161" s="156">
        <f>'Reported burning'!E3167</f>
        <v>0</v>
      </c>
      <c r="F3161" s="156">
        <f>'Reported burning'!F3167</f>
        <v>0</v>
      </c>
      <c r="G3161" s="156">
        <f>'Reported burning'!G3167</f>
        <v>0</v>
      </c>
      <c r="H3161" s="156">
        <f>'Reported burning'!H3167</f>
        <v>0</v>
      </c>
      <c r="I3161" s="5"/>
    </row>
    <row r="3162" spans="1:9">
      <c r="A3162" s="156">
        <f>'Reported burning'!A3168</f>
        <v>0</v>
      </c>
      <c r="B3162" s="156">
        <f>'Reported burning'!B3168</f>
        <v>0</v>
      </c>
      <c r="C3162" s="156">
        <f>'Reported burning'!C3168</f>
        <v>0</v>
      </c>
      <c r="D3162" s="156">
        <f>'Reported burning'!D3168</f>
        <v>0</v>
      </c>
      <c r="E3162" s="156">
        <f>'Reported burning'!E3168</f>
        <v>0</v>
      </c>
      <c r="F3162" s="156">
        <f>'Reported burning'!F3168</f>
        <v>0</v>
      </c>
      <c r="G3162" s="156">
        <f>'Reported burning'!G3168</f>
        <v>0</v>
      </c>
      <c r="H3162" s="156">
        <f>'Reported burning'!H3168</f>
        <v>0</v>
      </c>
      <c r="I3162" s="5"/>
    </row>
    <row r="3163" spans="1:9">
      <c r="A3163" s="156">
        <f>'Reported burning'!A3169</f>
        <v>0</v>
      </c>
      <c r="B3163" s="156">
        <f>'Reported burning'!B3169</f>
        <v>0</v>
      </c>
      <c r="C3163" s="156">
        <f>'Reported burning'!C3169</f>
        <v>0</v>
      </c>
      <c r="D3163" s="156">
        <f>'Reported burning'!D3169</f>
        <v>0</v>
      </c>
      <c r="E3163" s="156">
        <f>'Reported burning'!E3169</f>
        <v>0</v>
      </c>
      <c r="F3163" s="156">
        <f>'Reported burning'!F3169</f>
        <v>0</v>
      </c>
      <c r="G3163" s="156">
        <f>'Reported burning'!G3169</f>
        <v>0</v>
      </c>
      <c r="H3163" s="156">
        <f>'Reported burning'!H3169</f>
        <v>0</v>
      </c>
      <c r="I3163" s="5"/>
    </row>
    <row r="3164" spans="1:9">
      <c r="A3164" s="156">
        <f>'Reported burning'!A3170</f>
        <v>0</v>
      </c>
      <c r="B3164" s="156">
        <f>'Reported burning'!B3170</f>
        <v>0</v>
      </c>
      <c r="C3164" s="156">
        <f>'Reported burning'!C3170</f>
        <v>0</v>
      </c>
      <c r="D3164" s="156">
        <f>'Reported burning'!D3170</f>
        <v>0</v>
      </c>
      <c r="E3164" s="156">
        <f>'Reported burning'!E3170</f>
        <v>0</v>
      </c>
      <c r="F3164" s="156">
        <f>'Reported burning'!F3170</f>
        <v>0</v>
      </c>
      <c r="G3164" s="156">
        <f>'Reported burning'!G3170</f>
        <v>0</v>
      </c>
      <c r="H3164" s="156">
        <f>'Reported burning'!H3170</f>
        <v>0</v>
      </c>
      <c r="I3164" s="5"/>
    </row>
    <row r="3165" spans="1:9">
      <c r="A3165" s="156">
        <f>'Reported burning'!A3171</f>
        <v>0</v>
      </c>
      <c r="B3165" s="156">
        <f>'Reported burning'!B3171</f>
        <v>0</v>
      </c>
      <c r="C3165" s="156">
        <f>'Reported burning'!C3171</f>
        <v>0</v>
      </c>
      <c r="D3165" s="156">
        <f>'Reported burning'!D3171</f>
        <v>0</v>
      </c>
      <c r="E3165" s="156">
        <f>'Reported burning'!E3171</f>
        <v>0</v>
      </c>
      <c r="F3165" s="156">
        <f>'Reported burning'!F3171</f>
        <v>0</v>
      </c>
      <c r="G3165" s="156">
        <f>'Reported burning'!G3171</f>
        <v>0</v>
      </c>
      <c r="H3165" s="156">
        <f>'Reported burning'!H3171</f>
        <v>0</v>
      </c>
      <c r="I3165" s="5"/>
    </row>
    <row r="3166" spans="1:9">
      <c r="A3166" s="156">
        <f>'Reported burning'!A3172</f>
        <v>0</v>
      </c>
      <c r="B3166" s="156">
        <f>'Reported burning'!B3172</f>
        <v>0</v>
      </c>
      <c r="C3166" s="156">
        <f>'Reported burning'!C3172</f>
        <v>0</v>
      </c>
      <c r="D3166" s="156">
        <f>'Reported burning'!D3172</f>
        <v>0</v>
      </c>
      <c r="E3166" s="156">
        <f>'Reported burning'!E3172</f>
        <v>0</v>
      </c>
      <c r="F3166" s="156">
        <f>'Reported burning'!F3172</f>
        <v>0</v>
      </c>
      <c r="G3166" s="156">
        <f>'Reported burning'!G3172</f>
        <v>0</v>
      </c>
      <c r="H3166" s="156">
        <f>'Reported burning'!H3172</f>
        <v>0</v>
      </c>
      <c r="I3166" s="5"/>
    </row>
    <row r="3167" spans="1:9">
      <c r="A3167" s="156">
        <f>'Reported burning'!A3173</f>
        <v>0</v>
      </c>
      <c r="B3167" s="156">
        <f>'Reported burning'!B3173</f>
        <v>0</v>
      </c>
      <c r="C3167" s="156">
        <f>'Reported burning'!C3173</f>
        <v>0</v>
      </c>
      <c r="D3167" s="156">
        <f>'Reported burning'!D3173</f>
        <v>0</v>
      </c>
      <c r="E3167" s="156">
        <f>'Reported burning'!E3173</f>
        <v>0</v>
      </c>
      <c r="F3167" s="156">
        <f>'Reported burning'!F3173</f>
        <v>0</v>
      </c>
      <c r="G3167" s="156">
        <f>'Reported burning'!G3173</f>
        <v>0</v>
      </c>
      <c r="H3167" s="156">
        <f>'Reported burning'!H3173</f>
        <v>0</v>
      </c>
      <c r="I3167" s="5"/>
    </row>
    <row r="3168" spans="1:9">
      <c r="A3168" s="156">
        <f>'Reported burning'!A3174</f>
        <v>0</v>
      </c>
      <c r="B3168" s="156">
        <f>'Reported burning'!B3174</f>
        <v>0</v>
      </c>
      <c r="C3168" s="156">
        <f>'Reported burning'!C3174</f>
        <v>0</v>
      </c>
      <c r="D3168" s="156">
        <f>'Reported burning'!D3174</f>
        <v>0</v>
      </c>
      <c r="E3168" s="156">
        <f>'Reported burning'!E3174</f>
        <v>0</v>
      </c>
      <c r="F3168" s="156">
        <f>'Reported burning'!F3174</f>
        <v>0</v>
      </c>
      <c r="G3168" s="156">
        <f>'Reported burning'!G3174</f>
        <v>0</v>
      </c>
      <c r="H3168" s="156">
        <f>'Reported burning'!H3174</f>
        <v>0</v>
      </c>
      <c r="I3168" s="5"/>
    </row>
    <row r="3169" spans="1:9">
      <c r="A3169" s="156">
        <f>'Reported burning'!A3175</f>
        <v>0</v>
      </c>
      <c r="B3169" s="156">
        <f>'Reported burning'!B3175</f>
        <v>0</v>
      </c>
      <c r="C3169" s="156">
        <f>'Reported burning'!C3175</f>
        <v>0</v>
      </c>
      <c r="D3169" s="156">
        <f>'Reported burning'!D3175</f>
        <v>0</v>
      </c>
      <c r="E3169" s="156">
        <f>'Reported burning'!E3175</f>
        <v>0</v>
      </c>
      <c r="F3169" s="156">
        <f>'Reported burning'!F3175</f>
        <v>0</v>
      </c>
      <c r="G3169" s="156">
        <f>'Reported burning'!G3175</f>
        <v>0</v>
      </c>
      <c r="H3169" s="156">
        <f>'Reported burning'!H3175</f>
        <v>0</v>
      </c>
      <c r="I3169" s="5"/>
    </row>
    <row r="3170" spans="1:9">
      <c r="A3170" s="156">
        <f>'Reported burning'!A3176</f>
        <v>0</v>
      </c>
      <c r="B3170" s="156">
        <f>'Reported burning'!B3176</f>
        <v>0</v>
      </c>
      <c r="C3170" s="156">
        <f>'Reported burning'!C3176</f>
        <v>0</v>
      </c>
      <c r="D3170" s="156">
        <f>'Reported burning'!D3176</f>
        <v>0</v>
      </c>
      <c r="E3170" s="156">
        <f>'Reported burning'!E3176</f>
        <v>0</v>
      </c>
      <c r="F3170" s="156">
        <f>'Reported burning'!F3176</f>
        <v>0</v>
      </c>
      <c r="G3170" s="156">
        <f>'Reported burning'!G3176</f>
        <v>0</v>
      </c>
      <c r="H3170" s="156">
        <f>'Reported burning'!H3176</f>
        <v>0</v>
      </c>
      <c r="I3170" s="5"/>
    </row>
    <row r="3171" spans="1:9">
      <c r="A3171" s="156">
        <f>'Reported burning'!A3177</f>
        <v>0</v>
      </c>
      <c r="B3171" s="156">
        <f>'Reported burning'!B3177</f>
        <v>0</v>
      </c>
      <c r="C3171" s="156">
        <f>'Reported burning'!C3177</f>
        <v>0</v>
      </c>
      <c r="D3171" s="156">
        <f>'Reported burning'!D3177</f>
        <v>0</v>
      </c>
      <c r="E3171" s="156">
        <f>'Reported burning'!E3177</f>
        <v>0</v>
      </c>
      <c r="F3171" s="156">
        <f>'Reported burning'!F3177</f>
        <v>0</v>
      </c>
      <c r="G3171" s="156">
        <f>'Reported burning'!G3177</f>
        <v>0</v>
      </c>
      <c r="H3171" s="156">
        <f>'Reported burning'!H3177</f>
        <v>0</v>
      </c>
      <c r="I3171" s="5"/>
    </row>
    <row r="3172" spans="1:9">
      <c r="A3172" s="156">
        <f>'Reported burning'!A3178</f>
        <v>0</v>
      </c>
      <c r="B3172" s="156">
        <f>'Reported burning'!B3178</f>
        <v>0</v>
      </c>
      <c r="C3172" s="156">
        <f>'Reported burning'!C3178</f>
        <v>0</v>
      </c>
      <c r="D3172" s="156">
        <f>'Reported burning'!D3178</f>
        <v>0</v>
      </c>
      <c r="E3172" s="156">
        <f>'Reported burning'!E3178</f>
        <v>0</v>
      </c>
      <c r="F3172" s="156">
        <f>'Reported burning'!F3178</f>
        <v>0</v>
      </c>
      <c r="G3172" s="156">
        <f>'Reported burning'!G3178</f>
        <v>0</v>
      </c>
      <c r="H3172" s="156">
        <f>'Reported burning'!H3178</f>
        <v>0</v>
      </c>
      <c r="I3172" s="5"/>
    </row>
    <row r="3173" spans="1:9">
      <c r="A3173" s="156">
        <f>'Reported burning'!A3179</f>
        <v>0</v>
      </c>
      <c r="B3173" s="156">
        <f>'Reported burning'!B3179</f>
        <v>0</v>
      </c>
      <c r="C3173" s="156">
        <f>'Reported burning'!C3179</f>
        <v>0</v>
      </c>
      <c r="D3173" s="156">
        <f>'Reported burning'!D3179</f>
        <v>0</v>
      </c>
      <c r="E3173" s="156">
        <f>'Reported burning'!E3179</f>
        <v>0</v>
      </c>
      <c r="F3173" s="156">
        <f>'Reported burning'!F3179</f>
        <v>0</v>
      </c>
      <c r="G3173" s="156">
        <f>'Reported burning'!G3179</f>
        <v>0</v>
      </c>
      <c r="H3173" s="156">
        <f>'Reported burning'!H3179</f>
        <v>0</v>
      </c>
      <c r="I3173" s="5"/>
    </row>
    <row r="3174" spans="1:9">
      <c r="A3174" s="156">
        <f>'Reported burning'!A3180</f>
        <v>0</v>
      </c>
      <c r="B3174" s="156">
        <f>'Reported burning'!B3180</f>
        <v>0</v>
      </c>
      <c r="C3174" s="156">
        <f>'Reported burning'!C3180</f>
        <v>0</v>
      </c>
      <c r="D3174" s="156">
        <f>'Reported burning'!D3180</f>
        <v>0</v>
      </c>
      <c r="E3174" s="156">
        <f>'Reported burning'!E3180</f>
        <v>0</v>
      </c>
      <c r="F3174" s="156">
        <f>'Reported burning'!F3180</f>
        <v>0</v>
      </c>
      <c r="G3174" s="156">
        <f>'Reported burning'!G3180</f>
        <v>0</v>
      </c>
      <c r="H3174" s="156">
        <f>'Reported burning'!H3180</f>
        <v>0</v>
      </c>
      <c r="I3174" s="5"/>
    </row>
    <row r="3175" spans="1:9">
      <c r="A3175" s="156">
        <f>'Reported burning'!A3181</f>
        <v>0</v>
      </c>
      <c r="B3175" s="156">
        <f>'Reported burning'!B3181</f>
        <v>0</v>
      </c>
      <c r="C3175" s="156">
        <f>'Reported burning'!C3181</f>
        <v>0</v>
      </c>
      <c r="D3175" s="156">
        <f>'Reported burning'!D3181</f>
        <v>0</v>
      </c>
      <c r="E3175" s="156">
        <f>'Reported burning'!E3181</f>
        <v>0</v>
      </c>
      <c r="F3175" s="156">
        <f>'Reported burning'!F3181</f>
        <v>0</v>
      </c>
      <c r="G3175" s="156">
        <f>'Reported burning'!G3181</f>
        <v>0</v>
      </c>
      <c r="H3175" s="156">
        <f>'Reported burning'!H3181</f>
        <v>0</v>
      </c>
      <c r="I3175" s="5"/>
    </row>
    <row r="3176" spans="1:9">
      <c r="A3176" s="156">
        <f>'Reported burning'!A3182</f>
        <v>0</v>
      </c>
      <c r="B3176" s="156">
        <f>'Reported burning'!B3182</f>
        <v>0</v>
      </c>
      <c r="C3176" s="156">
        <f>'Reported burning'!C3182</f>
        <v>0</v>
      </c>
      <c r="D3176" s="156">
        <f>'Reported burning'!D3182</f>
        <v>0</v>
      </c>
      <c r="E3176" s="156">
        <f>'Reported burning'!E3182</f>
        <v>0</v>
      </c>
      <c r="F3176" s="156">
        <f>'Reported burning'!F3182</f>
        <v>0</v>
      </c>
      <c r="G3176" s="156">
        <f>'Reported burning'!G3182</f>
        <v>0</v>
      </c>
      <c r="H3176" s="156">
        <f>'Reported burning'!H3182</f>
        <v>0</v>
      </c>
      <c r="I3176" s="5"/>
    </row>
    <row r="3177" spans="1:9">
      <c r="A3177" s="156">
        <f>'Reported burning'!A3183</f>
        <v>0</v>
      </c>
      <c r="B3177" s="156">
        <f>'Reported burning'!B3183</f>
        <v>0</v>
      </c>
      <c r="C3177" s="156">
        <f>'Reported burning'!C3183</f>
        <v>0</v>
      </c>
      <c r="D3177" s="156">
        <f>'Reported burning'!D3183</f>
        <v>0</v>
      </c>
      <c r="E3177" s="156">
        <f>'Reported burning'!E3183</f>
        <v>0</v>
      </c>
      <c r="F3177" s="156">
        <f>'Reported burning'!F3183</f>
        <v>0</v>
      </c>
      <c r="G3177" s="156">
        <f>'Reported burning'!G3183</f>
        <v>0</v>
      </c>
      <c r="H3177" s="156">
        <f>'Reported burning'!H3183</f>
        <v>0</v>
      </c>
      <c r="I3177" s="5"/>
    </row>
    <row r="3178" spans="1:9">
      <c r="A3178" s="156">
        <f>'Reported burning'!A3184</f>
        <v>0</v>
      </c>
      <c r="B3178" s="156">
        <f>'Reported burning'!B3184</f>
        <v>0</v>
      </c>
      <c r="C3178" s="156">
        <f>'Reported burning'!C3184</f>
        <v>0</v>
      </c>
      <c r="D3178" s="156">
        <f>'Reported burning'!D3184</f>
        <v>0</v>
      </c>
      <c r="E3178" s="156">
        <f>'Reported burning'!E3184</f>
        <v>0</v>
      </c>
      <c r="F3178" s="156">
        <f>'Reported burning'!F3184</f>
        <v>0</v>
      </c>
      <c r="G3178" s="156">
        <f>'Reported burning'!G3184</f>
        <v>0</v>
      </c>
      <c r="H3178" s="156">
        <f>'Reported burning'!H3184</f>
        <v>0</v>
      </c>
      <c r="I3178" s="5"/>
    </row>
    <row r="3179" spans="1:9">
      <c r="A3179" s="156">
        <f>'Reported burning'!A3185</f>
        <v>0</v>
      </c>
      <c r="B3179" s="156">
        <f>'Reported burning'!B3185</f>
        <v>0</v>
      </c>
      <c r="C3179" s="156">
        <f>'Reported burning'!C3185</f>
        <v>0</v>
      </c>
      <c r="D3179" s="156">
        <f>'Reported burning'!D3185</f>
        <v>0</v>
      </c>
      <c r="E3179" s="156">
        <f>'Reported burning'!E3185</f>
        <v>0</v>
      </c>
      <c r="F3179" s="156">
        <f>'Reported burning'!F3185</f>
        <v>0</v>
      </c>
      <c r="G3179" s="156">
        <f>'Reported burning'!G3185</f>
        <v>0</v>
      </c>
      <c r="H3179" s="156">
        <f>'Reported burning'!H3185</f>
        <v>0</v>
      </c>
      <c r="I3179" s="5"/>
    </row>
    <row r="3180" spans="1:9">
      <c r="A3180" s="156">
        <f>'Reported burning'!A3186</f>
        <v>0</v>
      </c>
      <c r="B3180" s="156">
        <f>'Reported burning'!B3186</f>
        <v>0</v>
      </c>
      <c r="C3180" s="156">
        <f>'Reported burning'!C3186</f>
        <v>0</v>
      </c>
      <c r="D3180" s="156">
        <f>'Reported burning'!D3186</f>
        <v>0</v>
      </c>
      <c r="E3180" s="156">
        <f>'Reported burning'!E3186</f>
        <v>0</v>
      </c>
      <c r="F3180" s="156">
        <f>'Reported burning'!F3186</f>
        <v>0</v>
      </c>
      <c r="G3180" s="156">
        <f>'Reported burning'!G3186</f>
        <v>0</v>
      </c>
      <c r="H3180" s="156">
        <f>'Reported burning'!H3186</f>
        <v>0</v>
      </c>
      <c r="I3180" s="5"/>
    </row>
    <row r="3181" spans="1:9">
      <c r="A3181" s="156">
        <f>'Reported burning'!A3187</f>
        <v>0</v>
      </c>
      <c r="B3181" s="156">
        <f>'Reported burning'!B3187</f>
        <v>0</v>
      </c>
      <c r="C3181" s="156">
        <f>'Reported burning'!C3187</f>
        <v>0</v>
      </c>
      <c r="D3181" s="156">
        <f>'Reported burning'!D3187</f>
        <v>0</v>
      </c>
      <c r="E3181" s="156">
        <f>'Reported burning'!E3187</f>
        <v>0</v>
      </c>
      <c r="F3181" s="156">
        <f>'Reported burning'!F3187</f>
        <v>0</v>
      </c>
      <c r="G3181" s="156">
        <f>'Reported burning'!G3187</f>
        <v>0</v>
      </c>
      <c r="H3181" s="156">
        <f>'Reported burning'!H3187</f>
        <v>0</v>
      </c>
      <c r="I3181" s="5"/>
    </row>
    <row r="3182" spans="1:9">
      <c r="A3182" s="156">
        <f>'Reported burning'!A3188</f>
        <v>0</v>
      </c>
      <c r="B3182" s="156">
        <f>'Reported burning'!B3188</f>
        <v>0</v>
      </c>
      <c r="C3182" s="156">
        <f>'Reported burning'!C3188</f>
        <v>0</v>
      </c>
      <c r="D3182" s="156">
        <f>'Reported burning'!D3188</f>
        <v>0</v>
      </c>
      <c r="E3182" s="156">
        <f>'Reported burning'!E3188</f>
        <v>0</v>
      </c>
      <c r="F3182" s="156">
        <f>'Reported burning'!F3188</f>
        <v>0</v>
      </c>
      <c r="G3182" s="156">
        <f>'Reported burning'!G3188</f>
        <v>0</v>
      </c>
      <c r="H3182" s="156">
        <f>'Reported burning'!H3188</f>
        <v>0</v>
      </c>
      <c r="I3182" s="5"/>
    </row>
    <row r="3183" spans="1:9">
      <c r="A3183" s="156">
        <f>'Reported burning'!A3189</f>
        <v>0</v>
      </c>
      <c r="B3183" s="156">
        <f>'Reported burning'!B3189</f>
        <v>0</v>
      </c>
      <c r="C3183" s="156">
        <f>'Reported burning'!C3189</f>
        <v>0</v>
      </c>
      <c r="D3183" s="156">
        <f>'Reported burning'!D3189</f>
        <v>0</v>
      </c>
      <c r="E3183" s="156">
        <f>'Reported burning'!E3189</f>
        <v>0</v>
      </c>
      <c r="F3183" s="156">
        <f>'Reported burning'!F3189</f>
        <v>0</v>
      </c>
      <c r="G3183" s="156">
        <f>'Reported burning'!G3189</f>
        <v>0</v>
      </c>
      <c r="H3183" s="156">
        <f>'Reported burning'!H3189</f>
        <v>0</v>
      </c>
      <c r="I3183" s="5"/>
    </row>
    <row r="3184" spans="1:9">
      <c r="A3184" s="156">
        <f>'Reported burning'!A3190</f>
        <v>0</v>
      </c>
      <c r="B3184" s="156">
        <f>'Reported burning'!B3190</f>
        <v>0</v>
      </c>
      <c r="C3184" s="156">
        <f>'Reported burning'!C3190</f>
        <v>0</v>
      </c>
      <c r="D3184" s="156">
        <f>'Reported burning'!D3190</f>
        <v>0</v>
      </c>
      <c r="E3184" s="156">
        <f>'Reported burning'!E3190</f>
        <v>0</v>
      </c>
      <c r="F3184" s="156">
        <f>'Reported burning'!F3190</f>
        <v>0</v>
      </c>
      <c r="G3184" s="156">
        <f>'Reported burning'!G3190</f>
        <v>0</v>
      </c>
      <c r="H3184" s="156">
        <f>'Reported burning'!H3190</f>
        <v>0</v>
      </c>
      <c r="I3184" s="5"/>
    </row>
    <row r="3185" spans="1:9">
      <c r="A3185" s="156">
        <f>'Reported burning'!A3191</f>
        <v>0</v>
      </c>
      <c r="B3185" s="156">
        <f>'Reported burning'!B3191</f>
        <v>0</v>
      </c>
      <c r="C3185" s="156">
        <f>'Reported burning'!C3191</f>
        <v>0</v>
      </c>
      <c r="D3185" s="156">
        <f>'Reported burning'!D3191</f>
        <v>0</v>
      </c>
      <c r="E3185" s="156">
        <f>'Reported burning'!E3191</f>
        <v>0</v>
      </c>
      <c r="F3185" s="156">
        <f>'Reported burning'!F3191</f>
        <v>0</v>
      </c>
      <c r="G3185" s="156">
        <f>'Reported burning'!G3191</f>
        <v>0</v>
      </c>
      <c r="H3185" s="156">
        <f>'Reported burning'!H3191</f>
        <v>0</v>
      </c>
      <c r="I3185" s="5"/>
    </row>
    <row r="3186" spans="1:9">
      <c r="A3186" s="156">
        <f>'Reported burning'!A3192</f>
        <v>0</v>
      </c>
      <c r="B3186" s="156">
        <f>'Reported burning'!B3192</f>
        <v>0</v>
      </c>
      <c r="C3186" s="156">
        <f>'Reported burning'!C3192</f>
        <v>0</v>
      </c>
      <c r="D3186" s="156">
        <f>'Reported burning'!D3192</f>
        <v>0</v>
      </c>
      <c r="E3186" s="156">
        <f>'Reported burning'!E3192</f>
        <v>0</v>
      </c>
      <c r="F3186" s="156">
        <f>'Reported burning'!F3192</f>
        <v>0</v>
      </c>
      <c r="G3186" s="156">
        <f>'Reported burning'!G3192</f>
        <v>0</v>
      </c>
      <c r="H3186" s="156">
        <f>'Reported burning'!H3192</f>
        <v>0</v>
      </c>
      <c r="I3186" s="5"/>
    </row>
    <row r="3187" spans="1:9">
      <c r="A3187" s="156">
        <f>'Reported burning'!A3193</f>
        <v>0</v>
      </c>
      <c r="B3187" s="156">
        <f>'Reported burning'!B3193</f>
        <v>0</v>
      </c>
      <c r="C3187" s="156">
        <f>'Reported burning'!C3193</f>
        <v>0</v>
      </c>
      <c r="D3187" s="156">
        <f>'Reported burning'!D3193</f>
        <v>0</v>
      </c>
      <c r="E3187" s="156">
        <f>'Reported burning'!E3193</f>
        <v>0</v>
      </c>
      <c r="F3187" s="156">
        <f>'Reported burning'!F3193</f>
        <v>0</v>
      </c>
      <c r="G3187" s="156">
        <f>'Reported burning'!G3193</f>
        <v>0</v>
      </c>
      <c r="H3187" s="156">
        <f>'Reported burning'!H3193</f>
        <v>0</v>
      </c>
      <c r="I3187" s="5"/>
    </row>
    <row r="3188" spans="1:9">
      <c r="A3188" s="156">
        <f>'Reported burning'!A3194</f>
        <v>0</v>
      </c>
      <c r="B3188" s="156">
        <f>'Reported burning'!B3194</f>
        <v>0</v>
      </c>
      <c r="C3188" s="156">
        <f>'Reported burning'!C3194</f>
        <v>0</v>
      </c>
      <c r="D3188" s="156">
        <f>'Reported burning'!D3194</f>
        <v>0</v>
      </c>
      <c r="E3188" s="156">
        <f>'Reported burning'!E3194</f>
        <v>0</v>
      </c>
      <c r="F3188" s="156">
        <f>'Reported burning'!F3194</f>
        <v>0</v>
      </c>
      <c r="G3188" s="156">
        <f>'Reported burning'!G3194</f>
        <v>0</v>
      </c>
      <c r="H3188" s="156">
        <f>'Reported burning'!H3194</f>
        <v>0</v>
      </c>
      <c r="I3188" s="5"/>
    </row>
    <row r="3189" spans="1:9">
      <c r="A3189" s="156">
        <f>'Reported burning'!A3195</f>
        <v>0</v>
      </c>
      <c r="B3189" s="156">
        <f>'Reported burning'!B3195</f>
        <v>0</v>
      </c>
      <c r="C3189" s="156">
        <f>'Reported burning'!C3195</f>
        <v>0</v>
      </c>
      <c r="D3189" s="156">
        <f>'Reported burning'!D3195</f>
        <v>0</v>
      </c>
      <c r="E3189" s="156">
        <f>'Reported burning'!E3195</f>
        <v>0</v>
      </c>
      <c r="F3189" s="156">
        <f>'Reported burning'!F3195</f>
        <v>0</v>
      </c>
      <c r="G3189" s="156">
        <f>'Reported burning'!G3195</f>
        <v>0</v>
      </c>
      <c r="H3189" s="156">
        <f>'Reported burning'!H3195</f>
        <v>0</v>
      </c>
      <c r="I3189" s="5"/>
    </row>
    <row r="3190" spans="1:9">
      <c r="A3190" s="156">
        <f>'Reported burning'!A3196</f>
        <v>0</v>
      </c>
      <c r="B3190" s="156">
        <f>'Reported burning'!B3196</f>
        <v>0</v>
      </c>
      <c r="C3190" s="156">
        <f>'Reported burning'!C3196</f>
        <v>0</v>
      </c>
      <c r="D3190" s="156">
        <f>'Reported burning'!D3196</f>
        <v>0</v>
      </c>
      <c r="E3190" s="156">
        <f>'Reported burning'!E3196</f>
        <v>0</v>
      </c>
      <c r="F3190" s="156">
        <f>'Reported burning'!F3196</f>
        <v>0</v>
      </c>
      <c r="G3190" s="156">
        <f>'Reported burning'!G3196</f>
        <v>0</v>
      </c>
      <c r="H3190" s="156">
        <f>'Reported burning'!H3196</f>
        <v>0</v>
      </c>
      <c r="I3190" s="5"/>
    </row>
    <row r="3191" spans="1:9">
      <c r="A3191" s="156">
        <f>'Reported burning'!A3197</f>
        <v>0</v>
      </c>
      <c r="B3191" s="156">
        <f>'Reported burning'!B3197</f>
        <v>0</v>
      </c>
      <c r="C3191" s="156">
        <f>'Reported burning'!C3197</f>
        <v>0</v>
      </c>
      <c r="D3191" s="156">
        <f>'Reported burning'!D3197</f>
        <v>0</v>
      </c>
      <c r="E3191" s="156">
        <f>'Reported burning'!E3197</f>
        <v>0</v>
      </c>
      <c r="F3191" s="156">
        <f>'Reported burning'!F3197</f>
        <v>0</v>
      </c>
      <c r="G3191" s="156">
        <f>'Reported burning'!G3197</f>
        <v>0</v>
      </c>
      <c r="H3191" s="156">
        <f>'Reported burning'!H3197</f>
        <v>0</v>
      </c>
      <c r="I3191" s="5"/>
    </row>
    <row r="3192" spans="1:9">
      <c r="A3192" s="156">
        <f>'Reported burning'!A3198</f>
        <v>0</v>
      </c>
      <c r="B3192" s="156">
        <f>'Reported burning'!B3198</f>
        <v>0</v>
      </c>
      <c r="C3192" s="156">
        <f>'Reported burning'!C3198</f>
        <v>0</v>
      </c>
      <c r="D3192" s="156">
        <f>'Reported burning'!D3198</f>
        <v>0</v>
      </c>
      <c r="E3192" s="156">
        <f>'Reported burning'!E3198</f>
        <v>0</v>
      </c>
      <c r="F3192" s="156">
        <f>'Reported burning'!F3198</f>
        <v>0</v>
      </c>
      <c r="G3192" s="156">
        <f>'Reported burning'!G3198</f>
        <v>0</v>
      </c>
      <c r="H3192" s="156">
        <f>'Reported burning'!H3198</f>
        <v>0</v>
      </c>
      <c r="I3192" s="5"/>
    </row>
    <row r="3193" spans="1:9">
      <c r="A3193" s="156">
        <f>'Reported burning'!A3199</f>
        <v>0</v>
      </c>
      <c r="B3193" s="156">
        <f>'Reported burning'!B3199</f>
        <v>0</v>
      </c>
      <c r="C3193" s="156">
        <f>'Reported burning'!C3199</f>
        <v>0</v>
      </c>
      <c r="D3193" s="156">
        <f>'Reported burning'!D3199</f>
        <v>0</v>
      </c>
      <c r="E3193" s="156">
        <f>'Reported burning'!E3199</f>
        <v>0</v>
      </c>
      <c r="F3193" s="156">
        <f>'Reported burning'!F3199</f>
        <v>0</v>
      </c>
      <c r="G3193" s="156">
        <f>'Reported burning'!G3199</f>
        <v>0</v>
      </c>
      <c r="H3193" s="156">
        <f>'Reported burning'!H3199</f>
        <v>0</v>
      </c>
      <c r="I3193" s="5"/>
    </row>
    <row r="3194" spans="1:9">
      <c r="A3194" s="156">
        <f>'Reported burning'!A3200</f>
        <v>0</v>
      </c>
      <c r="B3194" s="156">
        <f>'Reported burning'!B3200</f>
        <v>0</v>
      </c>
      <c r="C3194" s="156">
        <f>'Reported burning'!C3200</f>
        <v>0</v>
      </c>
      <c r="D3194" s="156">
        <f>'Reported burning'!D3200</f>
        <v>0</v>
      </c>
      <c r="E3194" s="156">
        <f>'Reported burning'!E3200</f>
        <v>0</v>
      </c>
      <c r="F3194" s="156">
        <f>'Reported burning'!F3200</f>
        <v>0</v>
      </c>
      <c r="G3194" s="156">
        <f>'Reported burning'!G3200</f>
        <v>0</v>
      </c>
      <c r="H3194" s="156">
        <f>'Reported burning'!H3200</f>
        <v>0</v>
      </c>
      <c r="I3194" s="5"/>
    </row>
    <row r="3195" spans="1:9">
      <c r="A3195" s="156">
        <f>'Reported burning'!A3201</f>
        <v>0</v>
      </c>
      <c r="B3195" s="156">
        <f>'Reported burning'!B3201</f>
        <v>0</v>
      </c>
      <c r="C3195" s="156">
        <f>'Reported burning'!C3201</f>
        <v>0</v>
      </c>
      <c r="D3195" s="156">
        <f>'Reported burning'!D3201</f>
        <v>0</v>
      </c>
      <c r="E3195" s="156">
        <f>'Reported burning'!E3201</f>
        <v>0</v>
      </c>
      <c r="F3195" s="156">
        <f>'Reported burning'!F3201</f>
        <v>0</v>
      </c>
      <c r="G3195" s="156">
        <f>'Reported burning'!G3201</f>
        <v>0</v>
      </c>
      <c r="H3195" s="156">
        <f>'Reported burning'!H3201</f>
        <v>0</v>
      </c>
      <c r="I3195" s="5"/>
    </row>
    <row r="3196" spans="1:9">
      <c r="A3196" s="156">
        <f>'Reported burning'!A3202</f>
        <v>0</v>
      </c>
      <c r="B3196" s="156">
        <f>'Reported burning'!B3202</f>
        <v>0</v>
      </c>
      <c r="C3196" s="156">
        <f>'Reported burning'!C3202</f>
        <v>0</v>
      </c>
      <c r="D3196" s="156">
        <f>'Reported burning'!D3202</f>
        <v>0</v>
      </c>
      <c r="E3196" s="156">
        <f>'Reported burning'!E3202</f>
        <v>0</v>
      </c>
      <c r="F3196" s="156">
        <f>'Reported burning'!F3202</f>
        <v>0</v>
      </c>
      <c r="G3196" s="156">
        <f>'Reported burning'!G3202</f>
        <v>0</v>
      </c>
      <c r="H3196" s="156">
        <f>'Reported burning'!H3202</f>
        <v>0</v>
      </c>
      <c r="I3196" s="5"/>
    </row>
    <row r="3197" spans="1:9">
      <c r="A3197" s="156">
        <f>'Reported burning'!A3203</f>
        <v>0</v>
      </c>
      <c r="B3197" s="156">
        <f>'Reported burning'!B3203</f>
        <v>0</v>
      </c>
      <c r="C3197" s="156">
        <f>'Reported burning'!C3203</f>
        <v>0</v>
      </c>
      <c r="D3197" s="156">
        <f>'Reported burning'!D3203</f>
        <v>0</v>
      </c>
      <c r="E3197" s="156">
        <f>'Reported burning'!E3203</f>
        <v>0</v>
      </c>
      <c r="F3197" s="156">
        <f>'Reported burning'!F3203</f>
        <v>0</v>
      </c>
      <c r="G3197" s="156">
        <f>'Reported burning'!G3203</f>
        <v>0</v>
      </c>
      <c r="H3197" s="156">
        <f>'Reported burning'!H3203</f>
        <v>0</v>
      </c>
      <c r="I3197" s="5"/>
    </row>
    <row r="3198" spans="1:9">
      <c r="A3198" s="156">
        <f>'Reported burning'!A3204</f>
        <v>0</v>
      </c>
      <c r="B3198" s="156">
        <f>'Reported burning'!B3204</f>
        <v>0</v>
      </c>
      <c r="C3198" s="156">
        <f>'Reported burning'!C3204</f>
        <v>0</v>
      </c>
      <c r="D3198" s="156">
        <f>'Reported burning'!D3204</f>
        <v>0</v>
      </c>
      <c r="E3198" s="156">
        <f>'Reported burning'!E3204</f>
        <v>0</v>
      </c>
      <c r="F3198" s="156">
        <f>'Reported burning'!F3204</f>
        <v>0</v>
      </c>
      <c r="G3198" s="156">
        <f>'Reported burning'!G3204</f>
        <v>0</v>
      </c>
      <c r="H3198" s="156">
        <f>'Reported burning'!H3204</f>
        <v>0</v>
      </c>
      <c r="I3198" s="5"/>
    </row>
    <row r="3199" spans="1:9">
      <c r="A3199" s="156">
        <f>'Reported burning'!A3205</f>
        <v>0</v>
      </c>
      <c r="B3199" s="156">
        <f>'Reported burning'!B3205</f>
        <v>0</v>
      </c>
      <c r="C3199" s="156">
        <f>'Reported burning'!C3205</f>
        <v>0</v>
      </c>
      <c r="D3199" s="156">
        <f>'Reported burning'!D3205</f>
        <v>0</v>
      </c>
      <c r="E3199" s="156">
        <f>'Reported burning'!E3205</f>
        <v>0</v>
      </c>
      <c r="F3199" s="156">
        <f>'Reported burning'!F3205</f>
        <v>0</v>
      </c>
      <c r="G3199" s="156">
        <f>'Reported burning'!G3205</f>
        <v>0</v>
      </c>
      <c r="H3199" s="156">
        <f>'Reported burning'!H3205</f>
        <v>0</v>
      </c>
      <c r="I3199" s="5"/>
    </row>
    <row r="3200" spans="1:9">
      <c r="A3200" s="156">
        <f>'Reported burning'!A3206</f>
        <v>0</v>
      </c>
      <c r="B3200" s="156">
        <f>'Reported burning'!B3206</f>
        <v>0</v>
      </c>
      <c r="C3200" s="156">
        <f>'Reported burning'!C3206</f>
        <v>0</v>
      </c>
      <c r="D3200" s="156">
        <f>'Reported burning'!D3206</f>
        <v>0</v>
      </c>
      <c r="E3200" s="156">
        <f>'Reported burning'!E3206</f>
        <v>0</v>
      </c>
      <c r="F3200" s="156">
        <f>'Reported burning'!F3206</f>
        <v>0</v>
      </c>
      <c r="G3200" s="156">
        <f>'Reported burning'!G3206</f>
        <v>0</v>
      </c>
      <c r="H3200" s="156">
        <f>'Reported burning'!H3206</f>
        <v>0</v>
      </c>
      <c r="I3200" s="5"/>
    </row>
    <row r="3201" spans="1:9">
      <c r="A3201" s="156">
        <f>'Reported burning'!A3207</f>
        <v>0</v>
      </c>
      <c r="B3201" s="156">
        <f>'Reported burning'!B3207</f>
        <v>0</v>
      </c>
      <c r="C3201" s="156">
        <f>'Reported burning'!C3207</f>
        <v>0</v>
      </c>
      <c r="D3201" s="156">
        <f>'Reported burning'!D3207</f>
        <v>0</v>
      </c>
      <c r="E3201" s="156">
        <f>'Reported burning'!E3207</f>
        <v>0</v>
      </c>
      <c r="F3201" s="156">
        <f>'Reported burning'!F3207</f>
        <v>0</v>
      </c>
      <c r="G3201" s="156">
        <f>'Reported burning'!G3207</f>
        <v>0</v>
      </c>
      <c r="H3201" s="156">
        <f>'Reported burning'!H3207</f>
        <v>0</v>
      </c>
      <c r="I3201" s="5"/>
    </row>
    <row r="3202" spans="1:9">
      <c r="A3202" s="156">
        <f>'Reported burning'!A3208</f>
        <v>0</v>
      </c>
      <c r="B3202" s="156">
        <f>'Reported burning'!B3208</f>
        <v>0</v>
      </c>
      <c r="C3202" s="156">
        <f>'Reported burning'!C3208</f>
        <v>0</v>
      </c>
      <c r="D3202" s="156">
        <f>'Reported burning'!D3208</f>
        <v>0</v>
      </c>
      <c r="E3202" s="156">
        <f>'Reported burning'!E3208</f>
        <v>0</v>
      </c>
      <c r="F3202" s="156">
        <f>'Reported burning'!F3208</f>
        <v>0</v>
      </c>
      <c r="G3202" s="156">
        <f>'Reported burning'!G3208</f>
        <v>0</v>
      </c>
      <c r="H3202" s="156">
        <f>'Reported burning'!H3208</f>
        <v>0</v>
      </c>
      <c r="I3202" s="5"/>
    </row>
    <row r="3203" spans="1:9">
      <c r="A3203" s="156">
        <f>'Reported burning'!A3209</f>
        <v>0</v>
      </c>
      <c r="B3203" s="156">
        <f>'Reported burning'!B3209</f>
        <v>0</v>
      </c>
      <c r="C3203" s="156">
        <f>'Reported burning'!C3209</f>
        <v>0</v>
      </c>
      <c r="D3203" s="156">
        <f>'Reported burning'!D3209</f>
        <v>0</v>
      </c>
      <c r="E3203" s="156">
        <f>'Reported burning'!E3209</f>
        <v>0</v>
      </c>
      <c r="F3203" s="156">
        <f>'Reported burning'!F3209</f>
        <v>0</v>
      </c>
      <c r="G3203" s="156">
        <f>'Reported burning'!G3209</f>
        <v>0</v>
      </c>
      <c r="H3203" s="156">
        <f>'Reported burning'!H3209</f>
        <v>0</v>
      </c>
      <c r="I3203" s="5"/>
    </row>
    <row r="3204" spans="1:9">
      <c r="A3204" s="156">
        <f>'Reported burning'!A3210</f>
        <v>0</v>
      </c>
      <c r="B3204" s="156">
        <f>'Reported burning'!B3210</f>
        <v>0</v>
      </c>
      <c r="C3204" s="156">
        <f>'Reported burning'!C3210</f>
        <v>0</v>
      </c>
      <c r="D3204" s="156">
        <f>'Reported burning'!D3210</f>
        <v>0</v>
      </c>
      <c r="E3204" s="156">
        <f>'Reported burning'!E3210</f>
        <v>0</v>
      </c>
      <c r="F3204" s="156">
        <f>'Reported burning'!F3210</f>
        <v>0</v>
      </c>
      <c r="G3204" s="156">
        <f>'Reported burning'!G3210</f>
        <v>0</v>
      </c>
      <c r="H3204" s="156">
        <f>'Reported burning'!H3210</f>
        <v>0</v>
      </c>
      <c r="I3204" s="5"/>
    </row>
    <row r="3205" spans="1:9">
      <c r="A3205" s="156">
        <f>'Reported burning'!A3211</f>
        <v>0</v>
      </c>
      <c r="B3205" s="156">
        <f>'Reported burning'!B3211</f>
        <v>0</v>
      </c>
      <c r="C3205" s="156">
        <f>'Reported burning'!C3211</f>
        <v>0</v>
      </c>
      <c r="D3205" s="156">
        <f>'Reported burning'!D3211</f>
        <v>0</v>
      </c>
      <c r="E3205" s="156">
        <f>'Reported burning'!E3211</f>
        <v>0</v>
      </c>
      <c r="F3205" s="156">
        <f>'Reported burning'!F3211</f>
        <v>0</v>
      </c>
      <c r="G3205" s="156">
        <f>'Reported burning'!G3211</f>
        <v>0</v>
      </c>
      <c r="H3205" s="156">
        <f>'Reported burning'!H3211</f>
        <v>0</v>
      </c>
      <c r="I3205" s="5"/>
    </row>
    <row r="3206" spans="1:9">
      <c r="A3206" s="156">
        <f>'Reported burning'!A3212</f>
        <v>0</v>
      </c>
      <c r="B3206" s="156">
        <f>'Reported burning'!B3212</f>
        <v>0</v>
      </c>
      <c r="C3206" s="156">
        <f>'Reported burning'!C3212</f>
        <v>0</v>
      </c>
      <c r="D3206" s="156">
        <f>'Reported burning'!D3212</f>
        <v>0</v>
      </c>
      <c r="E3206" s="156">
        <f>'Reported burning'!E3212</f>
        <v>0</v>
      </c>
      <c r="F3206" s="156">
        <f>'Reported burning'!F3212</f>
        <v>0</v>
      </c>
      <c r="G3206" s="156">
        <f>'Reported burning'!G3212</f>
        <v>0</v>
      </c>
      <c r="H3206" s="156">
        <f>'Reported burning'!H3212</f>
        <v>0</v>
      </c>
      <c r="I3206" s="5"/>
    </row>
    <row r="3207" spans="1:9">
      <c r="A3207" s="156">
        <f>'Reported burning'!A3213</f>
        <v>0</v>
      </c>
      <c r="B3207" s="156">
        <f>'Reported burning'!B3213</f>
        <v>0</v>
      </c>
      <c r="C3207" s="156">
        <f>'Reported burning'!C3213</f>
        <v>0</v>
      </c>
      <c r="D3207" s="156">
        <f>'Reported burning'!D3213</f>
        <v>0</v>
      </c>
      <c r="E3207" s="156">
        <f>'Reported burning'!E3213</f>
        <v>0</v>
      </c>
      <c r="F3207" s="156">
        <f>'Reported burning'!F3213</f>
        <v>0</v>
      </c>
      <c r="G3207" s="156">
        <f>'Reported burning'!G3213</f>
        <v>0</v>
      </c>
      <c r="H3207" s="156">
        <f>'Reported burning'!H3213</f>
        <v>0</v>
      </c>
      <c r="I3207" s="5"/>
    </row>
    <row r="3208" spans="1:9">
      <c r="A3208" s="156">
        <f>'Reported burning'!A3214</f>
        <v>0</v>
      </c>
      <c r="B3208" s="156">
        <f>'Reported burning'!B3214</f>
        <v>0</v>
      </c>
      <c r="C3208" s="156">
        <f>'Reported burning'!C3214</f>
        <v>0</v>
      </c>
      <c r="D3208" s="156">
        <f>'Reported burning'!D3214</f>
        <v>0</v>
      </c>
      <c r="E3208" s="156">
        <f>'Reported burning'!E3214</f>
        <v>0</v>
      </c>
      <c r="F3208" s="156">
        <f>'Reported burning'!F3214</f>
        <v>0</v>
      </c>
      <c r="G3208" s="156">
        <f>'Reported burning'!G3214</f>
        <v>0</v>
      </c>
      <c r="H3208" s="156">
        <f>'Reported burning'!H3214</f>
        <v>0</v>
      </c>
      <c r="I3208" s="5"/>
    </row>
    <row r="3209" spans="1:9">
      <c r="A3209" s="156">
        <f>'Reported burning'!A3215</f>
        <v>0</v>
      </c>
      <c r="B3209" s="156">
        <f>'Reported burning'!B3215</f>
        <v>0</v>
      </c>
      <c r="C3209" s="156">
        <f>'Reported burning'!C3215</f>
        <v>0</v>
      </c>
      <c r="D3209" s="156">
        <f>'Reported burning'!D3215</f>
        <v>0</v>
      </c>
      <c r="E3209" s="156">
        <f>'Reported burning'!E3215</f>
        <v>0</v>
      </c>
      <c r="F3209" s="156">
        <f>'Reported burning'!F3215</f>
        <v>0</v>
      </c>
      <c r="G3209" s="156">
        <f>'Reported burning'!G3215</f>
        <v>0</v>
      </c>
      <c r="H3209" s="156">
        <f>'Reported burning'!H3215</f>
        <v>0</v>
      </c>
      <c r="I3209" s="5"/>
    </row>
    <row r="3210" spans="1:9">
      <c r="A3210" s="156">
        <f>'Reported burning'!A3216</f>
        <v>0</v>
      </c>
      <c r="B3210" s="156">
        <f>'Reported burning'!B3216</f>
        <v>0</v>
      </c>
      <c r="C3210" s="156">
        <f>'Reported burning'!C3216</f>
        <v>0</v>
      </c>
      <c r="D3210" s="156">
        <f>'Reported burning'!D3216</f>
        <v>0</v>
      </c>
      <c r="E3210" s="156">
        <f>'Reported burning'!E3216</f>
        <v>0</v>
      </c>
      <c r="F3210" s="156">
        <f>'Reported burning'!F3216</f>
        <v>0</v>
      </c>
      <c r="G3210" s="156">
        <f>'Reported burning'!G3216</f>
        <v>0</v>
      </c>
      <c r="H3210" s="156">
        <f>'Reported burning'!H3216</f>
        <v>0</v>
      </c>
      <c r="I3210" s="5"/>
    </row>
    <row r="3211" spans="1:9">
      <c r="A3211" s="156">
        <f>'Reported burning'!A3217</f>
        <v>0</v>
      </c>
      <c r="B3211" s="156">
        <f>'Reported burning'!B3217</f>
        <v>0</v>
      </c>
      <c r="C3211" s="156">
        <f>'Reported burning'!C3217</f>
        <v>0</v>
      </c>
      <c r="D3211" s="156">
        <f>'Reported burning'!D3217</f>
        <v>0</v>
      </c>
      <c r="E3211" s="156">
        <f>'Reported burning'!E3217</f>
        <v>0</v>
      </c>
      <c r="F3211" s="156">
        <f>'Reported burning'!F3217</f>
        <v>0</v>
      </c>
      <c r="G3211" s="156">
        <f>'Reported burning'!G3217</f>
        <v>0</v>
      </c>
      <c r="H3211" s="156">
        <f>'Reported burning'!H3217</f>
        <v>0</v>
      </c>
      <c r="I3211" s="5"/>
    </row>
    <row r="3212" spans="1:9">
      <c r="A3212" s="156">
        <f>'Reported burning'!A3218</f>
        <v>0</v>
      </c>
      <c r="B3212" s="156">
        <f>'Reported burning'!B3218</f>
        <v>0</v>
      </c>
      <c r="C3212" s="156">
        <f>'Reported burning'!C3218</f>
        <v>0</v>
      </c>
      <c r="D3212" s="156">
        <f>'Reported burning'!D3218</f>
        <v>0</v>
      </c>
      <c r="E3212" s="156">
        <f>'Reported burning'!E3218</f>
        <v>0</v>
      </c>
      <c r="F3212" s="156">
        <f>'Reported burning'!F3218</f>
        <v>0</v>
      </c>
      <c r="G3212" s="156">
        <f>'Reported burning'!G3218</f>
        <v>0</v>
      </c>
      <c r="H3212" s="156">
        <f>'Reported burning'!H3218</f>
        <v>0</v>
      </c>
      <c r="I3212" s="5"/>
    </row>
    <row r="3213" spans="1:9">
      <c r="A3213" s="156">
        <f>'Reported burning'!A3219</f>
        <v>0</v>
      </c>
      <c r="B3213" s="156">
        <f>'Reported burning'!B3219</f>
        <v>0</v>
      </c>
      <c r="C3213" s="156">
        <f>'Reported burning'!C3219</f>
        <v>0</v>
      </c>
      <c r="D3213" s="156">
        <f>'Reported burning'!D3219</f>
        <v>0</v>
      </c>
      <c r="E3213" s="156">
        <f>'Reported burning'!E3219</f>
        <v>0</v>
      </c>
      <c r="F3213" s="156">
        <f>'Reported burning'!F3219</f>
        <v>0</v>
      </c>
      <c r="G3213" s="156">
        <f>'Reported burning'!G3219</f>
        <v>0</v>
      </c>
      <c r="H3213" s="156">
        <f>'Reported burning'!H3219</f>
        <v>0</v>
      </c>
      <c r="I3213" s="5"/>
    </row>
    <row r="3214" spans="1:9">
      <c r="A3214" s="156">
        <f>'Reported burning'!A3220</f>
        <v>0</v>
      </c>
      <c r="B3214" s="156">
        <f>'Reported burning'!B3220</f>
        <v>0</v>
      </c>
      <c r="C3214" s="156">
        <f>'Reported burning'!C3220</f>
        <v>0</v>
      </c>
      <c r="D3214" s="156">
        <f>'Reported burning'!D3220</f>
        <v>0</v>
      </c>
      <c r="E3214" s="156">
        <f>'Reported burning'!E3220</f>
        <v>0</v>
      </c>
      <c r="F3214" s="156">
        <f>'Reported burning'!F3220</f>
        <v>0</v>
      </c>
      <c r="G3214" s="156">
        <f>'Reported burning'!G3220</f>
        <v>0</v>
      </c>
      <c r="H3214" s="156">
        <f>'Reported burning'!H3220</f>
        <v>0</v>
      </c>
      <c r="I3214" s="5"/>
    </row>
    <row r="3215" spans="1:9">
      <c r="A3215" s="156">
        <f>'Reported burning'!A3221</f>
        <v>0</v>
      </c>
      <c r="B3215" s="156">
        <f>'Reported burning'!B3221</f>
        <v>0</v>
      </c>
      <c r="C3215" s="156">
        <f>'Reported burning'!C3221</f>
        <v>0</v>
      </c>
      <c r="D3215" s="156">
        <f>'Reported burning'!D3221</f>
        <v>0</v>
      </c>
      <c r="E3215" s="156">
        <f>'Reported burning'!E3221</f>
        <v>0</v>
      </c>
      <c r="F3215" s="156">
        <f>'Reported burning'!F3221</f>
        <v>0</v>
      </c>
      <c r="G3215" s="156">
        <f>'Reported burning'!G3221</f>
        <v>0</v>
      </c>
      <c r="H3215" s="156">
        <f>'Reported burning'!H3221</f>
        <v>0</v>
      </c>
      <c r="I3215" s="5"/>
    </row>
    <row r="3216" spans="1:9">
      <c r="A3216" s="156">
        <f>'Reported burning'!A3222</f>
        <v>0</v>
      </c>
      <c r="B3216" s="156">
        <f>'Reported burning'!B3222</f>
        <v>0</v>
      </c>
      <c r="C3216" s="156">
        <f>'Reported burning'!C3222</f>
        <v>0</v>
      </c>
      <c r="D3216" s="156">
        <f>'Reported burning'!D3222</f>
        <v>0</v>
      </c>
      <c r="E3216" s="156">
        <f>'Reported burning'!E3222</f>
        <v>0</v>
      </c>
      <c r="F3216" s="156">
        <f>'Reported burning'!F3222</f>
        <v>0</v>
      </c>
      <c r="G3216" s="156">
        <f>'Reported burning'!G3222</f>
        <v>0</v>
      </c>
      <c r="H3216" s="156">
        <f>'Reported burning'!H3222</f>
        <v>0</v>
      </c>
      <c r="I3216" s="5"/>
    </row>
    <row r="3217" spans="1:9">
      <c r="A3217" s="156">
        <f>'Reported burning'!A3223</f>
        <v>0</v>
      </c>
      <c r="B3217" s="156">
        <f>'Reported burning'!B3223</f>
        <v>0</v>
      </c>
      <c r="C3217" s="156">
        <f>'Reported burning'!C3223</f>
        <v>0</v>
      </c>
      <c r="D3217" s="156">
        <f>'Reported burning'!D3223</f>
        <v>0</v>
      </c>
      <c r="E3217" s="156">
        <f>'Reported burning'!E3223</f>
        <v>0</v>
      </c>
      <c r="F3217" s="156">
        <f>'Reported burning'!F3223</f>
        <v>0</v>
      </c>
      <c r="G3217" s="156">
        <f>'Reported burning'!G3223</f>
        <v>0</v>
      </c>
      <c r="H3217" s="156">
        <f>'Reported burning'!H3223</f>
        <v>0</v>
      </c>
      <c r="I3217" s="5"/>
    </row>
    <row r="3218" spans="1:9">
      <c r="A3218" s="156">
        <f>'Reported burning'!A3224</f>
        <v>0</v>
      </c>
      <c r="B3218" s="156">
        <f>'Reported burning'!B3224</f>
        <v>0</v>
      </c>
      <c r="C3218" s="156">
        <f>'Reported burning'!C3224</f>
        <v>0</v>
      </c>
      <c r="D3218" s="156">
        <f>'Reported burning'!D3224</f>
        <v>0</v>
      </c>
      <c r="E3218" s="156">
        <f>'Reported burning'!E3224</f>
        <v>0</v>
      </c>
      <c r="F3218" s="156">
        <f>'Reported burning'!F3224</f>
        <v>0</v>
      </c>
      <c r="G3218" s="156">
        <f>'Reported burning'!G3224</f>
        <v>0</v>
      </c>
      <c r="H3218" s="156">
        <f>'Reported burning'!H3224</f>
        <v>0</v>
      </c>
      <c r="I3218" s="5"/>
    </row>
    <row r="3219" spans="1:9">
      <c r="A3219" s="156">
        <f>'Reported burning'!A3225</f>
        <v>0</v>
      </c>
      <c r="B3219" s="156">
        <f>'Reported burning'!B3225</f>
        <v>0</v>
      </c>
      <c r="C3219" s="156">
        <f>'Reported burning'!C3225</f>
        <v>0</v>
      </c>
      <c r="D3219" s="156">
        <f>'Reported burning'!D3225</f>
        <v>0</v>
      </c>
      <c r="E3219" s="156">
        <f>'Reported burning'!E3225</f>
        <v>0</v>
      </c>
      <c r="F3219" s="156">
        <f>'Reported burning'!F3225</f>
        <v>0</v>
      </c>
      <c r="G3219" s="156">
        <f>'Reported burning'!G3225</f>
        <v>0</v>
      </c>
      <c r="H3219" s="156">
        <f>'Reported burning'!H3225</f>
        <v>0</v>
      </c>
      <c r="I3219" s="5"/>
    </row>
    <row r="3220" spans="1:9">
      <c r="A3220" s="156">
        <f>'Reported burning'!A3226</f>
        <v>0</v>
      </c>
      <c r="B3220" s="156">
        <f>'Reported burning'!B3226</f>
        <v>0</v>
      </c>
      <c r="C3220" s="156">
        <f>'Reported burning'!C3226</f>
        <v>0</v>
      </c>
      <c r="D3220" s="156">
        <f>'Reported burning'!D3226</f>
        <v>0</v>
      </c>
      <c r="E3220" s="156">
        <f>'Reported burning'!E3226</f>
        <v>0</v>
      </c>
      <c r="F3220" s="156">
        <f>'Reported burning'!F3226</f>
        <v>0</v>
      </c>
      <c r="G3220" s="156">
        <f>'Reported burning'!G3226</f>
        <v>0</v>
      </c>
      <c r="H3220" s="156">
        <f>'Reported burning'!H3226</f>
        <v>0</v>
      </c>
      <c r="I3220" s="5"/>
    </row>
    <row r="3221" spans="1:9">
      <c r="A3221" s="156">
        <f>'Reported burning'!A3227</f>
        <v>0</v>
      </c>
      <c r="B3221" s="156">
        <f>'Reported burning'!B3227</f>
        <v>0</v>
      </c>
      <c r="C3221" s="156">
        <f>'Reported burning'!C3227</f>
        <v>0</v>
      </c>
      <c r="D3221" s="156">
        <f>'Reported burning'!D3227</f>
        <v>0</v>
      </c>
      <c r="E3221" s="156">
        <f>'Reported burning'!E3227</f>
        <v>0</v>
      </c>
      <c r="F3221" s="156">
        <f>'Reported burning'!F3227</f>
        <v>0</v>
      </c>
      <c r="G3221" s="156">
        <f>'Reported burning'!G3227</f>
        <v>0</v>
      </c>
      <c r="H3221" s="156">
        <f>'Reported burning'!H3227</f>
        <v>0</v>
      </c>
      <c r="I3221" s="5"/>
    </row>
    <row r="3222" spans="1:9">
      <c r="A3222" s="156">
        <f>'Reported burning'!A3228</f>
        <v>0</v>
      </c>
      <c r="B3222" s="156">
        <f>'Reported burning'!B3228</f>
        <v>0</v>
      </c>
      <c r="C3222" s="156">
        <f>'Reported burning'!C3228</f>
        <v>0</v>
      </c>
      <c r="D3222" s="156">
        <f>'Reported burning'!D3228</f>
        <v>0</v>
      </c>
      <c r="E3222" s="156">
        <f>'Reported burning'!E3228</f>
        <v>0</v>
      </c>
      <c r="F3222" s="156">
        <f>'Reported burning'!F3228</f>
        <v>0</v>
      </c>
      <c r="G3222" s="156">
        <f>'Reported burning'!G3228</f>
        <v>0</v>
      </c>
      <c r="H3222" s="156">
        <f>'Reported burning'!H3228</f>
        <v>0</v>
      </c>
      <c r="I3222" s="5"/>
    </row>
    <row r="3223" spans="1:9">
      <c r="A3223" s="156">
        <f>'Reported burning'!A3229</f>
        <v>0</v>
      </c>
      <c r="B3223" s="156">
        <f>'Reported burning'!B3229</f>
        <v>0</v>
      </c>
      <c r="C3223" s="156">
        <f>'Reported burning'!C3229</f>
        <v>0</v>
      </c>
      <c r="D3223" s="156">
        <f>'Reported burning'!D3229</f>
        <v>0</v>
      </c>
      <c r="E3223" s="156">
        <f>'Reported burning'!E3229</f>
        <v>0</v>
      </c>
      <c r="F3223" s="156">
        <f>'Reported burning'!F3229</f>
        <v>0</v>
      </c>
      <c r="G3223" s="156">
        <f>'Reported burning'!G3229</f>
        <v>0</v>
      </c>
      <c r="H3223" s="156">
        <f>'Reported burning'!H3229</f>
        <v>0</v>
      </c>
      <c r="I3223" s="5"/>
    </row>
    <row r="3224" spans="1:9">
      <c r="A3224" s="156">
        <f>'Reported burning'!A3230</f>
        <v>0</v>
      </c>
      <c r="B3224" s="156">
        <f>'Reported burning'!B3230</f>
        <v>0</v>
      </c>
      <c r="C3224" s="156">
        <f>'Reported burning'!C3230</f>
        <v>0</v>
      </c>
      <c r="D3224" s="156">
        <f>'Reported burning'!D3230</f>
        <v>0</v>
      </c>
      <c r="E3224" s="156">
        <f>'Reported burning'!E3230</f>
        <v>0</v>
      </c>
      <c r="F3224" s="156">
        <f>'Reported burning'!F3230</f>
        <v>0</v>
      </c>
      <c r="G3224" s="156">
        <f>'Reported burning'!G3230</f>
        <v>0</v>
      </c>
      <c r="H3224" s="156">
        <f>'Reported burning'!H3230</f>
        <v>0</v>
      </c>
      <c r="I3224" s="5"/>
    </row>
    <row r="3225" spans="1:9">
      <c r="A3225" s="156">
        <f>'Reported burning'!A3231</f>
        <v>0</v>
      </c>
      <c r="B3225" s="156">
        <f>'Reported burning'!B3231</f>
        <v>0</v>
      </c>
      <c r="C3225" s="156">
        <f>'Reported burning'!C3231</f>
        <v>0</v>
      </c>
      <c r="D3225" s="156">
        <f>'Reported burning'!D3231</f>
        <v>0</v>
      </c>
      <c r="E3225" s="156">
        <f>'Reported burning'!E3231</f>
        <v>0</v>
      </c>
      <c r="F3225" s="156">
        <f>'Reported burning'!F3231</f>
        <v>0</v>
      </c>
      <c r="G3225" s="156">
        <f>'Reported burning'!G3231</f>
        <v>0</v>
      </c>
      <c r="H3225" s="156">
        <f>'Reported burning'!H3231</f>
        <v>0</v>
      </c>
      <c r="I3225" s="5"/>
    </row>
    <row r="3226" spans="1:9">
      <c r="A3226" s="156">
        <f>'Reported burning'!A3232</f>
        <v>0</v>
      </c>
      <c r="B3226" s="156">
        <f>'Reported burning'!B3232</f>
        <v>0</v>
      </c>
      <c r="C3226" s="156">
        <f>'Reported burning'!C3232</f>
        <v>0</v>
      </c>
      <c r="D3226" s="156">
        <f>'Reported burning'!D3232</f>
        <v>0</v>
      </c>
      <c r="E3226" s="156">
        <f>'Reported burning'!E3232</f>
        <v>0</v>
      </c>
      <c r="F3226" s="156">
        <f>'Reported burning'!F3232</f>
        <v>0</v>
      </c>
      <c r="G3226" s="156">
        <f>'Reported burning'!G3232</f>
        <v>0</v>
      </c>
      <c r="H3226" s="156">
        <f>'Reported burning'!H3232</f>
        <v>0</v>
      </c>
      <c r="I3226" s="5"/>
    </row>
    <row r="3227" spans="1:9">
      <c r="A3227" s="156">
        <f>'Reported burning'!A3233</f>
        <v>0</v>
      </c>
      <c r="B3227" s="156">
        <f>'Reported burning'!B3233</f>
        <v>0</v>
      </c>
      <c r="C3227" s="156">
        <f>'Reported burning'!C3233</f>
        <v>0</v>
      </c>
      <c r="D3227" s="156">
        <f>'Reported burning'!D3233</f>
        <v>0</v>
      </c>
      <c r="E3227" s="156">
        <f>'Reported burning'!E3233</f>
        <v>0</v>
      </c>
      <c r="F3227" s="156">
        <f>'Reported burning'!F3233</f>
        <v>0</v>
      </c>
      <c r="G3227" s="156">
        <f>'Reported burning'!G3233</f>
        <v>0</v>
      </c>
      <c r="H3227" s="156">
        <f>'Reported burning'!H3233</f>
        <v>0</v>
      </c>
      <c r="I3227" s="5"/>
    </row>
    <row r="3228" spans="1:9">
      <c r="A3228" s="156">
        <f>'Reported burning'!A3234</f>
        <v>0</v>
      </c>
      <c r="B3228" s="156">
        <f>'Reported burning'!B3234</f>
        <v>0</v>
      </c>
      <c r="C3228" s="156">
        <f>'Reported burning'!C3234</f>
        <v>0</v>
      </c>
      <c r="D3228" s="156">
        <f>'Reported burning'!D3234</f>
        <v>0</v>
      </c>
      <c r="E3228" s="156">
        <f>'Reported burning'!E3234</f>
        <v>0</v>
      </c>
      <c r="F3228" s="156">
        <f>'Reported burning'!F3234</f>
        <v>0</v>
      </c>
      <c r="G3228" s="156">
        <f>'Reported burning'!G3234</f>
        <v>0</v>
      </c>
      <c r="H3228" s="156">
        <f>'Reported burning'!H3234</f>
        <v>0</v>
      </c>
      <c r="I3228" s="5"/>
    </row>
    <row r="3229" spans="1:9">
      <c r="A3229" s="156">
        <f>'Reported burning'!A3235</f>
        <v>0</v>
      </c>
      <c r="B3229" s="156">
        <f>'Reported burning'!B3235</f>
        <v>0</v>
      </c>
      <c r="C3229" s="156">
        <f>'Reported burning'!C3235</f>
        <v>0</v>
      </c>
      <c r="D3229" s="156">
        <f>'Reported burning'!D3235</f>
        <v>0</v>
      </c>
      <c r="E3229" s="156">
        <f>'Reported burning'!E3235</f>
        <v>0</v>
      </c>
      <c r="F3229" s="156">
        <f>'Reported burning'!F3235</f>
        <v>0</v>
      </c>
      <c r="G3229" s="156">
        <f>'Reported burning'!G3235</f>
        <v>0</v>
      </c>
      <c r="H3229" s="156">
        <f>'Reported burning'!H3235</f>
        <v>0</v>
      </c>
      <c r="I3229" s="5"/>
    </row>
    <row r="3230" spans="1:9">
      <c r="A3230" s="156">
        <f>'Reported burning'!A3236</f>
        <v>0</v>
      </c>
      <c r="B3230" s="156">
        <f>'Reported burning'!B3236</f>
        <v>0</v>
      </c>
      <c r="C3230" s="156">
        <f>'Reported burning'!C3236</f>
        <v>0</v>
      </c>
      <c r="D3230" s="156">
        <f>'Reported burning'!D3236</f>
        <v>0</v>
      </c>
      <c r="E3230" s="156">
        <f>'Reported burning'!E3236</f>
        <v>0</v>
      </c>
      <c r="F3230" s="156">
        <f>'Reported burning'!F3236</f>
        <v>0</v>
      </c>
      <c r="G3230" s="156">
        <f>'Reported burning'!G3236</f>
        <v>0</v>
      </c>
      <c r="H3230" s="156">
        <f>'Reported burning'!H3236</f>
        <v>0</v>
      </c>
      <c r="I3230" s="5"/>
    </row>
    <row r="3231" spans="1:9">
      <c r="A3231" s="156">
        <f>'Reported burning'!A3237</f>
        <v>0</v>
      </c>
      <c r="B3231" s="156">
        <f>'Reported burning'!B3237</f>
        <v>0</v>
      </c>
      <c r="C3231" s="156">
        <f>'Reported burning'!C3237</f>
        <v>0</v>
      </c>
      <c r="D3231" s="156">
        <f>'Reported burning'!D3237</f>
        <v>0</v>
      </c>
      <c r="E3231" s="156">
        <f>'Reported burning'!E3237</f>
        <v>0</v>
      </c>
      <c r="F3231" s="156">
        <f>'Reported burning'!F3237</f>
        <v>0</v>
      </c>
      <c r="G3231" s="156">
        <f>'Reported burning'!G3237</f>
        <v>0</v>
      </c>
      <c r="H3231" s="156">
        <f>'Reported burning'!H3237</f>
        <v>0</v>
      </c>
      <c r="I3231" s="5"/>
    </row>
    <row r="3232" spans="1:9">
      <c r="A3232" s="156">
        <f>'Reported burning'!A3238</f>
        <v>0</v>
      </c>
      <c r="B3232" s="156">
        <f>'Reported burning'!B3238</f>
        <v>0</v>
      </c>
      <c r="C3232" s="156">
        <f>'Reported burning'!C3238</f>
        <v>0</v>
      </c>
      <c r="D3232" s="156">
        <f>'Reported burning'!D3238</f>
        <v>0</v>
      </c>
      <c r="E3232" s="156">
        <f>'Reported burning'!E3238</f>
        <v>0</v>
      </c>
      <c r="F3232" s="156">
        <f>'Reported burning'!F3238</f>
        <v>0</v>
      </c>
      <c r="G3232" s="156">
        <f>'Reported burning'!G3238</f>
        <v>0</v>
      </c>
      <c r="H3232" s="156">
        <f>'Reported burning'!H3238</f>
        <v>0</v>
      </c>
      <c r="I3232" s="5"/>
    </row>
    <row r="3233" spans="1:9">
      <c r="A3233" s="156">
        <f>'Reported burning'!A3239</f>
        <v>0</v>
      </c>
      <c r="B3233" s="156">
        <f>'Reported burning'!B3239</f>
        <v>0</v>
      </c>
      <c r="C3233" s="156">
        <f>'Reported burning'!C3239</f>
        <v>0</v>
      </c>
      <c r="D3233" s="156">
        <f>'Reported burning'!D3239</f>
        <v>0</v>
      </c>
      <c r="E3233" s="156">
        <f>'Reported burning'!E3239</f>
        <v>0</v>
      </c>
      <c r="F3233" s="156">
        <f>'Reported burning'!F3239</f>
        <v>0</v>
      </c>
      <c r="G3233" s="156">
        <f>'Reported burning'!G3239</f>
        <v>0</v>
      </c>
      <c r="H3233" s="156">
        <f>'Reported burning'!H3239</f>
        <v>0</v>
      </c>
      <c r="I3233" s="5"/>
    </row>
    <row r="3234" spans="1:9">
      <c r="A3234" s="156">
        <f>'Reported burning'!A3240</f>
        <v>0</v>
      </c>
      <c r="B3234" s="156">
        <f>'Reported burning'!B3240</f>
        <v>0</v>
      </c>
      <c r="C3234" s="156">
        <f>'Reported burning'!C3240</f>
        <v>0</v>
      </c>
      <c r="D3234" s="156">
        <f>'Reported burning'!D3240</f>
        <v>0</v>
      </c>
      <c r="E3234" s="156">
        <f>'Reported burning'!E3240</f>
        <v>0</v>
      </c>
      <c r="F3234" s="156">
        <f>'Reported burning'!F3240</f>
        <v>0</v>
      </c>
      <c r="G3234" s="156">
        <f>'Reported burning'!G3240</f>
        <v>0</v>
      </c>
      <c r="H3234" s="156">
        <f>'Reported burning'!H3240</f>
        <v>0</v>
      </c>
      <c r="I3234" s="5"/>
    </row>
    <row r="3235" spans="1:9">
      <c r="A3235" s="156">
        <f>'Reported burning'!A3241</f>
        <v>0</v>
      </c>
      <c r="B3235" s="156">
        <f>'Reported burning'!B3241</f>
        <v>0</v>
      </c>
      <c r="C3235" s="156">
        <f>'Reported burning'!C3241</f>
        <v>0</v>
      </c>
      <c r="D3235" s="156">
        <f>'Reported burning'!D3241</f>
        <v>0</v>
      </c>
      <c r="E3235" s="156">
        <f>'Reported burning'!E3241</f>
        <v>0</v>
      </c>
      <c r="F3235" s="156">
        <f>'Reported burning'!F3241</f>
        <v>0</v>
      </c>
      <c r="G3235" s="156">
        <f>'Reported burning'!G3241</f>
        <v>0</v>
      </c>
      <c r="H3235" s="156">
        <f>'Reported burning'!H3241</f>
        <v>0</v>
      </c>
      <c r="I3235" s="5"/>
    </row>
    <row r="3236" spans="1:9">
      <c r="A3236" s="156">
        <f>'Reported burning'!A3242</f>
        <v>0</v>
      </c>
      <c r="B3236" s="156">
        <f>'Reported burning'!B3242</f>
        <v>0</v>
      </c>
      <c r="C3236" s="156">
        <f>'Reported burning'!C3242</f>
        <v>0</v>
      </c>
      <c r="D3236" s="156">
        <f>'Reported burning'!D3242</f>
        <v>0</v>
      </c>
      <c r="E3236" s="156">
        <f>'Reported burning'!E3242</f>
        <v>0</v>
      </c>
      <c r="F3236" s="156">
        <f>'Reported burning'!F3242</f>
        <v>0</v>
      </c>
      <c r="G3236" s="156">
        <f>'Reported burning'!G3242</f>
        <v>0</v>
      </c>
      <c r="H3236" s="156">
        <f>'Reported burning'!H3242</f>
        <v>0</v>
      </c>
      <c r="I3236" s="5"/>
    </row>
    <row r="3237" spans="1:9">
      <c r="A3237" s="156">
        <f>'Reported burning'!A3243</f>
        <v>0</v>
      </c>
      <c r="B3237" s="156">
        <f>'Reported burning'!B3243</f>
        <v>0</v>
      </c>
      <c r="C3237" s="156">
        <f>'Reported burning'!C3243</f>
        <v>0</v>
      </c>
      <c r="D3237" s="156">
        <f>'Reported burning'!D3243</f>
        <v>0</v>
      </c>
      <c r="E3237" s="156">
        <f>'Reported burning'!E3243</f>
        <v>0</v>
      </c>
      <c r="F3237" s="156">
        <f>'Reported burning'!F3243</f>
        <v>0</v>
      </c>
      <c r="G3237" s="156">
        <f>'Reported burning'!G3243</f>
        <v>0</v>
      </c>
      <c r="H3237" s="156">
        <f>'Reported burning'!H3243</f>
        <v>0</v>
      </c>
      <c r="I3237" s="5"/>
    </row>
    <row r="3238" spans="1:9">
      <c r="A3238" s="156">
        <f>'Reported burning'!A3244</f>
        <v>0</v>
      </c>
      <c r="B3238" s="156">
        <f>'Reported burning'!B3244</f>
        <v>0</v>
      </c>
      <c r="C3238" s="156">
        <f>'Reported burning'!C3244</f>
        <v>0</v>
      </c>
      <c r="D3238" s="156">
        <f>'Reported burning'!D3244</f>
        <v>0</v>
      </c>
      <c r="E3238" s="156">
        <f>'Reported burning'!E3244</f>
        <v>0</v>
      </c>
      <c r="F3238" s="156">
        <f>'Reported burning'!F3244</f>
        <v>0</v>
      </c>
      <c r="G3238" s="156">
        <f>'Reported burning'!G3244</f>
        <v>0</v>
      </c>
      <c r="H3238" s="156">
        <f>'Reported burning'!H3244</f>
        <v>0</v>
      </c>
      <c r="I3238" s="5"/>
    </row>
    <row r="3239" spans="1:9">
      <c r="A3239" s="156">
        <f>'Reported burning'!A3245</f>
        <v>0</v>
      </c>
      <c r="B3239" s="156">
        <f>'Reported burning'!B3245</f>
        <v>0</v>
      </c>
      <c r="C3239" s="156">
        <f>'Reported burning'!C3245</f>
        <v>0</v>
      </c>
      <c r="D3239" s="156">
        <f>'Reported burning'!D3245</f>
        <v>0</v>
      </c>
      <c r="E3239" s="156">
        <f>'Reported burning'!E3245</f>
        <v>0</v>
      </c>
      <c r="F3239" s="156">
        <f>'Reported burning'!F3245</f>
        <v>0</v>
      </c>
      <c r="G3239" s="156">
        <f>'Reported burning'!G3245</f>
        <v>0</v>
      </c>
      <c r="H3239" s="156">
        <f>'Reported burning'!H3245</f>
        <v>0</v>
      </c>
      <c r="I3239" s="5"/>
    </row>
    <row r="3240" spans="1:9">
      <c r="A3240" s="156">
        <f>'Reported burning'!A3246</f>
        <v>0</v>
      </c>
      <c r="B3240" s="156">
        <f>'Reported burning'!B3246</f>
        <v>0</v>
      </c>
      <c r="C3240" s="156">
        <f>'Reported burning'!C3246</f>
        <v>0</v>
      </c>
      <c r="D3240" s="156">
        <f>'Reported burning'!D3246</f>
        <v>0</v>
      </c>
      <c r="E3240" s="156">
        <f>'Reported burning'!E3246</f>
        <v>0</v>
      </c>
      <c r="F3240" s="156">
        <f>'Reported burning'!F3246</f>
        <v>0</v>
      </c>
      <c r="G3240" s="156">
        <f>'Reported burning'!G3246</f>
        <v>0</v>
      </c>
      <c r="H3240" s="156">
        <f>'Reported burning'!H3246</f>
        <v>0</v>
      </c>
      <c r="I3240" s="5"/>
    </row>
    <row r="3241" spans="1:9">
      <c r="A3241" s="156">
        <f>'Reported burning'!A3247</f>
        <v>0</v>
      </c>
      <c r="B3241" s="156">
        <f>'Reported burning'!B3247</f>
        <v>0</v>
      </c>
      <c r="C3241" s="156">
        <f>'Reported burning'!C3247</f>
        <v>0</v>
      </c>
      <c r="D3241" s="156">
        <f>'Reported burning'!D3247</f>
        <v>0</v>
      </c>
      <c r="E3241" s="156">
        <f>'Reported burning'!E3247</f>
        <v>0</v>
      </c>
      <c r="F3241" s="156">
        <f>'Reported burning'!F3247</f>
        <v>0</v>
      </c>
      <c r="G3241" s="156">
        <f>'Reported burning'!G3247</f>
        <v>0</v>
      </c>
      <c r="H3241" s="156">
        <f>'Reported burning'!H3247</f>
        <v>0</v>
      </c>
      <c r="I3241" s="5"/>
    </row>
    <row r="3242" spans="1:9">
      <c r="A3242" s="156">
        <f>'Reported burning'!A3248</f>
        <v>0</v>
      </c>
      <c r="B3242" s="156">
        <f>'Reported burning'!B3248</f>
        <v>0</v>
      </c>
      <c r="C3242" s="156">
        <f>'Reported burning'!C3248</f>
        <v>0</v>
      </c>
      <c r="D3242" s="156">
        <f>'Reported burning'!D3248</f>
        <v>0</v>
      </c>
      <c r="E3242" s="156">
        <f>'Reported burning'!E3248</f>
        <v>0</v>
      </c>
      <c r="F3242" s="156">
        <f>'Reported burning'!F3248</f>
        <v>0</v>
      </c>
      <c r="G3242" s="156">
        <f>'Reported burning'!G3248</f>
        <v>0</v>
      </c>
      <c r="H3242" s="156">
        <f>'Reported burning'!H3248</f>
        <v>0</v>
      </c>
      <c r="I3242" s="5"/>
    </row>
    <row r="3243" spans="1:9">
      <c r="A3243" s="156">
        <f>'Reported burning'!A3249</f>
        <v>0</v>
      </c>
      <c r="B3243" s="156">
        <f>'Reported burning'!B3249</f>
        <v>0</v>
      </c>
      <c r="C3243" s="156">
        <f>'Reported burning'!C3249</f>
        <v>0</v>
      </c>
      <c r="D3243" s="156">
        <f>'Reported burning'!D3249</f>
        <v>0</v>
      </c>
      <c r="E3243" s="156">
        <f>'Reported burning'!E3249</f>
        <v>0</v>
      </c>
      <c r="F3243" s="156">
        <f>'Reported burning'!F3249</f>
        <v>0</v>
      </c>
      <c r="G3243" s="156">
        <f>'Reported burning'!G3249</f>
        <v>0</v>
      </c>
      <c r="H3243" s="156">
        <f>'Reported burning'!H3249</f>
        <v>0</v>
      </c>
      <c r="I3243" s="5"/>
    </row>
    <row r="3244" spans="1:9">
      <c r="A3244" s="156">
        <f>'Reported burning'!A3250</f>
        <v>0</v>
      </c>
      <c r="B3244" s="156">
        <f>'Reported burning'!B3250</f>
        <v>0</v>
      </c>
      <c r="C3244" s="156">
        <f>'Reported burning'!C3250</f>
        <v>0</v>
      </c>
      <c r="D3244" s="156">
        <f>'Reported burning'!D3250</f>
        <v>0</v>
      </c>
      <c r="E3244" s="156">
        <f>'Reported burning'!E3250</f>
        <v>0</v>
      </c>
      <c r="F3244" s="156">
        <f>'Reported burning'!F3250</f>
        <v>0</v>
      </c>
      <c r="G3244" s="156">
        <f>'Reported burning'!G3250</f>
        <v>0</v>
      </c>
      <c r="H3244" s="156">
        <f>'Reported burning'!H3250</f>
        <v>0</v>
      </c>
      <c r="I3244" s="5"/>
    </row>
    <row r="3245" spans="1:9">
      <c r="A3245" s="156">
        <f>'Reported burning'!A3251</f>
        <v>0</v>
      </c>
      <c r="B3245" s="156">
        <f>'Reported burning'!B3251</f>
        <v>0</v>
      </c>
      <c r="C3245" s="156">
        <f>'Reported burning'!C3251</f>
        <v>0</v>
      </c>
      <c r="D3245" s="156">
        <f>'Reported burning'!D3251</f>
        <v>0</v>
      </c>
      <c r="E3245" s="156">
        <f>'Reported burning'!E3251</f>
        <v>0</v>
      </c>
      <c r="F3245" s="156">
        <f>'Reported burning'!F3251</f>
        <v>0</v>
      </c>
      <c r="G3245" s="156">
        <f>'Reported burning'!G3251</f>
        <v>0</v>
      </c>
      <c r="H3245" s="156">
        <f>'Reported burning'!H3251</f>
        <v>0</v>
      </c>
      <c r="I3245" s="5"/>
    </row>
    <row r="3246" spans="1:9">
      <c r="A3246" s="156">
        <f>'Reported burning'!A3252</f>
        <v>0</v>
      </c>
      <c r="B3246" s="156">
        <f>'Reported burning'!B3252</f>
        <v>0</v>
      </c>
      <c r="C3246" s="156">
        <f>'Reported burning'!C3252</f>
        <v>0</v>
      </c>
      <c r="D3246" s="156">
        <f>'Reported burning'!D3252</f>
        <v>0</v>
      </c>
      <c r="E3246" s="156">
        <f>'Reported burning'!E3252</f>
        <v>0</v>
      </c>
      <c r="F3246" s="156">
        <f>'Reported burning'!F3252</f>
        <v>0</v>
      </c>
      <c r="G3246" s="156">
        <f>'Reported burning'!G3252</f>
        <v>0</v>
      </c>
      <c r="H3246" s="156">
        <f>'Reported burning'!H3252</f>
        <v>0</v>
      </c>
      <c r="I3246" s="5"/>
    </row>
    <row r="3247" spans="1:9">
      <c r="A3247" s="156">
        <f>'Reported burning'!A3253</f>
        <v>0</v>
      </c>
      <c r="B3247" s="156">
        <f>'Reported burning'!B3253</f>
        <v>0</v>
      </c>
      <c r="C3247" s="156">
        <f>'Reported burning'!C3253</f>
        <v>0</v>
      </c>
      <c r="D3247" s="156">
        <f>'Reported burning'!D3253</f>
        <v>0</v>
      </c>
      <c r="E3247" s="156">
        <f>'Reported burning'!E3253</f>
        <v>0</v>
      </c>
      <c r="F3247" s="156">
        <f>'Reported burning'!F3253</f>
        <v>0</v>
      </c>
      <c r="G3247" s="156">
        <f>'Reported burning'!G3253</f>
        <v>0</v>
      </c>
      <c r="H3247" s="156">
        <f>'Reported burning'!H3253</f>
        <v>0</v>
      </c>
      <c r="I3247" s="5"/>
    </row>
    <row r="3248" spans="1:9">
      <c r="A3248" s="156">
        <f>'Reported burning'!A3254</f>
        <v>0</v>
      </c>
      <c r="B3248" s="156">
        <f>'Reported burning'!B3254</f>
        <v>0</v>
      </c>
      <c r="C3248" s="156">
        <f>'Reported burning'!C3254</f>
        <v>0</v>
      </c>
      <c r="D3248" s="156">
        <f>'Reported burning'!D3254</f>
        <v>0</v>
      </c>
      <c r="E3248" s="156">
        <f>'Reported burning'!E3254</f>
        <v>0</v>
      </c>
      <c r="F3248" s="156">
        <f>'Reported burning'!F3254</f>
        <v>0</v>
      </c>
      <c r="G3248" s="156">
        <f>'Reported burning'!G3254</f>
        <v>0</v>
      </c>
      <c r="H3248" s="156">
        <f>'Reported burning'!H3254</f>
        <v>0</v>
      </c>
      <c r="I3248" s="5"/>
    </row>
    <row r="3249" spans="1:9">
      <c r="A3249" s="156">
        <f>'Reported burning'!A3255</f>
        <v>0</v>
      </c>
      <c r="B3249" s="156">
        <f>'Reported burning'!B3255</f>
        <v>0</v>
      </c>
      <c r="C3249" s="156">
        <f>'Reported burning'!C3255</f>
        <v>0</v>
      </c>
      <c r="D3249" s="156">
        <f>'Reported burning'!D3255</f>
        <v>0</v>
      </c>
      <c r="E3249" s="156">
        <f>'Reported burning'!E3255</f>
        <v>0</v>
      </c>
      <c r="F3249" s="156">
        <f>'Reported burning'!F3255</f>
        <v>0</v>
      </c>
      <c r="G3249" s="156">
        <f>'Reported burning'!G3255</f>
        <v>0</v>
      </c>
      <c r="H3249" s="156">
        <f>'Reported burning'!H3255</f>
        <v>0</v>
      </c>
      <c r="I3249" s="5"/>
    </row>
    <row r="3250" spans="1:9">
      <c r="A3250" s="156">
        <f>'Reported burning'!A3256</f>
        <v>0</v>
      </c>
      <c r="B3250" s="156">
        <f>'Reported burning'!B3256</f>
        <v>0</v>
      </c>
      <c r="C3250" s="156">
        <f>'Reported burning'!C3256</f>
        <v>0</v>
      </c>
      <c r="D3250" s="156">
        <f>'Reported burning'!D3256</f>
        <v>0</v>
      </c>
      <c r="E3250" s="156">
        <f>'Reported burning'!E3256</f>
        <v>0</v>
      </c>
      <c r="F3250" s="156">
        <f>'Reported burning'!F3256</f>
        <v>0</v>
      </c>
      <c r="G3250" s="156">
        <f>'Reported burning'!G3256</f>
        <v>0</v>
      </c>
      <c r="H3250" s="156">
        <f>'Reported burning'!H3256</f>
        <v>0</v>
      </c>
      <c r="I3250" s="5"/>
    </row>
    <row r="3251" spans="1:9">
      <c r="A3251" s="156">
        <f>'Reported burning'!A3257</f>
        <v>0</v>
      </c>
      <c r="B3251" s="156">
        <f>'Reported burning'!B3257</f>
        <v>0</v>
      </c>
      <c r="C3251" s="156">
        <f>'Reported burning'!C3257</f>
        <v>0</v>
      </c>
      <c r="D3251" s="156">
        <f>'Reported burning'!D3257</f>
        <v>0</v>
      </c>
      <c r="E3251" s="156">
        <f>'Reported burning'!E3257</f>
        <v>0</v>
      </c>
      <c r="F3251" s="156">
        <f>'Reported burning'!F3257</f>
        <v>0</v>
      </c>
      <c r="G3251" s="156">
        <f>'Reported burning'!G3257</f>
        <v>0</v>
      </c>
      <c r="H3251" s="156">
        <f>'Reported burning'!H3257</f>
        <v>0</v>
      </c>
      <c r="I3251" s="5"/>
    </row>
    <row r="3252" spans="1:9">
      <c r="A3252" s="156">
        <f>'Reported burning'!A3258</f>
        <v>0</v>
      </c>
      <c r="B3252" s="156">
        <f>'Reported burning'!B3258</f>
        <v>0</v>
      </c>
      <c r="C3252" s="156">
        <f>'Reported burning'!C3258</f>
        <v>0</v>
      </c>
      <c r="D3252" s="156">
        <f>'Reported burning'!D3258</f>
        <v>0</v>
      </c>
      <c r="E3252" s="156">
        <f>'Reported burning'!E3258</f>
        <v>0</v>
      </c>
      <c r="F3252" s="156">
        <f>'Reported burning'!F3258</f>
        <v>0</v>
      </c>
      <c r="G3252" s="156">
        <f>'Reported burning'!G3258</f>
        <v>0</v>
      </c>
      <c r="H3252" s="156">
        <f>'Reported burning'!H3258</f>
        <v>0</v>
      </c>
      <c r="I3252" s="5"/>
    </row>
    <row r="3253" spans="1:9">
      <c r="A3253" s="156">
        <f>'Reported burning'!A3259</f>
        <v>0</v>
      </c>
      <c r="B3253" s="156">
        <f>'Reported burning'!B3259</f>
        <v>0</v>
      </c>
      <c r="C3253" s="156">
        <f>'Reported burning'!C3259</f>
        <v>0</v>
      </c>
      <c r="D3253" s="156">
        <f>'Reported burning'!D3259</f>
        <v>0</v>
      </c>
      <c r="E3253" s="156">
        <f>'Reported burning'!E3259</f>
        <v>0</v>
      </c>
      <c r="F3253" s="156">
        <f>'Reported burning'!F3259</f>
        <v>0</v>
      </c>
      <c r="G3253" s="156">
        <f>'Reported burning'!G3259</f>
        <v>0</v>
      </c>
      <c r="H3253" s="156">
        <f>'Reported burning'!H3259</f>
        <v>0</v>
      </c>
      <c r="I3253" s="5"/>
    </row>
    <row r="3254" spans="1:9">
      <c r="A3254" s="156">
        <f>'Reported burning'!A3260</f>
        <v>0</v>
      </c>
      <c r="B3254" s="156">
        <f>'Reported burning'!B3260</f>
        <v>0</v>
      </c>
      <c r="C3254" s="156">
        <f>'Reported burning'!C3260</f>
        <v>0</v>
      </c>
      <c r="D3254" s="156">
        <f>'Reported burning'!D3260</f>
        <v>0</v>
      </c>
      <c r="E3254" s="156">
        <f>'Reported burning'!E3260</f>
        <v>0</v>
      </c>
      <c r="F3254" s="156">
        <f>'Reported burning'!F3260</f>
        <v>0</v>
      </c>
      <c r="G3254" s="156">
        <f>'Reported burning'!G3260</f>
        <v>0</v>
      </c>
      <c r="H3254" s="156">
        <f>'Reported burning'!H3260</f>
        <v>0</v>
      </c>
      <c r="I3254" s="5"/>
    </row>
    <row r="3255" spans="1:9">
      <c r="A3255" s="156">
        <f>'Reported burning'!A3261</f>
        <v>0</v>
      </c>
      <c r="B3255" s="156">
        <f>'Reported burning'!B3261</f>
        <v>0</v>
      </c>
      <c r="C3255" s="156">
        <f>'Reported burning'!C3261</f>
        <v>0</v>
      </c>
      <c r="D3255" s="156">
        <f>'Reported burning'!D3261</f>
        <v>0</v>
      </c>
      <c r="E3255" s="156">
        <f>'Reported burning'!E3261</f>
        <v>0</v>
      </c>
      <c r="F3255" s="156">
        <f>'Reported burning'!F3261</f>
        <v>0</v>
      </c>
      <c r="G3255" s="156">
        <f>'Reported burning'!G3261</f>
        <v>0</v>
      </c>
      <c r="H3255" s="156">
        <f>'Reported burning'!H3261</f>
        <v>0</v>
      </c>
      <c r="I3255" s="5"/>
    </row>
    <row r="3256" spans="1:9">
      <c r="A3256" s="156">
        <f>'Reported burning'!A3262</f>
        <v>0</v>
      </c>
      <c r="B3256" s="156">
        <f>'Reported burning'!B3262</f>
        <v>0</v>
      </c>
      <c r="C3256" s="156">
        <f>'Reported burning'!C3262</f>
        <v>0</v>
      </c>
      <c r="D3256" s="156">
        <f>'Reported burning'!D3262</f>
        <v>0</v>
      </c>
      <c r="E3256" s="156">
        <f>'Reported burning'!E3262</f>
        <v>0</v>
      </c>
      <c r="F3256" s="156">
        <f>'Reported burning'!F3262</f>
        <v>0</v>
      </c>
      <c r="G3256" s="156">
        <f>'Reported burning'!G3262</f>
        <v>0</v>
      </c>
      <c r="H3256" s="156">
        <f>'Reported burning'!H3262</f>
        <v>0</v>
      </c>
      <c r="I3256" s="5"/>
    </row>
    <row r="3257" spans="1:9">
      <c r="A3257" s="156">
        <f>'Reported burning'!A3263</f>
        <v>0</v>
      </c>
      <c r="B3257" s="156">
        <f>'Reported burning'!B3263</f>
        <v>0</v>
      </c>
      <c r="C3257" s="156">
        <f>'Reported burning'!C3263</f>
        <v>0</v>
      </c>
      <c r="D3257" s="156">
        <f>'Reported burning'!D3263</f>
        <v>0</v>
      </c>
      <c r="E3257" s="156">
        <f>'Reported burning'!E3263</f>
        <v>0</v>
      </c>
      <c r="F3257" s="156">
        <f>'Reported burning'!F3263</f>
        <v>0</v>
      </c>
      <c r="G3257" s="156">
        <f>'Reported burning'!G3263</f>
        <v>0</v>
      </c>
      <c r="H3257" s="156">
        <f>'Reported burning'!H3263</f>
        <v>0</v>
      </c>
      <c r="I3257" s="5"/>
    </row>
    <row r="3258" spans="1:9">
      <c r="A3258" s="156">
        <f>'Reported burning'!A3264</f>
        <v>0</v>
      </c>
      <c r="B3258" s="156">
        <f>'Reported burning'!B3264</f>
        <v>0</v>
      </c>
      <c r="C3258" s="156">
        <f>'Reported burning'!C3264</f>
        <v>0</v>
      </c>
      <c r="D3258" s="156">
        <f>'Reported burning'!D3264</f>
        <v>0</v>
      </c>
      <c r="E3258" s="156">
        <f>'Reported burning'!E3264</f>
        <v>0</v>
      </c>
      <c r="F3258" s="156">
        <f>'Reported burning'!F3264</f>
        <v>0</v>
      </c>
      <c r="G3258" s="156">
        <f>'Reported burning'!G3264</f>
        <v>0</v>
      </c>
      <c r="H3258" s="156">
        <f>'Reported burning'!H3264</f>
        <v>0</v>
      </c>
      <c r="I3258" s="5"/>
    </row>
    <row r="3259" spans="1:9">
      <c r="A3259" s="156">
        <f>'Reported burning'!A3265</f>
        <v>0</v>
      </c>
      <c r="B3259" s="156">
        <f>'Reported burning'!B3265</f>
        <v>0</v>
      </c>
      <c r="C3259" s="156">
        <f>'Reported burning'!C3265</f>
        <v>0</v>
      </c>
      <c r="D3259" s="156">
        <f>'Reported burning'!D3265</f>
        <v>0</v>
      </c>
      <c r="E3259" s="156">
        <f>'Reported burning'!E3265</f>
        <v>0</v>
      </c>
      <c r="F3259" s="156">
        <f>'Reported burning'!F3265</f>
        <v>0</v>
      </c>
      <c r="G3259" s="156">
        <f>'Reported burning'!G3265</f>
        <v>0</v>
      </c>
      <c r="H3259" s="156">
        <f>'Reported burning'!H3265</f>
        <v>0</v>
      </c>
      <c r="I3259" s="5"/>
    </row>
    <row r="3260" spans="1:9">
      <c r="A3260" s="156">
        <f>'Reported burning'!A3266</f>
        <v>0</v>
      </c>
      <c r="B3260" s="156">
        <f>'Reported burning'!B3266</f>
        <v>0</v>
      </c>
      <c r="C3260" s="156">
        <f>'Reported burning'!C3266</f>
        <v>0</v>
      </c>
      <c r="D3260" s="156">
        <f>'Reported burning'!D3266</f>
        <v>0</v>
      </c>
      <c r="E3260" s="156">
        <f>'Reported burning'!E3266</f>
        <v>0</v>
      </c>
      <c r="F3260" s="156">
        <f>'Reported burning'!F3266</f>
        <v>0</v>
      </c>
      <c r="G3260" s="156">
        <f>'Reported burning'!G3266</f>
        <v>0</v>
      </c>
      <c r="H3260" s="156">
        <f>'Reported burning'!H3266</f>
        <v>0</v>
      </c>
      <c r="I3260" s="5"/>
    </row>
    <row r="3261" spans="1:9">
      <c r="A3261" s="156">
        <f>'Reported burning'!A3267</f>
        <v>0</v>
      </c>
      <c r="B3261" s="156">
        <f>'Reported burning'!B3267</f>
        <v>0</v>
      </c>
      <c r="C3261" s="156">
        <f>'Reported burning'!C3267</f>
        <v>0</v>
      </c>
      <c r="D3261" s="156">
        <f>'Reported burning'!D3267</f>
        <v>0</v>
      </c>
      <c r="E3261" s="156">
        <f>'Reported burning'!E3267</f>
        <v>0</v>
      </c>
      <c r="F3261" s="156">
        <f>'Reported burning'!F3267</f>
        <v>0</v>
      </c>
      <c r="G3261" s="156">
        <f>'Reported burning'!G3267</f>
        <v>0</v>
      </c>
      <c r="H3261" s="156">
        <f>'Reported burning'!H3267</f>
        <v>0</v>
      </c>
      <c r="I3261" s="5"/>
    </row>
    <row r="3262" spans="1:9">
      <c r="A3262" s="156">
        <f>'Reported burning'!A3268</f>
        <v>0</v>
      </c>
      <c r="B3262" s="156">
        <f>'Reported burning'!B3268</f>
        <v>0</v>
      </c>
      <c r="C3262" s="156">
        <f>'Reported burning'!C3268</f>
        <v>0</v>
      </c>
      <c r="D3262" s="156">
        <f>'Reported burning'!D3268</f>
        <v>0</v>
      </c>
      <c r="E3262" s="156">
        <f>'Reported burning'!E3268</f>
        <v>0</v>
      </c>
      <c r="F3262" s="156">
        <f>'Reported burning'!F3268</f>
        <v>0</v>
      </c>
      <c r="G3262" s="156">
        <f>'Reported burning'!G3268</f>
        <v>0</v>
      </c>
      <c r="H3262" s="156">
        <f>'Reported burning'!H3268</f>
        <v>0</v>
      </c>
      <c r="I3262" s="5"/>
    </row>
    <row r="3263" spans="1:9">
      <c r="A3263" s="156">
        <f>'Reported burning'!A3269</f>
        <v>0</v>
      </c>
      <c r="B3263" s="156">
        <f>'Reported burning'!B3269</f>
        <v>0</v>
      </c>
      <c r="C3263" s="156">
        <f>'Reported burning'!C3269</f>
        <v>0</v>
      </c>
      <c r="D3263" s="156">
        <f>'Reported burning'!D3269</f>
        <v>0</v>
      </c>
      <c r="E3263" s="156">
        <f>'Reported burning'!E3269</f>
        <v>0</v>
      </c>
      <c r="F3263" s="156">
        <f>'Reported burning'!F3269</f>
        <v>0</v>
      </c>
      <c r="G3263" s="156">
        <f>'Reported burning'!G3269</f>
        <v>0</v>
      </c>
      <c r="H3263" s="156">
        <f>'Reported burning'!H3269</f>
        <v>0</v>
      </c>
      <c r="I3263" s="5"/>
    </row>
    <row r="3264" spans="1:9">
      <c r="A3264" s="156">
        <f>'Reported burning'!A3270</f>
        <v>0</v>
      </c>
      <c r="B3264" s="156">
        <f>'Reported burning'!B3270</f>
        <v>0</v>
      </c>
      <c r="C3264" s="156">
        <f>'Reported burning'!C3270</f>
        <v>0</v>
      </c>
      <c r="D3264" s="156">
        <f>'Reported burning'!D3270</f>
        <v>0</v>
      </c>
      <c r="E3264" s="156">
        <f>'Reported burning'!E3270</f>
        <v>0</v>
      </c>
      <c r="F3264" s="156">
        <f>'Reported burning'!F3270</f>
        <v>0</v>
      </c>
      <c r="G3264" s="156">
        <f>'Reported burning'!G3270</f>
        <v>0</v>
      </c>
      <c r="H3264" s="156">
        <f>'Reported burning'!H3270</f>
        <v>0</v>
      </c>
      <c r="I3264" s="5"/>
    </row>
    <row r="3265" spans="1:9">
      <c r="A3265" s="156">
        <f>'Reported burning'!A3271</f>
        <v>0</v>
      </c>
      <c r="B3265" s="156">
        <f>'Reported burning'!B3271</f>
        <v>0</v>
      </c>
      <c r="C3265" s="156">
        <f>'Reported burning'!C3271</f>
        <v>0</v>
      </c>
      <c r="D3265" s="156">
        <f>'Reported burning'!D3271</f>
        <v>0</v>
      </c>
      <c r="E3265" s="156">
        <f>'Reported burning'!E3271</f>
        <v>0</v>
      </c>
      <c r="F3265" s="156">
        <f>'Reported burning'!F3271</f>
        <v>0</v>
      </c>
      <c r="G3265" s="156">
        <f>'Reported burning'!G3271</f>
        <v>0</v>
      </c>
      <c r="H3265" s="156">
        <f>'Reported burning'!H3271</f>
        <v>0</v>
      </c>
      <c r="I3265" s="5"/>
    </row>
    <row r="3266" spans="1:9">
      <c r="A3266" s="156">
        <f>'Reported burning'!A3272</f>
        <v>0</v>
      </c>
      <c r="B3266" s="156">
        <f>'Reported burning'!B3272</f>
        <v>0</v>
      </c>
      <c r="C3266" s="156">
        <f>'Reported burning'!C3272</f>
        <v>0</v>
      </c>
      <c r="D3266" s="156">
        <f>'Reported burning'!D3272</f>
        <v>0</v>
      </c>
      <c r="E3266" s="156">
        <f>'Reported burning'!E3272</f>
        <v>0</v>
      </c>
      <c r="F3266" s="156">
        <f>'Reported burning'!F3272</f>
        <v>0</v>
      </c>
      <c r="G3266" s="156">
        <f>'Reported burning'!G3272</f>
        <v>0</v>
      </c>
      <c r="H3266" s="156">
        <f>'Reported burning'!H3272</f>
        <v>0</v>
      </c>
      <c r="I3266" s="5"/>
    </row>
    <row r="3267" spans="1:9">
      <c r="A3267" s="156">
        <f>'Reported burning'!A3273</f>
        <v>0</v>
      </c>
      <c r="B3267" s="156">
        <f>'Reported burning'!B3273</f>
        <v>0</v>
      </c>
      <c r="C3267" s="156">
        <f>'Reported burning'!C3273</f>
        <v>0</v>
      </c>
      <c r="D3267" s="156">
        <f>'Reported burning'!D3273</f>
        <v>0</v>
      </c>
      <c r="E3267" s="156">
        <f>'Reported burning'!E3273</f>
        <v>0</v>
      </c>
      <c r="F3267" s="156">
        <f>'Reported burning'!F3273</f>
        <v>0</v>
      </c>
      <c r="G3267" s="156">
        <f>'Reported burning'!G3273</f>
        <v>0</v>
      </c>
      <c r="H3267" s="156">
        <f>'Reported burning'!H3273</f>
        <v>0</v>
      </c>
      <c r="I3267" s="5"/>
    </row>
    <row r="3268" spans="1:9">
      <c r="A3268" s="156">
        <f>'Reported burning'!A3274</f>
        <v>0</v>
      </c>
      <c r="B3268" s="156">
        <f>'Reported burning'!B3274</f>
        <v>0</v>
      </c>
      <c r="C3268" s="156">
        <f>'Reported burning'!C3274</f>
        <v>0</v>
      </c>
      <c r="D3268" s="156">
        <f>'Reported burning'!D3274</f>
        <v>0</v>
      </c>
      <c r="E3268" s="156">
        <f>'Reported burning'!E3274</f>
        <v>0</v>
      </c>
      <c r="F3268" s="156">
        <f>'Reported burning'!F3274</f>
        <v>0</v>
      </c>
      <c r="G3268" s="156">
        <f>'Reported burning'!G3274</f>
        <v>0</v>
      </c>
      <c r="H3268" s="156">
        <f>'Reported burning'!H3274</f>
        <v>0</v>
      </c>
      <c r="I3268" s="5"/>
    </row>
    <row r="3269" spans="1:9">
      <c r="A3269" s="156">
        <f>'Reported burning'!A3275</f>
        <v>0</v>
      </c>
      <c r="B3269" s="156">
        <f>'Reported burning'!B3275</f>
        <v>0</v>
      </c>
      <c r="C3269" s="156">
        <f>'Reported burning'!C3275</f>
        <v>0</v>
      </c>
      <c r="D3269" s="156">
        <f>'Reported burning'!D3275</f>
        <v>0</v>
      </c>
      <c r="E3269" s="156">
        <f>'Reported burning'!E3275</f>
        <v>0</v>
      </c>
      <c r="F3269" s="156">
        <f>'Reported burning'!F3275</f>
        <v>0</v>
      </c>
      <c r="G3269" s="156">
        <f>'Reported burning'!G3275</f>
        <v>0</v>
      </c>
      <c r="H3269" s="156">
        <f>'Reported burning'!H3275</f>
        <v>0</v>
      </c>
      <c r="I3269" s="5"/>
    </row>
    <row r="3270" spans="1:9">
      <c r="A3270" s="156">
        <f>'Reported burning'!A3276</f>
        <v>0</v>
      </c>
      <c r="B3270" s="156">
        <f>'Reported burning'!B3276</f>
        <v>0</v>
      </c>
      <c r="C3270" s="156">
        <f>'Reported burning'!C3276</f>
        <v>0</v>
      </c>
      <c r="D3270" s="156">
        <f>'Reported burning'!D3276</f>
        <v>0</v>
      </c>
      <c r="E3270" s="156">
        <f>'Reported burning'!E3276</f>
        <v>0</v>
      </c>
      <c r="F3270" s="156">
        <f>'Reported burning'!F3276</f>
        <v>0</v>
      </c>
      <c r="G3270" s="156">
        <f>'Reported burning'!G3276</f>
        <v>0</v>
      </c>
      <c r="H3270" s="156">
        <f>'Reported burning'!H3276</f>
        <v>0</v>
      </c>
      <c r="I3270" s="5"/>
    </row>
    <row r="3271" spans="1:9">
      <c r="A3271" s="156">
        <f>'Reported burning'!A3277</f>
        <v>0</v>
      </c>
      <c r="B3271" s="156">
        <f>'Reported burning'!B3277</f>
        <v>0</v>
      </c>
      <c r="C3271" s="156">
        <f>'Reported burning'!C3277</f>
        <v>0</v>
      </c>
      <c r="D3271" s="156">
        <f>'Reported burning'!D3277</f>
        <v>0</v>
      </c>
      <c r="E3271" s="156">
        <f>'Reported burning'!E3277</f>
        <v>0</v>
      </c>
      <c r="F3271" s="156">
        <f>'Reported burning'!F3277</f>
        <v>0</v>
      </c>
      <c r="G3271" s="156">
        <f>'Reported burning'!G3277</f>
        <v>0</v>
      </c>
      <c r="H3271" s="156">
        <f>'Reported burning'!H3277</f>
        <v>0</v>
      </c>
      <c r="I3271" s="5"/>
    </row>
    <row r="3272" spans="1:9">
      <c r="A3272" s="156">
        <f>'Reported burning'!A3278</f>
        <v>0</v>
      </c>
      <c r="B3272" s="156">
        <f>'Reported burning'!B3278</f>
        <v>0</v>
      </c>
      <c r="C3272" s="156">
        <f>'Reported burning'!C3278</f>
        <v>0</v>
      </c>
      <c r="D3272" s="156">
        <f>'Reported burning'!D3278</f>
        <v>0</v>
      </c>
      <c r="E3272" s="156">
        <f>'Reported burning'!E3278</f>
        <v>0</v>
      </c>
      <c r="F3272" s="156">
        <f>'Reported burning'!F3278</f>
        <v>0</v>
      </c>
      <c r="G3272" s="156">
        <f>'Reported burning'!G3278</f>
        <v>0</v>
      </c>
      <c r="H3272" s="156">
        <f>'Reported burning'!H3278</f>
        <v>0</v>
      </c>
      <c r="I3272" s="5"/>
    </row>
    <row r="3273" spans="1:9">
      <c r="A3273" s="156">
        <f>'Reported burning'!A3279</f>
        <v>0</v>
      </c>
      <c r="B3273" s="156">
        <f>'Reported burning'!B3279</f>
        <v>0</v>
      </c>
      <c r="C3273" s="156">
        <f>'Reported burning'!C3279</f>
        <v>0</v>
      </c>
      <c r="D3273" s="156">
        <f>'Reported burning'!D3279</f>
        <v>0</v>
      </c>
      <c r="E3273" s="156">
        <f>'Reported burning'!E3279</f>
        <v>0</v>
      </c>
      <c r="F3273" s="156">
        <f>'Reported burning'!F3279</f>
        <v>0</v>
      </c>
      <c r="G3273" s="156">
        <f>'Reported burning'!G3279</f>
        <v>0</v>
      </c>
      <c r="H3273" s="156">
        <f>'Reported burning'!H3279</f>
        <v>0</v>
      </c>
      <c r="I3273" s="5"/>
    </row>
    <row r="3274" spans="1:9">
      <c r="A3274" s="156">
        <f>'Reported burning'!A3280</f>
        <v>0</v>
      </c>
      <c r="B3274" s="156">
        <f>'Reported burning'!B3280</f>
        <v>0</v>
      </c>
      <c r="C3274" s="156">
        <f>'Reported burning'!C3280</f>
        <v>0</v>
      </c>
      <c r="D3274" s="156">
        <f>'Reported burning'!D3280</f>
        <v>0</v>
      </c>
      <c r="E3274" s="156">
        <f>'Reported burning'!E3280</f>
        <v>0</v>
      </c>
      <c r="F3274" s="156">
        <f>'Reported burning'!F3280</f>
        <v>0</v>
      </c>
      <c r="G3274" s="156">
        <f>'Reported burning'!G3280</f>
        <v>0</v>
      </c>
      <c r="H3274" s="156">
        <f>'Reported burning'!H3280</f>
        <v>0</v>
      </c>
      <c r="I3274" s="5"/>
    </row>
    <row r="3275" spans="1:9">
      <c r="A3275" s="156">
        <f>'Reported burning'!A3281</f>
        <v>0</v>
      </c>
      <c r="B3275" s="156">
        <f>'Reported burning'!B3281</f>
        <v>0</v>
      </c>
      <c r="C3275" s="156">
        <f>'Reported burning'!C3281</f>
        <v>0</v>
      </c>
      <c r="D3275" s="156">
        <f>'Reported burning'!D3281</f>
        <v>0</v>
      </c>
      <c r="E3275" s="156">
        <f>'Reported burning'!E3281</f>
        <v>0</v>
      </c>
      <c r="F3275" s="156">
        <f>'Reported burning'!F3281</f>
        <v>0</v>
      </c>
      <c r="G3275" s="156">
        <f>'Reported burning'!G3281</f>
        <v>0</v>
      </c>
      <c r="H3275" s="156">
        <f>'Reported burning'!H3281</f>
        <v>0</v>
      </c>
      <c r="I3275" s="5"/>
    </row>
    <row r="3276" spans="1:9">
      <c r="A3276" s="156">
        <f>'Reported burning'!A3282</f>
        <v>0</v>
      </c>
      <c r="B3276" s="156">
        <f>'Reported burning'!B3282</f>
        <v>0</v>
      </c>
      <c r="C3276" s="156">
        <f>'Reported burning'!C3282</f>
        <v>0</v>
      </c>
      <c r="D3276" s="156">
        <f>'Reported burning'!D3282</f>
        <v>0</v>
      </c>
      <c r="E3276" s="156">
        <f>'Reported burning'!E3282</f>
        <v>0</v>
      </c>
      <c r="F3276" s="156">
        <f>'Reported burning'!F3282</f>
        <v>0</v>
      </c>
      <c r="G3276" s="156">
        <f>'Reported burning'!G3282</f>
        <v>0</v>
      </c>
      <c r="H3276" s="156">
        <f>'Reported burning'!H3282</f>
        <v>0</v>
      </c>
      <c r="I3276" s="5"/>
    </row>
    <row r="3277" spans="1:9">
      <c r="A3277" s="156">
        <f>'Reported burning'!A3283</f>
        <v>0</v>
      </c>
      <c r="B3277" s="156">
        <f>'Reported burning'!B3283</f>
        <v>0</v>
      </c>
      <c r="C3277" s="156">
        <f>'Reported burning'!C3283</f>
        <v>0</v>
      </c>
      <c r="D3277" s="156">
        <f>'Reported burning'!D3283</f>
        <v>0</v>
      </c>
      <c r="E3277" s="156">
        <f>'Reported burning'!E3283</f>
        <v>0</v>
      </c>
      <c r="F3277" s="156">
        <f>'Reported burning'!F3283</f>
        <v>0</v>
      </c>
      <c r="G3277" s="156">
        <f>'Reported burning'!G3283</f>
        <v>0</v>
      </c>
      <c r="H3277" s="156">
        <f>'Reported burning'!H3283</f>
        <v>0</v>
      </c>
      <c r="I3277" s="5"/>
    </row>
    <row r="3278" spans="1:9">
      <c r="A3278" s="156">
        <f>'Reported burning'!A3284</f>
        <v>0</v>
      </c>
      <c r="B3278" s="156">
        <f>'Reported burning'!B3284</f>
        <v>0</v>
      </c>
      <c r="C3278" s="156">
        <f>'Reported burning'!C3284</f>
        <v>0</v>
      </c>
      <c r="D3278" s="156">
        <f>'Reported burning'!D3284</f>
        <v>0</v>
      </c>
      <c r="E3278" s="156">
        <f>'Reported burning'!E3284</f>
        <v>0</v>
      </c>
      <c r="F3278" s="156">
        <f>'Reported burning'!F3284</f>
        <v>0</v>
      </c>
      <c r="G3278" s="156">
        <f>'Reported burning'!G3284</f>
        <v>0</v>
      </c>
      <c r="H3278" s="156">
        <f>'Reported burning'!H3284</f>
        <v>0</v>
      </c>
      <c r="I3278" s="5"/>
    </row>
    <row r="3279" spans="1:9">
      <c r="A3279" s="156">
        <f>'Reported burning'!A3285</f>
        <v>0</v>
      </c>
      <c r="B3279" s="156">
        <f>'Reported burning'!B3285</f>
        <v>0</v>
      </c>
      <c r="C3279" s="156">
        <f>'Reported burning'!C3285</f>
        <v>0</v>
      </c>
      <c r="D3279" s="156">
        <f>'Reported burning'!D3285</f>
        <v>0</v>
      </c>
      <c r="E3279" s="156">
        <f>'Reported burning'!E3285</f>
        <v>0</v>
      </c>
      <c r="F3279" s="156">
        <f>'Reported burning'!F3285</f>
        <v>0</v>
      </c>
      <c r="G3279" s="156">
        <f>'Reported burning'!G3285</f>
        <v>0</v>
      </c>
      <c r="H3279" s="156">
        <f>'Reported burning'!H3285</f>
        <v>0</v>
      </c>
      <c r="I3279" s="5"/>
    </row>
    <row r="3280" spans="1:9">
      <c r="A3280" s="156">
        <f>'Reported burning'!A3286</f>
        <v>0</v>
      </c>
      <c r="B3280" s="156">
        <f>'Reported burning'!B3286</f>
        <v>0</v>
      </c>
      <c r="C3280" s="156">
        <f>'Reported burning'!C3286</f>
        <v>0</v>
      </c>
      <c r="D3280" s="156">
        <f>'Reported burning'!D3286</f>
        <v>0</v>
      </c>
      <c r="E3280" s="156">
        <f>'Reported burning'!E3286</f>
        <v>0</v>
      </c>
      <c r="F3280" s="156">
        <f>'Reported burning'!F3286</f>
        <v>0</v>
      </c>
      <c r="G3280" s="156">
        <f>'Reported burning'!G3286</f>
        <v>0</v>
      </c>
      <c r="H3280" s="156">
        <f>'Reported burning'!H3286</f>
        <v>0</v>
      </c>
      <c r="I3280" s="5"/>
    </row>
    <row r="3281" spans="1:9">
      <c r="A3281" s="156">
        <f>'Reported burning'!A3287</f>
        <v>0</v>
      </c>
      <c r="B3281" s="156">
        <f>'Reported burning'!B3287</f>
        <v>0</v>
      </c>
      <c r="C3281" s="156">
        <f>'Reported burning'!C3287</f>
        <v>0</v>
      </c>
      <c r="D3281" s="156">
        <f>'Reported burning'!D3287</f>
        <v>0</v>
      </c>
      <c r="E3281" s="156">
        <f>'Reported burning'!E3287</f>
        <v>0</v>
      </c>
      <c r="F3281" s="156">
        <f>'Reported burning'!F3287</f>
        <v>0</v>
      </c>
      <c r="G3281" s="156">
        <f>'Reported burning'!G3287</f>
        <v>0</v>
      </c>
      <c r="H3281" s="156">
        <f>'Reported burning'!H3287</f>
        <v>0</v>
      </c>
      <c r="I3281" s="5"/>
    </row>
    <row r="3282" spans="1:9">
      <c r="A3282" s="156">
        <f>'Reported burning'!A3288</f>
        <v>0</v>
      </c>
      <c r="B3282" s="156">
        <f>'Reported burning'!B3288</f>
        <v>0</v>
      </c>
      <c r="C3282" s="156">
        <f>'Reported burning'!C3288</f>
        <v>0</v>
      </c>
      <c r="D3282" s="156">
        <f>'Reported burning'!D3288</f>
        <v>0</v>
      </c>
      <c r="E3282" s="156">
        <f>'Reported burning'!E3288</f>
        <v>0</v>
      </c>
      <c r="F3282" s="156">
        <f>'Reported burning'!F3288</f>
        <v>0</v>
      </c>
      <c r="G3282" s="156">
        <f>'Reported burning'!G3288</f>
        <v>0</v>
      </c>
      <c r="H3282" s="156">
        <f>'Reported burning'!H3288</f>
        <v>0</v>
      </c>
      <c r="I3282" s="5"/>
    </row>
    <row r="3283" spans="1:9">
      <c r="A3283" s="156">
        <f>'Reported burning'!A3289</f>
        <v>0</v>
      </c>
      <c r="B3283" s="156">
        <f>'Reported burning'!B3289</f>
        <v>0</v>
      </c>
      <c r="C3283" s="156">
        <f>'Reported burning'!C3289</f>
        <v>0</v>
      </c>
      <c r="D3283" s="156">
        <f>'Reported burning'!D3289</f>
        <v>0</v>
      </c>
      <c r="E3283" s="156">
        <f>'Reported burning'!E3289</f>
        <v>0</v>
      </c>
      <c r="F3283" s="156">
        <f>'Reported burning'!F3289</f>
        <v>0</v>
      </c>
      <c r="G3283" s="156">
        <f>'Reported burning'!G3289</f>
        <v>0</v>
      </c>
      <c r="H3283" s="156">
        <f>'Reported burning'!H3289</f>
        <v>0</v>
      </c>
      <c r="I3283" s="5"/>
    </row>
    <row r="3284" spans="1:9">
      <c r="A3284" s="156">
        <f>'Reported burning'!A3290</f>
        <v>0</v>
      </c>
      <c r="B3284" s="156">
        <f>'Reported burning'!B3290</f>
        <v>0</v>
      </c>
      <c r="C3284" s="156">
        <f>'Reported burning'!C3290</f>
        <v>0</v>
      </c>
      <c r="D3284" s="156">
        <f>'Reported burning'!D3290</f>
        <v>0</v>
      </c>
      <c r="E3284" s="156">
        <f>'Reported burning'!E3290</f>
        <v>0</v>
      </c>
      <c r="F3284" s="156">
        <f>'Reported burning'!F3290</f>
        <v>0</v>
      </c>
      <c r="G3284" s="156">
        <f>'Reported burning'!G3290</f>
        <v>0</v>
      </c>
      <c r="H3284" s="156">
        <f>'Reported burning'!H3290</f>
        <v>0</v>
      </c>
      <c r="I3284" s="5"/>
    </row>
    <row r="3285" spans="1:9">
      <c r="A3285" s="156">
        <f>'Reported burning'!A3291</f>
        <v>0</v>
      </c>
      <c r="B3285" s="156">
        <f>'Reported burning'!B3291</f>
        <v>0</v>
      </c>
      <c r="C3285" s="156">
        <f>'Reported burning'!C3291</f>
        <v>0</v>
      </c>
      <c r="D3285" s="156">
        <f>'Reported burning'!D3291</f>
        <v>0</v>
      </c>
      <c r="E3285" s="156">
        <f>'Reported burning'!E3291</f>
        <v>0</v>
      </c>
      <c r="F3285" s="156">
        <f>'Reported burning'!F3291</f>
        <v>0</v>
      </c>
      <c r="G3285" s="156">
        <f>'Reported burning'!G3291</f>
        <v>0</v>
      </c>
      <c r="H3285" s="156">
        <f>'Reported burning'!H3291</f>
        <v>0</v>
      </c>
      <c r="I3285" s="5"/>
    </row>
    <row r="3286" spans="1:9">
      <c r="A3286" s="156">
        <f>'Reported burning'!A3292</f>
        <v>0</v>
      </c>
      <c r="B3286" s="156">
        <f>'Reported burning'!B3292</f>
        <v>0</v>
      </c>
      <c r="C3286" s="156">
        <f>'Reported burning'!C3292</f>
        <v>0</v>
      </c>
      <c r="D3286" s="156">
        <f>'Reported burning'!D3292</f>
        <v>0</v>
      </c>
      <c r="E3286" s="156">
        <f>'Reported burning'!E3292</f>
        <v>0</v>
      </c>
      <c r="F3286" s="156">
        <f>'Reported burning'!F3292</f>
        <v>0</v>
      </c>
      <c r="G3286" s="156">
        <f>'Reported burning'!G3292</f>
        <v>0</v>
      </c>
      <c r="H3286" s="156">
        <f>'Reported burning'!H3292</f>
        <v>0</v>
      </c>
      <c r="I3286" s="5"/>
    </row>
    <row r="3287" spans="1:9">
      <c r="A3287" s="156">
        <f>'Reported burning'!A3293</f>
        <v>0</v>
      </c>
      <c r="B3287" s="156">
        <f>'Reported burning'!B3293</f>
        <v>0</v>
      </c>
      <c r="C3287" s="156">
        <f>'Reported burning'!C3293</f>
        <v>0</v>
      </c>
      <c r="D3287" s="156">
        <f>'Reported burning'!D3293</f>
        <v>0</v>
      </c>
      <c r="E3287" s="156">
        <f>'Reported burning'!E3293</f>
        <v>0</v>
      </c>
      <c r="F3287" s="156">
        <f>'Reported burning'!F3293</f>
        <v>0</v>
      </c>
      <c r="G3287" s="156">
        <f>'Reported burning'!G3293</f>
        <v>0</v>
      </c>
      <c r="H3287" s="156">
        <f>'Reported burning'!H3293</f>
        <v>0</v>
      </c>
      <c r="I3287" s="5"/>
    </row>
    <row r="3288" spans="1:9">
      <c r="A3288" s="156">
        <f>'Reported burning'!A3294</f>
        <v>0</v>
      </c>
      <c r="B3288" s="156">
        <f>'Reported burning'!B3294</f>
        <v>0</v>
      </c>
      <c r="C3288" s="156">
        <f>'Reported burning'!C3294</f>
        <v>0</v>
      </c>
      <c r="D3288" s="156">
        <f>'Reported burning'!D3294</f>
        <v>0</v>
      </c>
      <c r="E3288" s="156">
        <f>'Reported burning'!E3294</f>
        <v>0</v>
      </c>
      <c r="F3288" s="156">
        <f>'Reported burning'!F3294</f>
        <v>0</v>
      </c>
      <c r="G3288" s="156">
        <f>'Reported burning'!G3294</f>
        <v>0</v>
      </c>
      <c r="H3288" s="156">
        <f>'Reported burning'!H3294</f>
        <v>0</v>
      </c>
      <c r="I3288" s="5"/>
    </row>
    <row r="3289" spans="1:9">
      <c r="A3289" s="156">
        <f>'Reported burning'!A3295</f>
        <v>0</v>
      </c>
      <c r="B3289" s="156">
        <f>'Reported burning'!B3295</f>
        <v>0</v>
      </c>
      <c r="C3289" s="156">
        <f>'Reported burning'!C3295</f>
        <v>0</v>
      </c>
      <c r="D3289" s="156">
        <f>'Reported burning'!D3295</f>
        <v>0</v>
      </c>
      <c r="E3289" s="156">
        <f>'Reported burning'!E3295</f>
        <v>0</v>
      </c>
      <c r="F3289" s="156">
        <f>'Reported burning'!F3295</f>
        <v>0</v>
      </c>
      <c r="G3289" s="156">
        <f>'Reported burning'!G3295</f>
        <v>0</v>
      </c>
      <c r="H3289" s="156">
        <f>'Reported burning'!H3295</f>
        <v>0</v>
      </c>
      <c r="I3289" s="5"/>
    </row>
    <row r="3290" spans="1:9">
      <c r="A3290" s="156">
        <f>'Reported burning'!A3296</f>
        <v>0</v>
      </c>
      <c r="B3290" s="156">
        <f>'Reported burning'!B3296</f>
        <v>0</v>
      </c>
      <c r="C3290" s="156">
        <f>'Reported burning'!C3296</f>
        <v>0</v>
      </c>
      <c r="D3290" s="156">
        <f>'Reported burning'!D3296</f>
        <v>0</v>
      </c>
      <c r="E3290" s="156">
        <f>'Reported burning'!E3296</f>
        <v>0</v>
      </c>
      <c r="F3290" s="156">
        <f>'Reported burning'!F3296</f>
        <v>0</v>
      </c>
      <c r="G3290" s="156">
        <f>'Reported burning'!G3296</f>
        <v>0</v>
      </c>
      <c r="H3290" s="156">
        <f>'Reported burning'!H3296</f>
        <v>0</v>
      </c>
      <c r="I3290" s="5"/>
    </row>
    <row r="3291" spans="1:9">
      <c r="A3291" s="156">
        <f>'Reported burning'!A3297</f>
        <v>0</v>
      </c>
      <c r="B3291" s="156">
        <f>'Reported burning'!B3297</f>
        <v>0</v>
      </c>
      <c r="C3291" s="156">
        <f>'Reported burning'!C3297</f>
        <v>0</v>
      </c>
      <c r="D3291" s="156">
        <f>'Reported burning'!D3297</f>
        <v>0</v>
      </c>
      <c r="E3291" s="156">
        <f>'Reported burning'!E3297</f>
        <v>0</v>
      </c>
      <c r="F3291" s="156">
        <f>'Reported burning'!F3297</f>
        <v>0</v>
      </c>
      <c r="G3291" s="156">
        <f>'Reported burning'!G3297</f>
        <v>0</v>
      </c>
      <c r="H3291" s="156">
        <f>'Reported burning'!H3297</f>
        <v>0</v>
      </c>
      <c r="I3291" s="5"/>
    </row>
    <row r="3292" spans="1:9">
      <c r="A3292" s="156">
        <f>'Reported burning'!A3298</f>
        <v>0</v>
      </c>
      <c r="B3292" s="156">
        <f>'Reported burning'!B3298</f>
        <v>0</v>
      </c>
      <c r="C3292" s="156">
        <f>'Reported burning'!C3298</f>
        <v>0</v>
      </c>
      <c r="D3292" s="156">
        <f>'Reported burning'!D3298</f>
        <v>0</v>
      </c>
      <c r="E3292" s="156">
        <f>'Reported burning'!E3298</f>
        <v>0</v>
      </c>
      <c r="F3292" s="156">
        <f>'Reported burning'!F3298</f>
        <v>0</v>
      </c>
      <c r="G3292" s="156">
        <f>'Reported burning'!G3298</f>
        <v>0</v>
      </c>
      <c r="H3292" s="156">
        <f>'Reported burning'!H3298</f>
        <v>0</v>
      </c>
      <c r="I3292" s="5"/>
    </row>
    <row r="3293" spans="1:9">
      <c r="A3293" s="156">
        <f>'Reported burning'!A3299</f>
        <v>0</v>
      </c>
      <c r="B3293" s="156">
        <f>'Reported burning'!B3299</f>
        <v>0</v>
      </c>
      <c r="C3293" s="156">
        <f>'Reported burning'!C3299</f>
        <v>0</v>
      </c>
      <c r="D3293" s="156">
        <f>'Reported burning'!D3299</f>
        <v>0</v>
      </c>
      <c r="E3293" s="156">
        <f>'Reported burning'!E3299</f>
        <v>0</v>
      </c>
      <c r="F3293" s="156">
        <f>'Reported burning'!F3299</f>
        <v>0</v>
      </c>
      <c r="G3293" s="156">
        <f>'Reported burning'!G3299</f>
        <v>0</v>
      </c>
      <c r="H3293" s="156">
        <f>'Reported burning'!H3299</f>
        <v>0</v>
      </c>
      <c r="I3293" s="5"/>
    </row>
    <row r="3294" spans="1:9">
      <c r="A3294" s="156">
        <f>'Reported burning'!A3300</f>
        <v>0</v>
      </c>
      <c r="B3294" s="156">
        <f>'Reported burning'!B3300</f>
        <v>0</v>
      </c>
      <c r="C3294" s="156">
        <f>'Reported burning'!C3300</f>
        <v>0</v>
      </c>
      <c r="D3294" s="156">
        <f>'Reported burning'!D3300</f>
        <v>0</v>
      </c>
      <c r="E3294" s="156">
        <f>'Reported burning'!E3300</f>
        <v>0</v>
      </c>
      <c r="F3294" s="156">
        <f>'Reported burning'!F3300</f>
        <v>0</v>
      </c>
      <c r="G3294" s="156">
        <f>'Reported burning'!G3300</f>
        <v>0</v>
      </c>
      <c r="H3294" s="156">
        <f>'Reported burning'!H3300</f>
        <v>0</v>
      </c>
      <c r="I3294" s="5"/>
    </row>
    <row r="3295" spans="1:9">
      <c r="A3295" s="156">
        <f>'Reported burning'!A3301</f>
        <v>0</v>
      </c>
      <c r="B3295" s="156">
        <f>'Reported burning'!B3301</f>
        <v>0</v>
      </c>
      <c r="C3295" s="156">
        <f>'Reported burning'!C3301</f>
        <v>0</v>
      </c>
      <c r="D3295" s="156">
        <f>'Reported burning'!D3301</f>
        <v>0</v>
      </c>
      <c r="E3295" s="156">
        <f>'Reported burning'!E3301</f>
        <v>0</v>
      </c>
      <c r="F3295" s="156">
        <f>'Reported burning'!F3301</f>
        <v>0</v>
      </c>
      <c r="G3295" s="156">
        <f>'Reported burning'!G3301</f>
        <v>0</v>
      </c>
      <c r="H3295" s="156">
        <f>'Reported burning'!H3301</f>
        <v>0</v>
      </c>
      <c r="I3295" s="5"/>
    </row>
    <row r="3296" spans="1:9">
      <c r="A3296" s="156">
        <f>'Reported burning'!A3302</f>
        <v>0</v>
      </c>
      <c r="B3296" s="156">
        <f>'Reported burning'!B3302</f>
        <v>0</v>
      </c>
      <c r="C3296" s="156">
        <f>'Reported burning'!C3302</f>
        <v>0</v>
      </c>
      <c r="D3296" s="156">
        <f>'Reported burning'!D3302</f>
        <v>0</v>
      </c>
      <c r="E3296" s="156">
        <f>'Reported burning'!E3302</f>
        <v>0</v>
      </c>
      <c r="F3296" s="156">
        <f>'Reported burning'!F3302</f>
        <v>0</v>
      </c>
      <c r="G3296" s="156">
        <f>'Reported burning'!G3302</f>
        <v>0</v>
      </c>
      <c r="H3296" s="156">
        <f>'Reported burning'!H3302</f>
        <v>0</v>
      </c>
      <c r="I3296" s="5"/>
    </row>
    <row r="3297" spans="1:9">
      <c r="A3297" s="156">
        <f>'Reported burning'!A3303</f>
        <v>0</v>
      </c>
      <c r="B3297" s="156">
        <f>'Reported burning'!B3303</f>
        <v>0</v>
      </c>
      <c r="C3297" s="156">
        <f>'Reported burning'!C3303</f>
        <v>0</v>
      </c>
      <c r="D3297" s="156">
        <f>'Reported burning'!D3303</f>
        <v>0</v>
      </c>
      <c r="E3297" s="156">
        <f>'Reported burning'!E3303</f>
        <v>0</v>
      </c>
      <c r="F3297" s="156">
        <f>'Reported burning'!F3303</f>
        <v>0</v>
      </c>
      <c r="G3297" s="156">
        <f>'Reported burning'!G3303</f>
        <v>0</v>
      </c>
      <c r="H3297" s="156">
        <f>'Reported burning'!H3303</f>
        <v>0</v>
      </c>
      <c r="I3297" s="5"/>
    </row>
    <row r="3298" spans="1:9">
      <c r="A3298" s="156">
        <f>'Reported burning'!A3304</f>
        <v>0</v>
      </c>
      <c r="B3298" s="156">
        <f>'Reported burning'!B3304</f>
        <v>0</v>
      </c>
      <c r="C3298" s="156">
        <f>'Reported burning'!C3304</f>
        <v>0</v>
      </c>
      <c r="D3298" s="156">
        <f>'Reported burning'!D3304</f>
        <v>0</v>
      </c>
      <c r="E3298" s="156">
        <f>'Reported burning'!E3304</f>
        <v>0</v>
      </c>
      <c r="F3298" s="156">
        <f>'Reported burning'!F3304</f>
        <v>0</v>
      </c>
      <c r="G3298" s="156">
        <f>'Reported burning'!G3304</f>
        <v>0</v>
      </c>
      <c r="H3298" s="156">
        <f>'Reported burning'!H3304</f>
        <v>0</v>
      </c>
      <c r="I3298" s="5"/>
    </row>
    <row r="3299" spans="1:9">
      <c r="A3299" s="156">
        <f>'Reported burning'!A3305</f>
        <v>0</v>
      </c>
      <c r="B3299" s="156">
        <f>'Reported burning'!B3305</f>
        <v>0</v>
      </c>
      <c r="C3299" s="156">
        <f>'Reported burning'!C3305</f>
        <v>0</v>
      </c>
      <c r="D3299" s="156">
        <f>'Reported burning'!D3305</f>
        <v>0</v>
      </c>
      <c r="E3299" s="156">
        <f>'Reported burning'!E3305</f>
        <v>0</v>
      </c>
      <c r="F3299" s="156">
        <f>'Reported burning'!F3305</f>
        <v>0</v>
      </c>
      <c r="G3299" s="156">
        <f>'Reported burning'!G3305</f>
        <v>0</v>
      </c>
      <c r="H3299" s="156">
        <f>'Reported burning'!H3305</f>
        <v>0</v>
      </c>
      <c r="I3299" s="5"/>
    </row>
    <row r="3300" spans="1:9">
      <c r="A3300" s="156">
        <f>'Reported burning'!A3306</f>
        <v>0</v>
      </c>
      <c r="B3300" s="156">
        <f>'Reported burning'!B3306</f>
        <v>0</v>
      </c>
      <c r="C3300" s="156">
        <f>'Reported burning'!C3306</f>
        <v>0</v>
      </c>
      <c r="D3300" s="156">
        <f>'Reported burning'!D3306</f>
        <v>0</v>
      </c>
      <c r="E3300" s="156">
        <f>'Reported burning'!E3306</f>
        <v>0</v>
      </c>
      <c r="F3300" s="156">
        <f>'Reported burning'!F3306</f>
        <v>0</v>
      </c>
      <c r="G3300" s="156">
        <f>'Reported burning'!G3306</f>
        <v>0</v>
      </c>
      <c r="H3300" s="156">
        <f>'Reported burning'!H3306</f>
        <v>0</v>
      </c>
      <c r="I3300" s="5"/>
    </row>
    <row r="3301" spans="1:9">
      <c r="A3301" s="156">
        <f>'Reported burning'!A3307</f>
        <v>0</v>
      </c>
      <c r="B3301" s="156">
        <f>'Reported burning'!B3307</f>
        <v>0</v>
      </c>
      <c r="C3301" s="156">
        <f>'Reported burning'!C3307</f>
        <v>0</v>
      </c>
      <c r="D3301" s="156">
        <f>'Reported burning'!D3307</f>
        <v>0</v>
      </c>
      <c r="E3301" s="156">
        <f>'Reported burning'!E3307</f>
        <v>0</v>
      </c>
      <c r="F3301" s="156">
        <f>'Reported burning'!F3307</f>
        <v>0</v>
      </c>
      <c r="G3301" s="156">
        <f>'Reported burning'!G3307</f>
        <v>0</v>
      </c>
      <c r="H3301" s="156">
        <f>'Reported burning'!H3307</f>
        <v>0</v>
      </c>
      <c r="I3301" s="5"/>
    </row>
    <row r="3302" spans="1:9">
      <c r="A3302" s="156">
        <f>'Reported burning'!A3308</f>
        <v>0</v>
      </c>
      <c r="B3302" s="156">
        <f>'Reported burning'!B3308</f>
        <v>0</v>
      </c>
      <c r="C3302" s="156">
        <f>'Reported burning'!C3308</f>
        <v>0</v>
      </c>
      <c r="D3302" s="156">
        <f>'Reported burning'!D3308</f>
        <v>0</v>
      </c>
      <c r="E3302" s="156">
        <f>'Reported burning'!E3308</f>
        <v>0</v>
      </c>
      <c r="F3302" s="156">
        <f>'Reported burning'!F3308</f>
        <v>0</v>
      </c>
      <c r="G3302" s="156">
        <f>'Reported burning'!G3308</f>
        <v>0</v>
      </c>
      <c r="H3302" s="156">
        <f>'Reported burning'!H3308</f>
        <v>0</v>
      </c>
      <c r="I3302" s="5"/>
    </row>
    <row r="3303" spans="1:9">
      <c r="A3303" s="156">
        <f>'Reported burning'!A3309</f>
        <v>0</v>
      </c>
      <c r="B3303" s="156">
        <f>'Reported burning'!B3309</f>
        <v>0</v>
      </c>
      <c r="C3303" s="156">
        <f>'Reported burning'!C3309</f>
        <v>0</v>
      </c>
      <c r="D3303" s="156">
        <f>'Reported burning'!D3309</f>
        <v>0</v>
      </c>
      <c r="E3303" s="156">
        <f>'Reported burning'!E3309</f>
        <v>0</v>
      </c>
      <c r="F3303" s="156">
        <f>'Reported burning'!F3309</f>
        <v>0</v>
      </c>
      <c r="G3303" s="156">
        <f>'Reported burning'!G3309</f>
        <v>0</v>
      </c>
      <c r="H3303" s="156">
        <f>'Reported burning'!H3309</f>
        <v>0</v>
      </c>
      <c r="I3303" s="5"/>
    </row>
    <row r="3304" spans="1:9">
      <c r="A3304" s="156">
        <f>'Reported burning'!A3310</f>
        <v>0</v>
      </c>
      <c r="B3304" s="156">
        <f>'Reported burning'!B3310</f>
        <v>0</v>
      </c>
      <c r="C3304" s="156">
        <f>'Reported burning'!C3310</f>
        <v>0</v>
      </c>
      <c r="D3304" s="156">
        <f>'Reported burning'!D3310</f>
        <v>0</v>
      </c>
      <c r="E3304" s="156">
        <f>'Reported burning'!E3310</f>
        <v>0</v>
      </c>
      <c r="F3304" s="156">
        <f>'Reported burning'!F3310</f>
        <v>0</v>
      </c>
      <c r="G3304" s="156">
        <f>'Reported burning'!G3310</f>
        <v>0</v>
      </c>
      <c r="H3304" s="156">
        <f>'Reported burning'!H3310</f>
        <v>0</v>
      </c>
      <c r="I3304" s="5"/>
    </row>
    <row r="3305" spans="1:9">
      <c r="A3305" s="156">
        <f>'Reported burning'!A3311</f>
        <v>0</v>
      </c>
      <c r="B3305" s="156">
        <f>'Reported burning'!B3311</f>
        <v>0</v>
      </c>
      <c r="C3305" s="156">
        <f>'Reported burning'!C3311</f>
        <v>0</v>
      </c>
      <c r="D3305" s="156">
        <f>'Reported burning'!D3311</f>
        <v>0</v>
      </c>
      <c r="E3305" s="156">
        <f>'Reported burning'!E3311</f>
        <v>0</v>
      </c>
      <c r="F3305" s="156">
        <f>'Reported burning'!F3311</f>
        <v>0</v>
      </c>
      <c r="G3305" s="156">
        <f>'Reported burning'!G3311</f>
        <v>0</v>
      </c>
      <c r="H3305" s="156">
        <f>'Reported burning'!H3311</f>
        <v>0</v>
      </c>
      <c r="I3305" s="5"/>
    </row>
    <row r="3306" spans="1:9">
      <c r="A3306" s="156">
        <f>'Reported burning'!A3312</f>
        <v>0</v>
      </c>
      <c r="B3306" s="156">
        <f>'Reported burning'!B3312</f>
        <v>0</v>
      </c>
      <c r="C3306" s="156">
        <f>'Reported burning'!C3312</f>
        <v>0</v>
      </c>
      <c r="D3306" s="156">
        <f>'Reported burning'!D3312</f>
        <v>0</v>
      </c>
      <c r="E3306" s="156">
        <f>'Reported burning'!E3312</f>
        <v>0</v>
      </c>
      <c r="F3306" s="156">
        <f>'Reported burning'!F3312</f>
        <v>0</v>
      </c>
      <c r="G3306" s="156">
        <f>'Reported burning'!G3312</f>
        <v>0</v>
      </c>
      <c r="H3306" s="156">
        <f>'Reported burning'!H3312</f>
        <v>0</v>
      </c>
      <c r="I3306" s="5"/>
    </row>
    <row r="3307" spans="1:9">
      <c r="A3307" s="156">
        <f>'Reported burning'!A3313</f>
        <v>0</v>
      </c>
      <c r="B3307" s="156">
        <f>'Reported burning'!B3313</f>
        <v>0</v>
      </c>
      <c r="C3307" s="156">
        <f>'Reported burning'!C3313</f>
        <v>0</v>
      </c>
      <c r="D3307" s="156">
        <f>'Reported burning'!D3313</f>
        <v>0</v>
      </c>
      <c r="E3307" s="156">
        <f>'Reported burning'!E3313</f>
        <v>0</v>
      </c>
      <c r="F3307" s="156">
        <f>'Reported burning'!F3313</f>
        <v>0</v>
      </c>
      <c r="G3307" s="156">
        <f>'Reported burning'!G3313</f>
        <v>0</v>
      </c>
      <c r="H3307" s="156">
        <f>'Reported burning'!H3313</f>
        <v>0</v>
      </c>
      <c r="I3307" s="5"/>
    </row>
    <row r="3308" spans="1:9">
      <c r="A3308" s="156">
        <f>'Reported burning'!A3314</f>
        <v>0</v>
      </c>
      <c r="B3308" s="156">
        <f>'Reported burning'!B3314</f>
        <v>0</v>
      </c>
      <c r="C3308" s="156">
        <f>'Reported burning'!C3314</f>
        <v>0</v>
      </c>
      <c r="D3308" s="156">
        <f>'Reported burning'!D3314</f>
        <v>0</v>
      </c>
      <c r="E3308" s="156">
        <f>'Reported burning'!E3314</f>
        <v>0</v>
      </c>
      <c r="F3308" s="156">
        <f>'Reported burning'!F3314</f>
        <v>0</v>
      </c>
      <c r="G3308" s="156">
        <f>'Reported burning'!G3314</f>
        <v>0</v>
      </c>
      <c r="H3308" s="156">
        <f>'Reported burning'!H3314</f>
        <v>0</v>
      </c>
      <c r="I3308" s="5"/>
    </row>
    <row r="3309" spans="1:9">
      <c r="A3309" s="156">
        <f>'Reported burning'!A3315</f>
        <v>0</v>
      </c>
      <c r="B3309" s="156">
        <f>'Reported burning'!B3315</f>
        <v>0</v>
      </c>
      <c r="C3309" s="156">
        <f>'Reported burning'!C3315</f>
        <v>0</v>
      </c>
      <c r="D3309" s="156">
        <f>'Reported burning'!D3315</f>
        <v>0</v>
      </c>
      <c r="E3309" s="156">
        <f>'Reported burning'!E3315</f>
        <v>0</v>
      </c>
      <c r="F3309" s="156">
        <f>'Reported burning'!F3315</f>
        <v>0</v>
      </c>
      <c r="G3309" s="156">
        <f>'Reported burning'!G3315</f>
        <v>0</v>
      </c>
      <c r="H3309" s="156">
        <f>'Reported burning'!H3315</f>
        <v>0</v>
      </c>
      <c r="I3309" s="5"/>
    </row>
    <row r="3310" spans="1:9">
      <c r="A3310" s="156">
        <f>'Reported burning'!A3316</f>
        <v>0</v>
      </c>
      <c r="B3310" s="156">
        <f>'Reported burning'!B3316</f>
        <v>0</v>
      </c>
      <c r="C3310" s="156">
        <f>'Reported burning'!C3316</f>
        <v>0</v>
      </c>
      <c r="D3310" s="156">
        <f>'Reported burning'!D3316</f>
        <v>0</v>
      </c>
      <c r="E3310" s="156">
        <f>'Reported burning'!E3316</f>
        <v>0</v>
      </c>
      <c r="F3310" s="156">
        <f>'Reported burning'!F3316</f>
        <v>0</v>
      </c>
      <c r="G3310" s="156">
        <f>'Reported burning'!G3316</f>
        <v>0</v>
      </c>
      <c r="H3310" s="156">
        <f>'Reported burning'!H3316</f>
        <v>0</v>
      </c>
      <c r="I3310" s="5"/>
    </row>
    <row r="3311" spans="1:9">
      <c r="A3311" s="156">
        <f>'Reported burning'!A3317</f>
        <v>0</v>
      </c>
      <c r="B3311" s="156">
        <f>'Reported burning'!B3317</f>
        <v>0</v>
      </c>
      <c r="C3311" s="156">
        <f>'Reported burning'!C3317</f>
        <v>0</v>
      </c>
      <c r="D3311" s="156">
        <f>'Reported burning'!D3317</f>
        <v>0</v>
      </c>
      <c r="E3311" s="156">
        <f>'Reported burning'!E3317</f>
        <v>0</v>
      </c>
      <c r="F3311" s="156">
        <f>'Reported burning'!F3317</f>
        <v>0</v>
      </c>
      <c r="G3311" s="156">
        <f>'Reported burning'!G3317</f>
        <v>0</v>
      </c>
      <c r="H3311" s="156">
        <f>'Reported burning'!H3317</f>
        <v>0</v>
      </c>
      <c r="I3311" s="5"/>
    </row>
    <row r="3312" spans="1:9">
      <c r="A3312" s="156">
        <f>'Reported burning'!A3318</f>
        <v>0</v>
      </c>
      <c r="B3312" s="156">
        <f>'Reported burning'!B3318</f>
        <v>0</v>
      </c>
      <c r="C3312" s="156">
        <f>'Reported burning'!C3318</f>
        <v>0</v>
      </c>
      <c r="D3312" s="156">
        <f>'Reported burning'!D3318</f>
        <v>0</v>
      </c>
      <c r="E3312" s="156">
        <f>'Reported burning'!E3318</f>
        <v>0</v>
      </c>
      <c r="F3312" s="156">
        <f>'Reported burning'!F3318</f>
        <v>0</v>
      </c>
      <c r="G3312" s="156">
        <f>'Reported burning'!G3318</f>
        <v>0</v>
      </c>
      <c r="H3312" s="156">
        <f>'Reported burning'!H3318</f>
        <v>0</v>
      </c>
      <c r="I3312" s="5"/>
    </row>
    <row r="3313" spans="1:9">
      <c r="A3313" s="156">
        <f>'Reported burning'!A3319</f>
        <v>0</v>
      </c>
      <c r="B3313" s="156">
        <f>'Reported burning'!B3319</f>
        <v>0</v>
      </c>
      <c r="C3313" s="156">
        <f>'Reported burning'!C3319</f>
        <v>0</v>
      </c>
      <c r="D3313" s="156">
        <f>'Reported burning'!D3319</f>
        <v>0</v>
      </c>
      <c r="E3313" s="156">
        <f>'Reported burning'!E3319</f>
        <v>0</v>
      </c>
      <c r="F3313" s="156">
        <f>'Reported burning'!F3319</f>
        <v>0</v>
      </c>
      <c r="G3313" s="156">
        <f>'Reported burning'!G3319</f>
        <v>0</v>
      </c>
      <c r="H3313" s="156">
        <f>'Reported burning'!H3319</f>
        <v>0</v>
      </c>
      <c r="I3313" s="5"/>
    </row>
    <row r="3314" spans="1:9">
      <c r="A3314" s="156">
        <f>'Reported burning'!A3320</f>
        <v>0</v>
      </c>
      <c r="B3314" s="156">
        <f>'Reported burning'!B3320</f>
        <v>0</v>
      </c>
      <c r="C3314" s="156">
        <f>'Reported burning'!C3320</f>
        <v>0</v>
      </c>
      <c r="D3314" s="156">
        <f>'Reported burning'!D3320</f>
        <v>0</v>
      </c>
      <c r="E3314" s="156">
        <f>'Reported burning'!E3320</f>
        <v>0</v>
      </c>
      <c r="F3314" s="156">
        <f>'Reported burning'!F3320</f>
        <v>0</v>
      </c>
      <c r="G3314" s="156">
        <f>'Reported burning'!G3320</f>
        <v>0</v>
      </c>
      <c r="H3314" s="156">
        <f>'Reported burning'!H3320</f>
        <v>0</v>
      </c>
      <c r="I3314" s="5"/>
    </row>
    <row r="3315" spans="1:9">
      <c r="A3315" s="156">
        <f>'Reported burning'!A3321</f>
        <v>0</v>
      </c>
      <c r="B3315" s="156">
        <f>'Reported burning'!B3321</f>
        <v>0</v>
      </c>
      <c r="C3315" s="156">
        <f>'Reported burning'!C3321</f>
        <v>0</v>
      </c>
      <c r="D3315" s="156">
        <f>'Reported burning'!D3321</f>
        <v>0</v>
      </c>
      <c r="E3315" s="156">
        <f>'Reported burning'!E3321</f>
        <v>0</v>
      </c>
      <c r="F3315" s="156">
        <f>'Reported burning'!F3321</f>
        <v>0</v>
      </c>
      <c r="G3315" s="156">
        <f>'Reported burning'!G3321</f>
        <v>0</v>
      </c>
      <c r="H3315" s="156">
        <f>'Reported burning'!H3321</f>
        <v>0</v>
      </c>
      <c r="I3315" s="5"/>
    </row>
    <row r="3316" spans="1:9">
      <c r="A3316" s="156">
        <f>'Reported burning'!A3322</f>
        <v>0</v>
      </c>
      <c r="B3316" s="156">
        <f>'Reported burning'!B3322</f>
        <v>0</v>
      </c>
      <c r="C3316" s="156">
        <f>'Reported burning'!C3322</f>
        <v>0</v>
      </c>
      <c r="D3316" s="156">
        <f>'Reported burning'!D3322</f>
        <v>0</v>
      </c>
      <c r="E3316" s="156">
        <f>'Reported burning'!E3322</f>
        <v>0</v>
      </c>
      <c r="F3316" s="156">
        <f>'Reported burning'!F3322</f>
        <v>0</v>
      </c>
      <c r="G3316" s="156">
        <f>'Reported burning'!G3322</f>
        <v>0</v>
      </c>
      <c r="H3316" s="156">
        <f>'Reported burning'!H3322</f>
        <v>0</v>
      </c>
      <c r="I3316" s="5"/>
    </row>
    <row r="3317" spans="1:9">
      <c r="A3317" s="156">
        <f>'Reported burning'!A3323</f>
        <v>0</v>
      </c>
      <c r="B3317" s="156">
        <f>'Reported burning'!B3323</f>
        <v>0</v>
      </c>
      <c r="C3317" s="156">
        <f>'Reported burning'!C3323</f>
        <v>0</v>
      </c>
      <c r="D3317" s="156">
        <f>'Reported burning'!D3323</f>
        <v>0</v>
      </c>
      <c r="E3317" s="156">
        <f>'Reported burning'!E3323</f>
        <v>0</v>
      </c>
      <c r="F3317" s="156">
        <f>'Reported burning'!F3323</f>
        <v>0</v>
      </c>
      <c r="G3317" s="156">
        <f>'Reported burning'!G3323</f>
        <v>0</v>
      </c>
      <c r="H3317" s="156">
        <f>'Reported burning'!H3323</f>
        <v>0</v>
      </c>
      <c r="I3317" s="5"/>
    </row>
    <row r="3318" spans="1:9">
      <c r="A3318" s="156">
        <f>'Reported burning'!A3324</f>
        <v>0</v>
      </c>
      <c r="B3318" s="156">
        <f>'Reported burning'!B3324</f>
        <v>0</v>
      </c>
      <c r="C3318" s="156">
        <f>'Reported burning'!C3324</f>
        <v>0</v>
      </c>
      <c r="D3318" s="156">
        <f>'Reported burning'!D3324</f>
        <v>0</v>
      </c>
      <c r="E3318" s="156">
        <f>'Reported burning'!E3324</f>
        <v>0</v>
      </c>
      <c r="F3318" s="156">
        <f>'Reported burning'!F3324</f>
        <v>0</v>
      </c>
      <c r="G3318" s="156">
        <f>'Reported burning'!G3324</f>
        <v>0</v>
      </c>
      <c r="H3318" s="156">
        <f>'Reported burning'!H3324</f>
        <v>0</v>
      </c>
      <c r="I3318" s="5"/>
    </row>
    <row r="3319" spans="1:9">
      <c r="A3319" s="156">
        <f>'Reported burning'!A3325</f>
        <v>0</v>
      </c>
      <c r="B3319" s="156">
        <f>'Reported burning'!B3325</f>
        <v>0</v>
      </c>
      <c r="C3319" s="156">
        <f>'Reported burning'!C3325</f>
        <v>0</v>
      </c>
      <c r="D3319" s="156">
        <f>'Reported burning'!D3325</f>
        <v>0</v>
      </c>
      <c r="E3319" s="156">
        <f>'Reported burning'!E3325</f>
        <v>0</v>
      </c>
      <c r="F3319" s="156">
        <f>'Reported burning'!F3325</f>
        <v>0</v>
      </c>
      <c r="G3319" s="156">
        <f>'Reported burning'!G3325</f>
        <v>0</v>
      </c>
      <c r="H3319" s="156">
        <f>'Reported burning'!H3325</f>
        <v>0</v>
      </c>
      <c r="I3319" s="5"/>
    </row>
    <row r="3320" spans="1:9">
      <c r="A3320" s="156">
        <f>'Reported burning'!A3326</f>
        <v>0</v>
      </c>
      <c r="B3320" s="156">
        <f>'Reported burning'!B3326</f>
        <v>0</v>
      </c>
      <c r="C3320" s="156">
        <f>'Reported burning'!C3326</f>
        <v>0</v>
      </c>
      <c r="D3320" s="156">
        <f>'Reported burning'!D3326</f>
        <v>0</v>
      </c>
      <c r="E3320" s="156">
        <f>'Reported burning'!E3326</f>
        <v>0</v>
      </c>
      <c r="F3320" s="156">
        <f>'Reported burning'!F3326</f>
        <v>0</v>
      </c>
      <c r="G3320" s="156">
        <f>'Reported burning'!G3326</f>
        <v>0</v>
      </c>
      <c r="H3320" s="156">
        <f>'Reported burning'!H3326</f>
        <v>0</v>
      </c>
      <c r="I3320" s="5"/>
    </row>
    <row r="3321" spans="1:9">
      <c r="A3321" s="156">
        <f>'Reported burning'!A3327</f>
        <v>0</v>
      </c>
      <c r="B3321" s="156">
        <f>'Reported burning'!B3327</f>
        <v>0</v>
      </c>
      <c r="C3321" s="156">
        <f>'Reported burning'!C3327</f>
        <v>0</v>
      </c>
      <c r="D3321" s="156">
        <f>'Reported burning'!D3327</f>
        <v>0</v>
      </c>
      <c r="E3321" s="156">
        <f>'Reported burning'!E3327</f>
        <v>0</v>
      </c>
      <c r="F3321" s="156">
        <f>'Reported burning'!F3327</f>
        <v>0</v>
      </c>
      <c r="G3321" s="156">
        <f>'Reported burning'!G3327</f>
        <v>0</v>
      </c>
      <c r="H3321" s="156">
        <f>'Reported burning'!H3327</f>
        <v>0</v>
      </c>
      <c r="I3321" s="5"/>
    </row>
    <row r="3322" spans="1:9">
      <c r="A3322" s="156">
        <f>'Reported burning'!A3328</f>
        <v>0</v>
      </c>
      <c r="B3322" s="156">
        <f>'Reported burning'!B3328</f>
        <v>0</v>
      </c>
      <c r="C3322" s="156">
        <f>'Reported burning'!C3328</f>
        <v>0</v>
      </c>
      <c r="D3322" s="156">
        <f>'Reported burning'!D3328</f>
        <v>0</v>
      </c>
      <c r="E3322" s="156">
        <f>'Reported burning'!E3328</f>
        <v>0</v>
      </c>
      <c r="F3322" s="156">
        <f>'Reported burning'!F3328</f>
        <v>0</v>
      </c>
      <c r="G3322" s="156">
        <f>'Reported burning'!G3328</f>
        <v>0</v>
      </c>
      <c r="H3322" s="156">
        <f>'Reported burning'!H3328</f>
        <v>0</v>
      </c>
      <c r="I3322" s="5"/>
    </row>
    <row r="3323" spans="1:9">
      <c r="A3323" s="156">
        <f>'Reported burning'!A3329</f>
        <v>0</v>
      </c>
      <c r="B3323" s="156">
        <f>'Reported burning'!B3329</f>
        <v>0</v>
      </c>
      <c r="C3323" s="156">
        <f>'Reported burning'!C3329</f>
        <v>0</v>
      </c>
      <c r="D3323" s="156">
        <f>'Reported burning'!D3329</f>
        <v>0</v>
      </c>
      <c r="E3323" s="156">
        <f>'Reported burning'!E3329</f>
        <v>0</v>
      </c>
      <c r="F3323" s="156">
        <f>'Reported burning'!F3329</f>
        <v>0</v>
      </c>
      <c r="G3323" s="156">
        <f>'Reported burning'!G3329</f>
        <v>0</v>
      </c>
      <c r="H3323" s="156">
        <f>'Reported burning'!H3329</f>
        <v>0</v>
      </c>
      <c r="I3323" s="5"/>
    </row>
    <row r="3324" spans="1:9">
      <c r="A3324" s="156">
        <f>'Reported burning'!A3330</f>
        <v>0</v>
      </c>
      <c r="B3324" s="156">
        <f>'Reported burning'!B3330</f>
        <v>0</v>
      </c>
      <c r="C3324" s="156">
        <f>'Reported burning'!C3330</f>
        <v>0</v>
      </c>
      <c r="D3324" s="156">
        <f>'Reported burning'!D3330</f>
        <v>0</v>
      </c>
      <c r="E3324" s="156">
        <f>'Reported burning'!E3330</f>
        <v>0</v>
      </c>
      <c r="F3324" s="156">
        <f>'Reported burning'!F3330</f>
        <v>0</v>
      </c>
      <c r="G3324" s="156">
        <f>'Reported burning'!G3330</f>
        <v>0</v>
      </c>
      <c r="H3324" s="156">
        <f>'Reported burning'!H3330</f>
        <v>0</v>
      </c>
      <c r="I3324" s="5"/>
    </row>
    <row r="3325" spans="1:9">
      <c r="A3325" s="156">
        <f>'Reported burning'!A3331</f>
        <v>0</v>
      </c>
      <c r="B3325" s="156">
        <f>'Reported burning'!B3331</f>
        <v>0</v>
      </c>
      <c r="C3325" s="156">
        <f>'Reported burning'!C3331</f>
        <v>0</v>
      </c>
      <c r="D3325" s="156">
        <f>'Reported burning'!D3331</f>
        <v>0</v>
      </c>
      <c r="E3325" s="156">
        <f>'Reported burning'!E3331</f>
        <v>0</v>
      </c>
      <c r="F3325" s="156">
        <f>'Reported burning'!F3331</f>
        <v>0</v>
      </c>
      <c r="G3325" s="156">
        <f>'Reported burning'!G3331</f>
        <v>0</v>
      </c>
      <c r="H3325" s="156">
        <f>'Reported burning'!H3331</f>
        <v>0</v>
      </c>
      <c r="I3325" s="5"/>
    </row>
    <row r="3326" spans="1:9">
      <c r="A3326" s="156">
        <f>'Reported burning'!A3332</f>
        <v>0</v>
      </c>
      <c r="B3326" s="156">
        <f>'Reported burning'!B3332</f>
        <v>0</v>
      </c>
      <c r="C3326" s="156">
        <f>'Reported burning'!C3332</f>
        <v>0</v>
      </c>
      <c r="D3326" s="156">
        <f>'Reported burning'!D3332</f>
        <v>0</v>
      </c>
      <c r="E3326" s="156">
        <f>'Reported burning'!E3332</f>
        <v>0</v>
      </c>
      <c r="F3326" s="156">
        <f>'Reported burning'!F3332</f>
        <v>0</v>
      </c>
      <c r="G3326" s="156">
        <f>'Reported burning'!G3332</f>
        <v>0</v>
      </c>
      <c r="H3326" s="156">
        <f>'Reported burning'!H3332</f>
        <v>0</v>
      </c>
      <c r="I3326" s="5"/>
    </row>
    <row r="3327" spans="1:9">
      <c r="A3327" s="156">
        <f>'Reported burning'!A3333</f>
        <v>0</v>
      </c>
      <c r="B3327" s="156">
        <f>'Reported burning'!B3333</f>
        <v>0</v>
      </c>
      <c r="C3327" s="156">
        <f>'Reported burning'!C3333</f>
        <v>0</v>
      </c>
      <c r="D3327" s="156">
        <f>'Reported burning'!D3333</f>
        <v>0</v>
      </c>
      <c r="E3327" s="156">
        <f>'Reported burning'!E3333</f>
        <v>0</v>
      </c>
      <c r="F3327" s="156">
        <f>'Reported burning'!F3333</f>
        <v>0</v>
      </c>
      <c r="G3327" s="156">
        <f>'Reported burning'!G3333</f>
        <v>0</v>
      </c>
      <c r="H3327" s="156">
        <f>'Reported burning'!H3333</f>
        <v>0</v>
      </c>
      <c r="I3327" s="5"/>
    </row>
    <row r="3328" spans="1:9">
      <c r="A3328" s="156">
        <f>'Reported burning'!A3334</f>
        <v>0</v>
      </c>
      <c r="B3328" s="156">
        <f>'Reported burning'!B3334</f>
        <v>0</v>
      </c>
      <c r="C3328" s="156">
        <f>'Reported burning'!C3334</f>
        <v>0</v>
      </c>
      <c r="D3328" s="156">
        <f>'Reported burning'!D3334</f>
        <v>0</v>
      </c>
      <c r="E3328" s="156">
        <f>'Reported burning'!E3334</f>
        <v>0</v>
      </c>
      <c r="F3328" s="156">
        <f>'Reported burning'!F3334</f>
        <v>0</v>
      </c>
      <c r="G3328" s="156">
        <f>'Reported burning'!G3334</f>
        <v>0</v>
      </c>
      <c r="H3328" s="156">
        <f>'Reported burning'!H3334</f>
        <v>0</v>
      </c>
      <c r="I3328" s="5"/>
    </row>
    <row r="3329" spans="1:9">
      <c r="A3329" s="156">
        <f>'Reported burning'!A3335</f>
        <v>0</v>
      </c>
      <c r="B3329" s="156">
        <f>'Reported burning'!B3335</f>
        <v>0</v>
      </c>
      <c r="C3329" s="156">
        <f>'Reported burning'!C3335</f>
        <v>0</v>
      </c>
      <c r="D3329" s="156">
        <f>'Reported burning'!D3335</f>
        <v>0</v>
      </c>
      <c r="E3329" s="156">
        <f>'Reported burning'!E3335</f>
        <v>0</v>
      </c>
      <c r="F3329" s="156">
        <f>'Reported burning'!F3335</f>
        <v>0</v>
      </c>
      <c r="G3329" s="156">
        <f>'Reported burning'!G3335</f>
        <v>0</v>
      </c>
      <c r="H3329" s="156">
        <f>'Reported burning'!H3335</f>
        <v>0</v>
      </c>
      <c r="I3329" s="5"/>
    </row>
    <row r="3330" spans="1:9">
      <c r="A3330" s="156">
        <f>'Reported burning'!A3336</f>
        <v>0</v>
      </c>
      <c r="B3330" s="156">
        <f>'Reported burning'!B3336</f>
        <v>0</v>
      </c>
      <c r="C3330" s="156">
        <f>'Reported burning'!C3336</f>
        <v>0</v>
      </c>
      <c r="D3330" s="156">
        <f>'Reported burning'!D3336</f>
        <v>0</v>
      </c>
      <c r="E3330" s="156">
        <f>'Reported burning'!E3336</f>
        <v>0</v>
      </c>
      <c r="F3330" s="156">
        <f>'Reported burning'!F3336</f>
        <v>0</v>
      </c>
      <c r="G3330" s="156">
        <f>'Reported burning'!G3336</f>
        <v>0</v>
      </c>
      <c r="H3330" s="156">
        <f>'Reported burning'!H3336</f>
        <v>0</v>
      </c>
      <c r="I3330" s="5"/>
    </row>
    <row r="3331" spans="1:9">
      <c r="A3331" s="156">
        <f>'Reported burning'!A3337</f>
        <v>0</v>
      </c>
      <c r="B3331" s="156">
        <f>'Reported burning'!B3337</f>
        <v>0</v>
      </c>
      <c r="C3331" s="156">
        <f>'Reported burning'!C3337</f>
        <v>0</v>
      </c>
      <c r="D3331" s="156">
        <f>'Reported burning'!D3337</f>
        <v>0</v>
      </c>
      <c r="E3331" s="156">
        <f>'Reported burning'!E3337</f>
        <v>0</v>
      </c>
      <c r="F3331" s="156">
        <f>'Reported burning'!F3337</f>
        <v>0</v>
      </c>
      <c r="G3331" s="156">
        <f>'Reported burning'!G3337</f>
        <v>0</v>
      </c>
      <c r="H3331" s="156">
        <f>'Reported burning'!H3337</f>
        <v>0</v>
      </c>
      <c r="I3331" s="5"/>
    </row>
    <row r="3332" spans="1:9">
      <c r="A3332" s="156">
        <f>'Reported burning'!A3338</f>
        <v>0</v>
      </c>
      <c r="B3332" s="156">
        <f>'Reported burning'!B3338</f>
        <v>0</v>
      </c>
      <c r="C3332" s="156">
        <f>'Reported burning'!C3338</f>
        <v>0</v>
      </c>
      <c r="D3332" s="156">
        <f>'Reported burning'!D3338</f>
        <v>0</v>
      </c>
      <c r="E3332" s="156">
        <f>'Reported burning'!E3338</f>
        <v>0</v>
      </c>
      <c r="F3332" s="156">
        <f>'Reported burning'!F3338</f>
        <v>0</v>
      </c>
      <c r="G3332" s="156">
        <f>'Reported burning'!G3338</f>
        <v>0</v>
      </c>
      <c r="H3332" s="156">
        <f>'Reported burning'!H3338</f>
        <v>0</v>
      </c>
      <c r="I3332" s="5"/>
    </row>
    <row r="3333" spans="1:9">
      <c r="A3333" s="156">
        <f>'Reported burning'!A3339</f>
        <v>0</v>
      </c>
      <c r="B3333" s="156">
        <f>'Reported burning'!B3339</f>
        <v>0</v>
      </c>
      <c r="C3333" s="156">
        <f>'Reported burning'!C3339</f>
        <v>0</v>
      </c>
      <c r="D3333" s="156">
        <f>'Reported burning'!D3339</f>
        <v>0</v>
      </c>
      <c r="E3333" s="156">
        <f>'Reported burning'!E3339</f>
        <v>0</v>
      </c>
      <c r="F3333" s="156">
        <f>'Reported burning'!F3339</f>
        <v>0</v>
      </c>
      <c r="G3333" s="156">
        <f>'Reported burning'!G3339</f>
        <v>0</v>
      </c>
      <c r="H3333" s="156">
        <f>'Reported burning'!H3339</f>
        <v>0</v>
      </c>
      <c r="I3333" s="5"/>
    </row>
    <row r="3334" spans="1:9">
      <c r="A3334" s="156">
        <f>'Reported burning'!A3340</f>
        <v>0</v>
      </c>
      <c r="B3334" s="156">
        <f>'Reported burning'!B3340</f>
        <v>0</v>
      </c>
      <c r="C3334" s="156">
        <f>'Reported burning'!C3340</f>
        <v>0</v>
      </c>
      <c r="D3334" s="156">
        <f>'Reported burning'!D3340</f>
        <v>0</v>
      </c>
      <c r="E3334" s="156">
        <f>'Reported burning'!E3340</f>
        <v>0</v>
      </c>
      <c r="F3334" s="156">
        <f>'Reported burning'!F3340</f>
        <v>0</v>
      </c>
      <c r="G3334" s="156">
        <f>'Reported burning'!G3340</f>
        <v>0</v>
      </c>
      <c r="H3334" s="156">
        <f>'Reported burning'!H3340</f>
        <v>0</v>
      </c>
      <c r="I3334" s="5"/>
    </row>
    <row r="3335" spans="1:9">
      <c r="A3335" s="156">
        <f>'Reported burning'!A3341</f>
        <v>0</v>
      </c>
      <c r="B3335" s="156">
        <f>'Reported burning'!B3341</f>
        <v>0</v>
      </c>
      <c r="C3335" s="156">
        <f>'Reported burning'!C3341</f>
        <v>0</v>
      </c>
      <c r="D3335" s="156">
        <f>'Reported burning'!D3341</f>
        <v>0</v>
      </c>
      <c r="E3335" s="156">
        <f>'Reported burning'!E3341</f>
        <v>0</v>
      </c>
      <c r="F3335" s="156">
        <f>'Reported burning'!F3341</f>
        <v>0</v>
      </c>
      <c r="G3335" s="156">
        <f>'Reported burning'!G3341</f>
        <v>0</v>
      </c>
      <c r="H3335" s="156">
        <f>'Reported burning'!H3341</f>
        <v>0</v>
      </c>
      <c r="I3335" s="5"/>
    </row>
    <row r="3336" spans="1:9">
      <c r="A3336" s="156">
        <f>'Reported burning'!A3342</f>
        <v>0</v>
      </c>
      <c r="B3336" s="156">
        <f>'Reported burning'!B3342</f>
        <v>0</v>
      </c>
      <c r="C3336" s="156">
        <f>'Reported burning'!C3342</f>
        <v>0</v>
      </c>
      <c r="D3336" s="156">
        <f>'Reported burning'!D3342</f>
        <v>0</v>
      </c>
      <c r="E3336" s="156">
        <f>'Reported burning'!E3342</f>
        <v>0</v>
      </c>
      <c r="F3336" s="156">
        <f>'Reported burning'!F3342</f>
        <v>0</v>
      </c>
      <c r="G3336" s="156">
        <f>'Reported burning'!G3342</f>
        <v>0</v>
      </c>
      <c r="H3336" s="156">
        <f>'Reported burning'!H3342</f>
        <v>0</v>
      </c>
      <c r="I3336" s="5"/>
    </row>
    <row r="3337" spans="1:9">
      <c r="A3337" s="156">
        <f>'Reported burning'!A3343</f>
        <v>0</v>
      </c>
      <c r="B3337" s="156">
        <f>'Reported burning'!B3343</f>
        <v>0</v>
      </c>
      <c r="C3337" s="156">
        <f>'Reported burning'!C3343</f>
        <v>0</v>
      </c>
      <c r="D3337" s="156">
        <f>'Reported burning'!D3343</f>
        <v>0</v>
      </c>
      <c r="E3337" s="156">
        <f>'Reported burning'!E3343</f>
        <v>0</v>
      </c>
      <c r="F3337" s="156">
        <f>'Reported burning'!F3343</f>
        <v>0</v>
      </c>
      <c r="G3337" s="156">
        <f>'Reported burning'!G3343</f>
        <v>0</v>
      </c>
      <c r="H3337" s="156">
        <f>'Reported burning'!H3343</f>
        <v>0</v>
      </c>
      <c r="I3337" s="5"/>
    </row>
    <row r="3338" spans="1:9">
      <c r="A3338" s="156">
        <f>'Reported burning'!A3344</f>
        <v>0</v>
      </c>
      <c r="B3338" s="156">
        <f>'Reported burning'!B3344</f>
        <v>0</v>
      </c>
      <c r="C3338" s="156">
        <f>'Reported burning'!C3344</f>
        <v>0</v>
      </c>
      <c r="D3338" s="156">
        <f>'Reported burning'!D3344</f>
        <v>0</v>
      </c>
      <c r="E3338" s="156">
        <f>'Reported burning'!E3344</f>
        <v>0</v>
      </c>
      <c r="F3338" s="156">
        <f>'Reported burning'!F3344</f>
        <v>0</v>
      </c>
      <c r="G3338" s="156">
        <f>'Reported burning'!G3344</f>
        <v>0</v>
      </c>
      <c r="H3338" s="156">
        <f>'Reported burning'!H3344</f>
        <v>0</v>
      </c>
      <c r="I3338" s="5"/>
    </row>
    <row r="3339" spans="1:9">
      <c r="A3339" s="156">
        <f>'Reported burning'!A3345</f>
        <v>0</v>
      </c>
      <c r="B3339" s="156">
        <f>'Reported burning'!B3345</f>
        <v>0</v>
      </c>
      <c r="C3339" s="156">
        <f>'Reported burning'!C3345</f>
        <v>0</v>
      </c>
      <c r="D3339" s="156">
        <f>'Reported burning'!D3345</f>
        <v>0</v>
      </c>
      <c r="E3339" s="156">
        <f>'Reported burning'!E3345</f>
        <v>0</v>
      </c>
      <c r="F3339" s="156">
        <f>'Reported burning'!F3345</f>
        <v>0</v>
      </c>
      <c r="G3339" s="156">
        <f>'Reported burning'!G3345</f>
        <v>0</v>
      </c>
      <c r="H3339" s="156">
        <f>'Reported burning'!H3345</f>
        <v>0</v>
      </c>
      <c r="I3339" s="5"/>
    </row>
    <row r="3340" spans="1:9">
      <c r="A3340" s="156">
        <f>'Reported burning'!A3346</f>
        <v>0</v>
      </c>
      <c r="B3340" s="156">
        <f>'Reported burning'!B3346</f>
        <v>0</v>
      </c>
      <c r="C3340" s="156">
        <f>'Reported burning'!C3346</f>
        <v>0</v>
      </c>
      <c r="D3340" s="156">
        <f>'Reported burning'!D3346</f>
        <v>0</v>
      </c>
      <c r="E3340" s="156">
        <f>'Reported burning'!E3346</f>
        <v>0</v>
      </c>
      <c r="F3340" s="156">
        <f>'Reported burning'!F3346</f>
        <v>0</v>
      </c>
      <c r="G3340" s="156">
        <f>'Reported burning'!G3346</f>
        <v>0</v>
      </c>
      <c r="H3340" s="156">
        <f>'Reported burning'!H3346</f>
        <v>0</v>
      </c>
      <c r="I3340" s="5"/>
    </row>
    <row r="3341" spans="1:9">
      <c r="A3341" s="156">
        <f>'Reported burning'!A3347</f>
        <v>0</v>
      </c>
      <c r="B3341" s="156">
        <f>'Reported burning'!B3347</f>
        <v>0</v>
      </c>
      <c r="C3341" s="156">
        <f>'Reported burning'!C3347</f>
        <v>0</v>
      </c>
      <c r="D3341" s="156">
        <f>'Reported burning'!D3347</f>
        <v>0</v>
      </c>
      <c r="E3341" s="156">
        <f>'Reported burning'!E3347</f>
        <v>0</v>
      </c>
      <c r="F3341" s="156">
        <f>'Reported burning'!F3347</f>
        <v>0</v>
      </c>
      <c r="G3341" s="156">
        <f>'Reported burning'!G3347</f>
        <v>0</v>
      </c>
      <c r="H3341" s="156">
        <f>'Reported burning'!H3347</f>
        <v>0</v>
      </c>
      <c r="I3341" s="5"/>
    </row>
    <row r="3342" spans="1:9">
      <c r="A3342" s="156">
        <f>'Reported burning'!A3348</f>
        <v>0</v>
      </c>
      <c r="B3342" s="156">
        <f>'Reported burning'!B3348</f>
        <v>0</v>
      </c>
      <c r="C3342" s="156">
        <f>'Reported burning'!C3348</f>
        <v>0</v>
      </c>
      <c r="D3342" s="156">
        <f>'Reported burning'!D3348</f>
        <v>0</v>
      </c>
      <c r="E3342" s="156">
        <f>'Reported burning'!E3348</f>
        <v>0</v>
      </c>
      <c r="F3342" s="156">
        <f>'Reported burning'!F3348</f>
        <v>0</v>
      </c>
      <c r="G3342" s="156">
        <f>'Reported burning'!G3348</f>
        <v>0</v>
      </c>
      <c r="H3342" s="156">
        <f>'Reported burning'!H3348</f>
        <v>0</v>
      </c>
      <c r="I3342" s="5"/>
    </row>
    <row r="3343" spans="1:9">
      <c r="A3343" s="156">
        <f>'Reported burning'!A3349</f>
        <v>0</v>
      </c>
      <c r="B3343" s="156">
        <f>'Reported burning'!B3349</f>
        <v>0</v>
      </c>
      <c r="C3343" s="156">
        <f>'Reported burning'!C3349</f>
        <v>0</v>
      </c>
      <c r="D3343" s="156">
        <f>'Reported burning'!D3349</f>
        <v>0</v>
      </c>
      <c r="E3343" s="156">
        <f>'Reported burning'!E3349</f>
        <v>0</v>
      </c>
      <c r="F3343" s="156">
        <f>'Reported burning'!F3349</f>
        <v>0</v>
      </c>
      <c r="G3343" s="156">
        <f>'Reported burning'!G3349</f>
        <v>0</v>
      </c>
      <c r="H3343" s="156">
        <f>'Reported burning'!H3349</f>
        <v>0</v>
      </c>
      <c r="I3343" s="5"/>
    </row>
    <row r="3344" spans="1:9">
      <c r="A3344" s="156">
        <f>'Reported burning'!A3350</f>
        <v>0</v>
      </c>
      <c r="B3344" s="156">
        <f>'Reported burning'!B3350</f>
        <v>0</v>
      </c>
      <c r="C3344" s="156">
        <f>'Reported burning'!C3350</f>
        <v>0</v>
      </c>
      <c r="D3344" s="156">
        <f>'Reported burning'!D3350</f>
        <v>0</v>
      </c>
      <c r="E3344" s="156">
        <f>'Reported burning'!E3350</f>
        <v>0</v>
      </c>
      <c r="F3344" s="156">
        <f>'Reported burning'!F3350</f>
        <v>0</v>
      </c>
      <c r="G3344" s="156">
        <f>'Reported burning'!G3350</f>
        <v>0</v>
      </c>
      <c r="H3344" s="156">
        <f>'Reported burning'!H3350</f>
        <v>0</v>
      </c>
      <c r="I3344" s="5"/>
    </row>
    <row r="3345" spans="1:9">
      <c r="A3345" s="156">
        <f>'Reported burning'!A3351</f>
        <v>0</v>
      </c>
      <c r="B3345" s="156">
        <f>'Reported burning'!B3351</f>
        <v>0</v>
      </c>
      <c r="C3345" s="156">
        <f>'Reported burning'!C3351</f>
        <v>0</v>
      </c>
      <c r="D3345" s="156">
        <f>'Reported burning'!D3351</f>
        <v>0</v>
      </c>
      <c r="E3345" s="156">
        <f>'Reported burning'!E3351</f>
        <v>0</v>
      </c>
      <c r="F3345" s="156">
        <f>'Reported burning'!F3351</f>
        <v>0</v>
      </c>
      <c r="G3345" s="156">
        <f>'Reported burning'!G3351</f>
        <v>0</v>
      </c>
      <c r="H3345" s="156">
        <f>'Reported burning'!H3351</f>
        <v>0</v>
      </c>
      <c r="I3345" s="5"/>
    </row>
    <row r="3346" spans="1:9">
      <c r="A3346" s="156">
        <f>'Reported burning'!A3352</f>
        <v>0</v>
      </c>
      <c r="B3346" s="156">
        <f>'Reported burning'!B3352</f>
        <v>0</v>
      </c>
      <c r="C3346" s="156">
        <f>'Reported burning'!C3352</f>
        <v>0</v>
      </c>
      <c r="D3346" s="156">
        <f>'Reported burning'!D3352</f>
        <v>0</v>
      </c>
      <c r="E3346" s="156">
        <f>'Reported burning'!E3352</f>
        <v>0</v>
      </c>
      <c r="F3346" s="156">
        <f>'Reported burning'!F3352</f>
        <v>0</v>
      </c>
      <c r="G3346" s="156">
        <f>'Reported burning'!G3352</f>
        <v>0</v>
      </c>
      <c r="H3346" s="156">
        <f>'Reported burning'!H3352</f>
        <v>0</v>
      </c>
      <c r="I3346" s="5"/>
    </row>
    <row r="3347" spans="1:9">
      <c r="A3347" s="156">
        <f>'Reported burning'!A3353</f>
        <v>0</v>
      </c>
      <c r="B3347" s="156">
        <f>'Reported burning'!B3353</f>
        <v>0</v>
      </c>
      <c r="C3347" s="156">
        <f>'Reported burning'!C3353</f>
        <v>0</v>
      </c>
      <c r="D3347" s="156">
        <f>'Reported burning'!D3353</f>
        <v>0</v>
      </c>
      <c r="E3347" s="156">
        <f>'Reported burning'!E3353</f>
        <v>0</v>
      </c>
      <c r="F3347" s="156">
        <f>'Reported burning'!F3353</f>
        <v>0</v>
      </c>
      <c r="G3347" s="156">
        <f>'Reported burning'!G3353</f>
        <v>0</v>
      </c>
      <c r="H3347" s="156">
        <f>'Reported burning'!H3353</f>
        <v>0</v>
      </c>
      <c r="I3347" s="5"/>
    </row>
    <row r="3348" spans="1:9">
      <c r="A3348" s="156">
        <f>'Reported burning'!A3354</f>
        <v>0</v>
      </c>
      <c r="B3348" s="156">
        <f>'Reported burning'!B3354</f>
        <v>0</v>
      </c>
      <c r="C3348" s="156">
        <f>'Reported burning'!C3354</f>
        <v>0</v>
      </c>
      <c r="D3348" s="156">
        <f>'Reported burning'!D3354</f>
        <v>0</v>
      </c>
      <c r="E3348" s="156">
        <f>'Reported burning'!E3354</f>
        <v>0</v>
      </c>
      <c r="F3348" s="156">
        <f>'Reported burning'!F3354</f>
        <v>0</v>
      </c>
      <c r="G3348" s="156">
        <f>'Reported burning'!G3354</f>
        <v>0</v>
      </c>
      <c r="H3348" s="156">
        <f>'Reported burning'!H3354</f>
        <v>0</v>
      </c>
      <c r="I3348" s="5"/>
    </row>
    <row r="3349" spans="1:9">
      <c r="A3349" s="156">
        <f>'Reported burning'!A3355</f>
        <v>0</v>
      </c>
      <c r="B3349" s="156">
        <f>'Reported burning'!B3355</f>
        <v>0</v>
      </c>
      <c r="C3349" s="156">
        <f>'Reported burning'!C3355</f>
        <v>0</v>
      </c>
      <c r="D3349" s="156">
        <f>'Reported burning'!D3355</f>
        <v>0</v>
      </c>
      <c r="E3349" s="156">
        <f>'Reported burning'!E3355</f>
        <v>0</v>
      </c>
      <c r="F3349" s="156">
        <f>'Reported burning'!F3355</f>
        <v>0</v>
      </c>
      <c r="G3349" s="156">
        <f>'Reported burning'!G3355</f>
        <v>0</v>
      </c>
      <c r="H3349" s="156">
        <f>'Reported burning'!H3355</f>
        <v>0</v>
      </c>
      <c r="I3349" s="5"/>
    </row>
    <row r="3350" spans="1:9">
      <c r="A3350" s="156">
        <f>'Reported burning'!A3356</f>
        <v>0</v>
      </c>
      <c r="B3350" s="156">
        <f>'Reported burning'!B3356</f>
        <v>0</v>
      </c>
      <c r="C3350" s="156">
        <f>'Reported burning'!C3356</f>
        <v>0</v>
      </c>
      <c r="D3350" s="156">
        <f>'Reported burning'!D3356</f>
        <v>0</v>
      </c>
      <c r="E3350" s="156">
        <f>'Reported burning'!E3356</f>
        <v>0</v>
      </c>
      <c r="F3350" s="156">
        <f>'Reported burning'!F3356</f>
        <v>0</v>
      </c>
      <c r="G3350" s="156">
        <f>'Reported burning'!G3356</f>
        <v>0</v>
      </c>
      <c r="H3350" s="156">
        <f>'Reported burning'!H3356</f>
        <v>0</v>
      </c>
      <c r="I3350" s="5"/>
    </row>
    <row r="3351" spans="1:9">
      <c r="A3351" s="156">
        <f>'Reported burning'!A3357</f>
        <v>0</v>
      </c>
      <c r="B3351" s="156">
        <f>'Reported burning'!B3357</f>
        <v>0</v>
      </c>
      <c r="C3351" s="156">
        <f>'Reported burning'!C3357</f>
        <v>0</v>
      </c>
      <c r="D3351" s="156">
        <f>'Reported burning'!D3357</f>
        <v>0</v>
      </c>
      <c r="E3351" s="156">
        <f>'Reported burning'!E3357</f>
        <v>0</v>
      </c>
      <c r="F3351" s="156">
        <f>'Reported burning'!F3357</f>
        <v>0</v>
      </c>
      <c r="G3351" s="156">
        <f>'Reported burning'!G3357</f>
        <v>0</v>
      </c>
      <c r="H3351" s="156">
        <f>'Reported burning'!H3357</f>
        <v>0</v>
      </c>
      <c r="I3351" s="5"/>
    </row>
    <row r="3352" spans="1:9">
      <c r="A3352" s="156">
        <f>'Reported burning'!A3358</f>
        <v>0</v>
      </c>
      <c r="B3352" s="156">
        <f>'Reported burning'!B3358</f>
        <v>0</v>
      </c>
      <c r="C3352" s="156">
        <f>'Reported burning'!C3358</f>
        <v>0</v>
      </c>
      <c r="D3352" s="156">
        <f>'Reported burning'!D3358</f>
        <v>0</v>
      </c>
      <c r="E3352" s="156">
        <f>'Reported burning'!E3358</f>
        <v>0</v>
      </c>
      <c r="F3352" s="156">
        <f>'Reported burning'!F3358</f>
        <v>0</v>
      </c>
      <c r="G3352" s="156">
        <f>'Reported burning'!G3358</f>
        <v>0</v>
      </c>
      <c r="H3352" s="156">
        <f>'Reported burning'!H3358</f>
        <v>0</v>
      </c>
      <c r="I3352" s="5"/>
    </row>
    <row r="3353" spans="1:9">
      <c r="A3353" s="156">
        <f>'Reported burning'!A3359</f>
        <v>0</v>
      </c>
      <c r="B3353" s="156">
        <f>'Reported burning'!B3359</f>
        <v>0</v>
      </c>
      <c r="C3353" s="156">
        <f>'Reported burning'!C3359</f>
        <v>0</v>
      </c>
      <c r="D3353" s="156">
        <f>'Reported burning'!D3359</f>
        <v>0</v>
      </c>
      <c r="E3353" s="156">
        <f>'Reported burning'!E3359</f>
        <v>0</v>
      </c>
      <c r="F3353" s="156">
        <f>'Reported burning'!F3359</f>
        <v>0</v>
      </c>
      <c r="G3353" s="156">
        <f>'Reported burning'!G3359</f>
        <v>0</v>
      </c>
      <c r="H3353" s="156">
        <f>'Reported burning'!H3359</f>
        <v>0</v>
      </c>
      <c r="I3353" s="5"/>
    </row>
    <row r="3354" spans="1:9">
      <c r="A3354" s="156">
        <f>'Reported burning'!A3360</f>
        <v>0</v>
      </c>
      <c r="B3354" s="156">
        <f>'Reported burning'!B3360</f>
        <v>0</v>
      </c>
      <c r="C3354" s="156">
        <f>'Reported burning'!C3360</f>
        <v>0</v>
      </c>
      <c r="D3354" s="156">
        <f>'Reported burning'!D3360</f>
        <v>0</v>
      </c>
      <c r="E3354" s="156">
        <f>'Reported burning'!E3360</f>
        <v>0</v>
      </c>
      <c r="F3354" s="156">
        <f>'Reported burning'!F3360</f>
        <v>0</v>
      </c>
      <c r="G3354" s="156">
        <f>'Reported burning'!G3360</f>
        <v>0</v>
      </c>
      <c r="H3354" s="156">
        <f>'Reported burning'!H3360</f>
        <v>0</v>
      </c>
      <c r="I3354" s="5"/>
    </row>
    <row r="3355" spans="1:9">
      <c r="A3355" s="156">
        <f>'Reported burning'!A3361</f>
        <v>0</v>
      </c>
      <c r="B3355" s="156">
        <f>'Reported burning'!B3361</f>
        <v>0</v>
      </c>
      <c r="C3355" s="156">
        <f>'Reported burning'!C3361</f>
        <v>0</v>
      </c>
      <c r="D3355" s="156">
        <f>'Reported burning'!D3361</f>
        <v>0</v>
      </c>
      <c r="E3355" s="156">
        <f>'Reported burning'!E3361</f>
        <v>0</v>
      </c>
      <c r="F3355" s="156">
        <f>'Reported burning'!F3361</f>
        <v>0</v>
      </c>
      <c r="G3355" s="156">
        <f>'Reported burning'!G3361</f>
        <v>0</v>
      </c>
      <c r="H3355" s="156">
        <f>'Reported burning'!H3361</f>
        <v>0</v>
      </c>
      <c r="I3355" s="5"/>
    </row>
    <row r="3356" spans="1:9">
      <c r="A3356" s="156">
        <f>'Reported burning'!A3362</f>
        <v>0</v>
      </c>
      <c r="B3356" s="156">
        <f>'Reported burning'!B3362</f>
        <v>0</v>
      </c>
      <c r="C3356" s="156">
        <f>'Reported burning'!C3362</f>
        <v>0</v>
      </c>
      <c r="D3356" s="156">
        <f>'Reported burning'!D3362</f>
        <v>0</v>
      </c>
      <c r="E3356" s="156">
        <f>'Reported burning'!E3362</f>
        <v>0</v>
      </c>
      <c r="F3356" s="156">
        <f>'Reported burning'!F3362</f>
        <v>0</v>
      </c>
      <c r="G3356" s="156">
        <f>'Reported burning'!G3362</f>
        <v>0</v>
      </c>
      <c r="H3356" s="156">
        <f>'Reported burning'!H3362</f>
        <v>0</v>
      </c>
      <c r="I3356" s="5"/>
    </row>
    <row r="3357" spans="1:9">
      <c r="A3357" s="156">
        <f>'Reported burning'!A3363</f>
        <v>0</v>
      </c>
      <c r="B3357" s="156">
        <f>'Reported burning'!B3363</f>
        <v>0</v>
      </c>
      <c r="C3357" s="156">
        <f>'Reported burning'!C3363</f>
        <v>0</v>
      </c>
      <c r="D3357" s="156">
        <f>'Reported burning'!D3363</f>
        <v>0</v>
      </c>
      <c r="E3357" s="156">
        <f>'Reported burning'!E3363</f>
        <v>0</v>
      </c>
      <c r="F3357" s="156">
        <f>'Reported burning'!F3363</f>
        <v>0</v>
      </c>
      <c r="G3357" s="156">
        <f>'Reported burning'!G3363</f>
        <v>0</v>
      </c>
      <c r="H3357" s="156">
        <f>'Reported burning'!H3363</f>
        <v>0</v>
      </c>
      <c r="I3357" s="5"/>
    </row>
    <row r="3358" spans="1:9">
      <c r="A3358" s="156">
        <f>'Reported burning'!A3364</f>
        <v>0</v>
      </c>
      <c r="B3358" s="156">
        <f>'Reported burning'!B3364</f>
        <v>0</v>
      </c>
      <c r="C3358" s="156">
        <f>'Reported burning'!C3364</f>
        <v>0</v>
      </c>
      <c r="D3358" s="156">
        <f>'Reported burning'!D3364</f>
        <v>0</v>
      </c>
      <c r="E3358" s="156">
        <f>'Reported burning'!E3364</f>
        <v>0</v>
      </c>
      <c r="F3358" s="156">
        <f>'Reported burning'!F3364</f>
        <v>0</v>
      </c>
      <c r="G3358" s="156">
        <f>'Reported burning'!G3364</f>
        <v>0</v>
      </c>
      <c r="H3358" s="156">
        <f>'Reported burning'!H3364</f>
        <v>0</v>
      </c>
      <c r="I3358" s="5"/>
    </row>
    <row r="3359" spans="1:9">
      <c r="A3359" s="156">
        <f>'Reported burning'!A3365</f>
        <v>0</v>
      </c>
      <c r="B3359" s="156">
        <f>'Reported burning'!B3365</f>
        <v>0</v>
      </c>
      <c r="C3359" s="156">
        <f>'Reported burning'!C3365</f>
        <v>0</v>
      </c>
      <c r="D3359" s="156">
        <f>'Reported burning'!D3365</f>
        <v>0</v>
      </c>
      <c r="E3359" s="156">
        <f>'Reported burning'!E3365</f>
        <v>0</v>
      </c>
      <c r="F3359" s="156">
        <f>'Reported burning'!F3365</f>
        <v>0</v>
      </c>
      <c r="G3359" s="156">
        <f>'Reported burning'!G3365</f>
        <v>0</v>
      </c>
      <c r="H3359" s="156">
        <f>'Reported burning'!H3365</f>
        <v>0</v>
      </c>
      <c r="I3359" s="5"/>
    </row>
    <row r="3360" spans="1:9">
      <c r="A3360" s="156">
        <f>'Reported burning'!A3366</f>
        <v>0</v>
      </c>
      <c r="B3360" s="156">
        <f>'Reported burning'!B3366</f>
        <v>0</v>
      </c>
      <c r="C3360" s="156">
        <f>'Reported burning'!C3366</f>
        <v>0</v>
      </c>
      <c r="D3360" s="156">
        <f>'Reported burning'!D3366</f>
        <v>0</v>
      </c>
      <c r="E3360" s="156">
        <f>'Reported burning'!E3366</f>
        <v>0</v>
      </c>
      <c r="F3360" s="156">
        <f>'Reported burning'!F3366</f>
        <v>0</v>
      </c>
      <c r="G3360" s="156">
        <f>'Reported burning'!G3366</f>
        <v>0</v>
      </c>
      <c r="H3360" s="156">
        <f>'Reported burning'!H3366</f>
        <v>0</v>
      </c>
      <c r="I3360" s="5"/>
    </row>
    <row r="3361" spans="1:9">
      <c r="A3361" s="156">
        <f>'Reported burning'!A3367</f>
        <v>0</v>
      </c>
      <c r="B3361" s="156">
        <f>'Reported burning'!B3367</f>
        <v>0</v>
      </c>
      <c r="C3361" s="156">
        <f>'Reported burning'!C3367</f>
        <v>0</v>
      </c>
      <c r="D3361" s="156">
        <f>'Reported burning'!D3367</f>
        <v>0</v>
      </c>
      <c r="E3361" s="156">
        <f>'Reported burning'!E3367</f>
        <v>0</v>
      </c>
      <c r="F3361" s="156">
        <f>'Reported burning'!F3367</f>
        <v>0</v>
      </c>
      <c r="G3361" s="156">
        <f>'Reported burning'!G3367</f>
        <v>0</v>
      </c>
      <c r="H3361" s="156">
        <f>'Reported burning'!H3367</f>
        <v>0</v>
      </c>
      <c r="I3361" s="5"/>
    </row>
    <row r="3362" spans="1:9">
      <c r="A3362" s="156">
        <f>'Reported burning'!A3368</f>
        <v>0</v>
      </c>
      <c r="B3362" s="156">
        <f>'Reported burning'!B3368</f>
        <v>0</v>
      </c>
      <c r="C3362" s="156">
        <f>'Reported burning'!C3368</f>
        <v>0</v>
      </c>
      <c r="D3362" s="156">
        <f>'Reported burning'!D3368</f>
        <v>0</v>
      </c>
      <c r="E3362" s="156">
        <f>'Reported burning'!E3368</f>
        <v>0</v>
      </c>
      <c r="F3362" s="156">
        <f>'Reported burning'!F3368</f>
        <v>0</v>
      </c>
      <c r="G3362" s="156">
        <f>'Reported burning'!G3368</f>
        <v>0</v>
      </c>
      <c r="H3362" s="156">
        <f>'Reported burning'!H3368</f>
        <v>0</v>
      </c>
      <c r="I3362" s="5"/>
    </row>
    <row r="3363" spans="1:9">
      <c r="A3363" s="156">
        <f>'Reported burning'!A3369</f>
        <v>0</v>
      </c>
      <c r="B3363" s="156">
        <f>'Reported burning'!B3369</f>
        <v>0</v>
      </c>
      <c r="C3363" s="156">
        <f>'Reported burning'!C3369</f>
        <v>0</v>
      </c>
      <c r="D3363" s="156">
        <f>'Reported burning'!D3369</f>
        <v>0</v>
      </c>
      <c r="E3363" s="156">
        <f>'Reported burning'!E3369</f>
        <v>0</v>
      </c>
      <c r="F3363" s="156">
        <f>'Reported burning'!F3369</f>
        <v>0</v>
      </c>
      <c r="G3363" s="156">
        <f>'Reported burning'!G3369</f>
        <v>0</v>
      </c>
      <c r="H3363" s="156">
        <f>'Reported burning'!H3369</f>
        <v>0</v>
      </c>
      <c r="I3363" s="5"/>
    </row>
    <row r="3364" spans="1:9">
      <c r="A3364" s="156">
        <f>'Reported burning'!A3370</f>
        <v>0</v>
      </c>
      <c r="B3364" s="156">
        <f>'Reported burning'!B3370</f>
        <v>0</v>
      </c>
      <c r="C3364" s="156">
        <f>'Reported burning'!C3370</f>
        <v>0</v>
      </c>
      <c r="D3364" s="156">
        <f>'Reported burning'!D3370</f>
        <v>0</v>
      </c>
      <c r="E3364" s="156">
        <f>'Reported burning'!E3370</f>
        <v>0</v>
      </c>
      <c r="F3364" s="156">
        <f>'Reported burning'!F3370</f>
        <v>0</v>
      </c>
      <c r="G3364" s="156">
        <f>'Reported burning'!G3370</f>
        <v>0</v>
      </c>
      <c r="H3364" s="156">
        <f>'Reported burning'!H3370</f>
        <v>0</v>
      </c>
      <c r="I3364" s="5"/>
    </row>
    <row r="3365" spans="1:9">
      <c r="A3365" s="156">
        <f>'Reported burning'!A3371</f>
        <v>0</v>
      </c>
      <c r="B3365" s="156">
        <f>'Reported burning'!B3371</f>
        <v>0</v>
      </c>
      <c r="C3365" s="156">
        <f>'Reported burning'!C3371</f>
        <v>0</v>
      </c>
      <c r="D3365" s="156">
        <f>'Reported burning'!D3371</f>
        <v>0</v>
      </c>
      <c r="E3365" s="156">
        <f>'Reported burning'!E3371</f>
        <v>0</v>
      </c>
      <c r="F3365" s="156">
        <f>'Reported burning'!F3371</f>
        <v>0</v>
      </c>
      <c r="G3365" s="156">
        <f>'Reported burning'!G3371</f>
        <v>0</v>
      </c>
      <c r="H3365" s="156">
        <f>'Reported burning'!H3371</f>
        <v>0</v>
      </c>
      <c r="I3365" s="5"/>
    </row>
    <row r="3366" spans="1:9">
      <c r="A3366" s="156">
        <f>'Reported burning'!A3372</f>
        <v>0</v>
      </c>
      <c r="B3366" s="156">
        <f>'Reported burning'!B3372</f>
        <v>0</v>
      </c>
      <c r="C3366" s="156">
        <f>'Reported burning'!C3372</f>
        <v>0</v>
      </c>
      <c r="D3366" s="156">
        <f>'Reported burning'!D3372</f>
        <v>0</v>
      </c>
      <c r="E3366" s="156">
        <f>'Reported burning'!E3372</f>
        <v>0</v>
      </c>
      <c r="F3366" s="156">
        <f>'Reported burning'!F3372</f>
        <v>0</v>
      </c>
      <c r="G3366" s="156">
        <f>'Reported burning'!G3372</f>
        <v>0</v>
      </c>
      <c r="H3366" s="156">
        <f>'Reported burning'!H3372</f>
        <v>0</v>
      </c>
      <c r="I3366" s="5"/>
    </row>
    <row r="3367" spans="1:9">
      <c r="A3367" s="156">
        <f>'Reported burning'!A3373</f>
        <v>0</v>
      </c>
      <c r="B3367" s="156">
        <f>'Reported burning'!B3373</f>
        <v>0</v>
      </c>
      <c r="C3367" s="156">
        <f>'Reported burning'!C3373</f>
        <v>0</v>
      </c>
      <c r="D3367" s="156">
        <f>'Reported burning'!D3373</f>
        <v>0</v>
      </c>
      <c r="E3367" s="156">
        <f>'Reported burning'!E3373</f>
        <v>0</v>
      </c>
      <c r="F3367" s="156">
        <f>'Reported burning'!F3373</f>
        <v>0</v>
      </c>
      <c r="G3367" s="156">
        <f>'Reported burning'!G3373</f>
        <v>0</v>
      </c>
      <c r="H3367" s="156">
        <f>'Reported burning'!H3373</f>
        <v>0</v>
      </c>
      <c r="I3367" s="5"/>
    </row>
    <row r="3368" spans="1:9">
      <c r="A3368" s="156">
        <f>'Reported burning'!A3374</f>
        <v>0</v>
      </c>
      <c r="B3368" s="156">
        <f>'Reported burning'!B3374</f>
        <v>0</v>
      </c>
      <c r="C3368" s="156">
        <f>'Reported burning'!C3374</f>
        <v>0</v>
      </c>
      <c r="D3368" s="156">
        <f>'Reported burning'!D3374</f>
        <v>0</v>
      </c>
      <c r="E3368" s="156">
        <f>'Reported burning'!E3374</f>
        <v>0</v>
      </c>
      <c r="F3368" s="156">
        <f>'Reported burning'!F3374</f>
        <v>0</v>
      </c>
      <c r="G3368" s="156">
        <f>'Reported burning'!G3374</f>
        <v>0</v>
      </c>
      <c r="H3368" s="156">
        <f>'Reported burning'!H3374</f>
        <v>0</v>
      </c>
      <c r="I3368" s="5"/>
    </row>
    <row r="3369" spans="1:9">
      <c r="A3369" s="156">
        <f>'Reported burning'!A3375</f>
        <v>0</v>
      </c>
      <c r="B3369" s="156">
        <f>'Reported burning'!B3375</f>
        <v>0</v>
      </c>
      <c r="C3369" s="156">
        <f>'Reported burning'!C3375</f>
        <v>0</v>
      </c>
      <c r="D3369" s="156">
        <f>'Reported burning'!D3375</f>
        <v>0</v>
      </c>
      <c r="E3369" s="156">
        <f>'Reported burning'!E3375</f>
        <v>0</v>
      </c>
      <c r="F3369" s="156">
        <f>'Reported burning'!F3375</f>
        <v>0</v>
      </c>
      <c r="G3369" s="156">
        <f>'Reported burning'!G3375</f>
        <v>0</v>
      </c>
      <c r="H3369" s="156">
        <f>'Reported burning'!H3375</f>
        <v>0</v>
      </c>
      <c r="I3369" s="5"/>
    </row>
    <row r="3370" spans="1:9">
      <c r="A3370" s="156">
        <f>'Reported burning'!A3376</f>
        <v>0</v>
      </c>
      <c r="B3370" s="156">
        <f>'Reported burning'!B3376</f>
        <v>0</v>
      </c>
      <c r="C3370" s="156">
        <f>'Reported burning'!C3376</f>
        <v>0</v>
      </c>
      <c r="D3370" s="156">
        <f>'Reported burning'!D3376</f>
        <v>0</v>
      </c>
      <c r="E3370" s="156">
        <f>'Reported burning'!E3376</f>
        <v>0</v>
      </c>
      <c r="F3370" s="156">
        <f>'Reported burning'!F3376</f>
        <v>0</v>
      </c>
      <c r="G3370" s="156">
        <f>'Reported burning'!G3376</f>
        <v>0</v>
      </c>
      <c r="H3370" s="156">
        <f>'Reported burning'!H3376</f>
        <v>0</v>
      </c>
      <c r="I3370" s="5"/>
    </row>
    <row r="3371" spans="1:9">
      <c r="A3371" s="156">
        <f>'Reported burning'!A3377</f>
        <v>0</v>
      </c>
      <c r="B3371" s="156">
        <f>'Reported burning'!B3377</f>
        <v>0</v>
      </c>
      <c r="C3371" s="156">
        <f>'Reported burning'!C3377</f>
        <v>0</v>
      </c>
      <c r="D3371" s="156">
        <f>'Reported burning'!D3377</f>
        <v>0</v>
      </c>
      <c r="E3371" s="156">
        <f>'Reported burning'!E3377</f>
        <v>0</v>
      </c>
      <c r="F3371" s="156">
        <f>'Reported burning'!F3377</f>
        <v>0</v>
      </c>
      <c r="G3371" s="156">
        <f>'Reported burning'!G3377</f>
        <v>0</v>
      </c>
      <c r="H3371" s="156">
        <f>'Reported burning'!H3377</f>
        <v>0</v>
      </c>
      <c r="I3371" s="5"/>
    </row>
    <row r="3372" spans="1:9">
      <c r="A3372" s="156">
        <f>'Reported burning'!A3378</f>
        <v>0</v>
      </c>
      <c r="B3372" s="156">
        <f>'Reported burning'!B3378</f>
        <v>0</v>
      </c>
      <c r="C3372" s="156">
        <f>'Reported burning'!C3378</f>
        <v>0</v>
      </c>
      <c r="D3372" s="156">
        <f>'Reported burning'!D3378</f>
        <v>0</v>
      </c>
      <c r="E3372" s="156">
        <f>'Reported burning'!E3378</f>
        <v>0</v>
      </c>
      <c r="F3372" s="156">
        <f>'Reported burning'!F3378</f>
        <v>0</v>
      </c>
      <c r="G3372" s="156">
        <f>'Reported burning'!G3378</f>
        <v>0</v>
      </c>
      <c r="H3372" s="156">
        <f>'Reported burning'!H3378</f>
        <v>0</v>
      </c>
      <c r="I3372" s="5"/>
    </row>
    <row r="3373" spans="1:9">
      <c r="A3373" s="156">
        <f>'Reported burning'!A3379</f>
        <v>0</v>
      </c>
      <c r="B3373" s="156">
        <f>'Reported burning'!B3379</f>
        <v>0</v>
      </c>
      <c r="C3373" s="156">
        <f>'Reported burning'!C3379</f>
        <v>0</v>
      </c>
      <c r="D3373" s="156">
        <f>'Reported burning'!D3379</f>
        <v>0</v>
      </c>
      <c r="E3373" s="156">
        <f>'Reported burning'!E3379</f>
        <v>0</v>
      </c>
      <c r="F3373" s="156">
        <f>'Reported burning'!F3379</f>
        <v>0</v>
      </c>
      <c r="G3373" s="156">
        <f>'Reported burning'!G3379</f>
        <v>0</v>
      </c>
      <c r="H3373" s="156">
        <f>'Reported burning'!H3379</f>
        <v>0</v>
      </c>
      <c r="I3373" s="5"/>
    </row>
    <row r="3374" spans="1:9">
      <c r="A3374" s="156">
        <f>'Reported burning'!A3380</f>
        <v>0</v>
      </c>
      <c r="B3374" s="156">
        <f>'Reported burning'!B3380</f>
        <v>0</v>
      </c>
      <c r="C3374" s="156">
        <f>'Reported burning'!C3380</f>
        <v>0</v>
      </c>
      <c r="D3374" s="156">
        <f>'Reported burning'!D3380</f>
        <v>0</v>
      </c>
      <c r="E3374" s="156">
        <f>'Reported burning'!E3380</f>
        <v>0</v>
      </c>
      <c r="F3374" s="156">
        <f>'Reported burning'!F3380</f>
        <v>0</v>
      </c>
      <c r="G3374" s="156">
        <f>'Reported burning'!G3380</f>
        <v>0</v>
      </c>
      <c r="H3374" s="156">
        <f>'Reported burning'!H3380</f>
        <v>0</v>
      </c>
      <c r="I3374" s="5"/>
    </row>
    <row r="3375" spans="1:9">
      <c r="A3375" s="156">
        <f>'Reported burning'!A3381</f>
        <v>0</v>
      </c>
      <c r="B3375" s="156">
        <f>'Reported burning'!B3381</f>
        <v>0</v>
      </c>
      <c r="C3375" s="156">
        <f>'Reported burning'!C3381</f>
        <v>0</v>
      </c>
      <c r="D3375" s="156">
        <f>'Reported burning'!D3381</f>
        <v>0</v>
      </c>
      <c r="E3375" s="156">
        <f>'Reported burning'!E3381</f>
        <v>0</v>
      </c>
      <c r="F3375" s="156">
        <f>'Reported burning'!F3381</f>
        <v>0</v>
      </c>
      <c r="G3375" s="156">
        <f>'Reported burning'!G3381</f>
        <v>0</v>
      </c>
      <c r="H3375" s="156">
        <f>'Reported burning'!H3381</f>
        <v>0</v>
      </c>
      <c r="I3375" s="5"/>
    </row>
    <row r="3376" spans="1:9">
      <c r="A3376" s="156">
        <f>'Reported burning'!A3382</f>
        <v>0</v>
      </c>
      <c r="B3376" s="156">
        <f>'Reported burning'!B3382</f>
        <v>0</v>
      </c>
      <c r="C3376" s="156">
        <f>'Reported burning'!C3382</f>
        <v>0</v>
      </c>
      <c r="D3376" s="156">
        <f>'Reported burning'!D3382</f>
        <v>0</v>
      </c>
      <c r="E3376" s="156">
        <f>'Reported burning'!E3382</f>
        <v>0</v>
      </c>
      <c r="F3376" s="156">
        <f>'Reported burning'!F3382</f>
        <v>0</v>
      </c>
      <c r="G3376" s="156">
        <f>'Reported burning'!G3382</f>
        <v>0</v>
      </c>
      <c r="H3376" s="156">
        <f>'Reported burning'!H3382</f>
        <v>0</v>
      </c>
      <c r="I3376" s="5"/>
    </row>
    <row r="3377" spans="1:9">
      <c r="A3377" s="156">
        <f>'Reported burning'!A3383</f>
        <v>0</v>
      </c>
      <c r="B3377" s="156">
        <f>'Reported burning'!B3383</f>
        <v>0</v>
      </c>
      <c r="C3377" s="156">
        <f>'Reported burning'!C3383</f>
        <v>0</v>
      </c>
      <c r="D3377" s="156">
        <f>'Reported burning'!D3383</f>
        <v>0</v>
      </c>
      <c r="E3377" s="156">
        <f>'Reported burning'!E3383</f>
        <v>0</v>
      </c>
      <c r="F3377" s="156">
        <f>'Reported burning'!F3383</f>
        <v>0</v>
      </c>
      <c r="G3377" s="156">
        <f>'Reported burning'!G3383</f>
        <v>0</v>
      </c>
      <c r="H3377" s="156">
        <f>'Reported burning'!H3383</f>
        <v>0</v>
      </c>
      <c r="I3377" s="5"/>
    </row>
    <row r="3378" spans="1:9">
      <c r="A3378" s="156">
        <f>'Reported burning'!A3384</f>
        <v>0</v>
      </c>
      <c r="B3378" s="156">
        <f>'Reported burning'!B3384</f>
        <v>0</v>
      </c>
      <c r="C3378" s="156">
        <f>'Reported burning'!C3384</f>
        <v>0</v>
      </c>
      <c r="D3378" s="156">
        <f>'Reported burning'!D3384</f>
        <v>0</v>
      </c>
      <c r="E3378" s="156">
        <f>'Reported burning'!E3384</f>
        <v>0</v>
      </c>
      <c r="F3378" s="156">
        <f>'Reported burning'!F3384</f>
        <v>0</v>
      </c>
      <c r="G3378" s="156">
        <f>'Reported burning'!G3384</f>
        <v>0</v>
      </c>
      <c r="H3378" s="156">
        <f>'Reported burning'!H3384</f>
        <v>0</v>
      </c>
      <c r="I3378" s="5"/>
    </row>
    <row r="3379" spans="1:9">
      <c r="A3379" s="156">
        <f>'Reported burning'!A3385</f>
        <v>0</v>
      </c>
      <c r="B3379" s="156">
        <f>'Reported burning'!B3385</f>
        <v>0</v>
      </c>
      <c r="C3379" s="156">
        <f>'Reported burning'!C3385</f>
        <v>0</v>
      </c>
      <c r="D3379" s="156">
        <f>'Reported burning'!D3385</f>
        <v>0</v>
      </c>
      <c r="E3379" s="156">
        <f>'Reported burning'!E3385</f>
        <v>0</v>
      </c>
      <c r="F3379" s="156">
        <f>'Reported burning'!F3385</f>
        <v>0</v>
      </c>
      <c r="G3379" s="156">
        <f>'Reported burning'!G3385</f>
        <v>0</v>
      </c>
      <c r="H3379" s="156">
        <f>'Reported burning'!H3385</f>
        <v>0</v>
      </c>
      <c r="I3379" s="5"/>
    </row>
    <row r="3380" spans="1:9">
      <c r="A3380" s="156">
        <f>'Reported burning'!A3386</f>
        <v>0</v>
      </c>
      <c r="B3380" s="156">
        <f>'Reported burning'!B3386</f>
        <v>0</v>
      </c>
      <c r="C3380" s="156">
        <f>'Reported burning'!C3386</f>
        <v>0</v>
      </c>
      <c r="D3380" s="156">
        <f>'Reported burning'!D3386</f>
        <v>0</v>
      </c>
      <c r="E3380" s="156">
        <f>'Reported burning'!E3386</f>
        <v>0</v>
      </c>
      <c r="F3380" s="156">
        <f>'Reported burning'!F3386</f>
        <v>0</v>
      </c>
      <c r="G3380" s="156">
        <f>'Reported burning'!G3386</f>
        <v>0</v>
      </c>
      <c r="H3380" s="156">
        <f>'Reported burning'!H3386</f>
        <v>0</v>
      </c>
      <c r="I3380" s="5"/>
    </row>
    <row r="3381" spans="1:9">
      <c r="A3381" s="156">
        <f>'Reported burning'!A3387</f>
        <v>0</v>
      </c>
      <c r="B3381" s="156">
        <f>'Reported burning'!B3387</f>
        <v>0</v>
      </c>
      <c r="C3381" s="156">
        <f>'Reported burning'!C3387</f>
        <v>0</v>
      </c>
      <c r="D3381" s="156">
        <f>'Reported burning'!D3387</f>
        <v>0</v>
      </c>
      <c r="E3381" s="156">
        <f>'Reported burning'!E3387</f>
        <v>0</v>
      </c>
      <c r="F3381" s="156">
        <f>'Reported burning'!F3387</f>
        <v>0</v>
      </c>
      <c r="G3381" s="156">
        <f>'Reported burning'!G3387</f>
        <v>0</v>
      </c>
      <c r="H3381" s="156">
        <f>'Reported burning'!H3387</f>
        <v>0</v>
      </c>
      <c r="I3381" s="5"/>
    </row>
    <row r="3382" spans="1:9">
      <c r="A3382" s="156">
        <f>'Reported burning'!A3388</f>
        <v>0</v>
      </c>
      <c r="B3382" s="156">
        <f>'Reported burning'!B3388</f>
        <v>0</v>
      </c>
      <c r="C3382" s="156">
        <f>'Reported burning'!C3388</f>
        <v>0</v>
      </c>
      <c r="D3382" s="156">
        <f>'Reported burning'!D3388</f>
        <v>0</v>
      </c>
      <c r="E3382" s="156">
        <f>'Reported burning'!E3388</f>
        <v>0</v>
      </c>
      <c r="F3382" s="156">
        <f>'Reported burning'!F3388</f>
        <v>0</v>
      </c>
      <c r="G3382" s="156">
        <f>'Reported burning'!G3388</f>
        <v>0</v>
      </c>
      <c r="H3382" s="156">
        <f>'Reported burning'!H3388</f>
        <v>0</v>
      </c>
      <c r="I3382" s="5"/>
    </row>
    <row r="3383" spans="1:9">
      <c r="A3383" s="156">
        <f>'Reported burning'!A3389</f>
        <v>0</v>
      </c>
      <c r="B3383" s="156">
        <f>'Reported burning'!B3389</f>
        <v>0</v>
      </c>
      <c r="C3383" s="156">
        <f>'Reported burning'!C3389</f>
        <v>0</v>
      </c>
      <c r="D3383" s="156">
        <f>'Reported burning'!D3389</f>
        <v>0</v>
      </c>
      <c r="E3383" s="156">
        <f>'Reported burning'!E3389</f>
        <v>0</v>
      </c>
      <c r="F3383" s="156">
        <f>'Reported burning'!F3389</f>
        <v>0</v>
      </c>
      <c r="G3383" s="156">
        <f>'Reported burning'!G3389</f>
        <v>0</v>
      </c>
      <c r="H3383" s="156">
        <f>'Reported burning'!H3389</f>
        <v>0</v>
      </c>
      <c r="I3383" s="5"/>
    </row>
    <row r="3384" spans="1:9">
      <c r="A3384" s="156">
        <f>'Reported burning'!A3390</f>
        <v>0</v>
      </c>
      <c r="B3384" s="156">
        <f>'Reported burning'!B3390</f>
        <v>0</v>
      </c>
      <c r="C3384" s="156">
        <f>'Reported burning'!C3390</f>
        <v>0</v>
      </c>
      <c r="D3384" s="156">
        <f>'Reported burning'!D3390</f>
        <v>0</v>
      </c>
      <c r="E3384" s="156">
        <f>'Reported burning'!E3390</f>
        <v>0</v>
      </c>
      <c r="F3384" s="156">
        <f>'Reported burning'!F3390</f>
        <v>0</v>
      </c>
      <c r="G3384" s="156">
        <f>'Reported burning'!G3390</f>
        <v>0</v>
      </c>
      <c r="H3384" s="156">
        <f>'Reported burning'!H3390</f>
        <v>0</v>
      </c>
      <c r="I3384" s="5"/>
    </row>
    <row r="3385" spans="1:9">
      <c r="A3385" s="156">
        <f>'Reported burning'!A3391</f>
        <v>0</v>
      </c>
      <c r="B3385" s="156">
        <f>'Reported burning'!B3391</f>
        <v>0</v>
      </c>
      <c r="C3385" s="156">
        <f>'Reported burning'!C3391</f>
        <v>0</v>
      </c>
      <c r="D3385" s="156">
        <f>'Reported burning'!D3391</f>
        <v>0</v>
      </c>
      <c r="E3385" s="156">
        <f>'Reported burning'!E3391</f>
        <v>0</v>
      </c>
      <c r="F3385" s="156">
        <f>'Reported burning'!F3391</f>
        <v>0</v>
      </c>
      <c r="G3385" s="156">
        <f>'Reported burning'!G3391</f>
        <v>0</v>
      </c>
      <c r="H3385" s="156">
        <f>'Reported burning'!H3391</f>
        <v>0</v>
      </c>
      <c r="I3385" s="5"/>
    </row>
    <row r="3386" spans="1:9">
      <c r="A3386" s="156">
        <f>'Reported burning'!A3392</f>
        <v>0</v>
      </c>
      <c r="B3386" s="156">
        <f>'Reported burning'!B3392</f>
        <v>0</v>
      </c>
      <c r="C3386" s="156">
        <f>'Reported burning'!C3392</f>
        <v>0</v>
      </c>
      <c r="D3386" s="156">
        <f>'Reported burning'!D3392</f>
        <v>0</v>
      </c>
      <c r="E3386" s="156">
        <f>'Reported burning'!E3392</f>
        <v>0</v>
      </c>
      <c r="F3386" s="156">
        <f>'Reported burning'!F3392</f>
        <v>0</v>
      </c>
      <c r="G3386" s="156">
        <f>'Reported burning'!G3392</f>
        <v>0</v>
      </c>
      <c r="H3386" s="156">
        <f>'Reported burning'!H3392</f>
        <v>0</v>
      </c>
      <c r="I3386" s="5"/>
    </row>
    <row r="3387" spans="1:9">
      <c r="A3387" s="156">
        <f>'Reported burning'!A3393</f>
        <v>0</v>
      </c>
      <c r="B3387" s="156">
        <f>'Reported burning'!B3393</f>
        <v>0</v>
      </c>
      <c r="C3387" s="156">
        <f>'Reported burning'!C3393</f>
        <v>0</v>
      </c>
      <c r="D3387" s="156">
        <f>'Reported burning'!D3393</f>
        <v>0</v>
      </c>
      <c r="E3387" s="156">
        <f>'Reported burning'!E3393</f>
        <v>0</v>
      </c>
      <c r="F3387" s="156">
        <f>'Reported burning'!F3393</f>
        <v>0</v>
      </c>
      <c r="G3387" s="156">
        <f>'Reported burning'!G3393</f>
        <v>0</v>
      </c>
      <c r="H3387" s="156">
        <f>'Reported burning'!H3393</f>
        <v>0</v>
      </c>
      <c r="I3387" s="5"/>
    </row>
    <row r="3388" spans="1:9">
      <c r="A3388" s="156">
        <f>'Reported burning'!A3394</f>
        <v>0</v>
      </c>
      <c r="B3388" s="156">
        <f>'Reported burning'!B3394</f>
        <v>0</v>
      </c>
      <c r="C3388" s="156">
        <f>'Reported burning'!C3394</f>
        <v>0</v>
      </c>
      <c r="D3388" s="156">
        <f>'Reported burning'!D3394</f>
        <v>0</v>
      </c>
      <c r="E3388" s="156">
        <f>'Reported burning'!E3394</f>
        <v>0</v>
      </c>
      <c r="F3388" s="156">
        <f>'Reported burning'!F3394</f>
        <v>0</v>
      </c>
      <c r="G3388" s="156">
        <f>'Reported burning'!G3394</f>
        <v>0</v>
      </c>
      <c r="H3388" s="156">
        <f>'Reported burning'!H3394</f>
        <v>0</v>
      </c>
      <c r="I3388" s="5"/>
    </row>
    <row r="3389" spans="1:9">
      <c r="A3389" s="156">
        <f>'Reported burning'!A3395</f>
        <v>0</v>
      </c>
      <c r="B3389" s="156">
        <f>'Reported burning'!B3395</f>
        <v>0</v>
      </c>
      <c r="C3389" s="156">
        <f>'Reported burning'!C3395</f>
        <v>0</v>
      </c>
      <c r="D3389" s="156">
        <f>'Reported burning'!D3395</f>
        <v>0</v>
      </c>
      <c r="E3389" s="156">
        <f>'Reported burning'!E3395</f>
        <v>0</v>
      </c>
      <c r="F3389" s="156">
        <f>'Reported burning'!F3395</f>
        <v>0</v>
      </c>
      <c r="G3389" s="156">
        <f>'Reported burning'!G3395</f>
        <v>0</v>
      </c>
      <c r="H3389" s="156">
        <f>'Reported burning'!H3395</f>
        <v>0</v>
      </c>
      <c r="I3389" s="5"/>
    </row>
    <row r="3390" spans="1:9">
      <c r="A3390" s="156">
        <f>'Reported burning'!A3396</f>
        <v>0</v>
      </c>
      <c r="B3390" s="156">
        <f>'Reported burning'!B3396</f>
        <v>0</v>
      </c>
      <c r="C3390" s="156">
        <f>'Reported burning'!C3396</f>
        <v>0</v>
      </c>
      <c r="D3390" s="156">
        <f>'Reported burning'!D3396</f>
        <v>0</v>
      </c>
      <c r="E3390" s="156">
        <f>'Reported burning'!E3396</f>
        <v>0</v>
      </c>
      <c r="F3390" s="156">
        <f>'Reported burning'!F3396</f>
        <v>0</v>
      </c>
      <c r="G3390" s="156">
        <f>'Reported burning'!G3396</f>
        <v>0</v>
      </c>
      <c r="H3390" s="156">
        <f>'Reported burning'!H3396</f>
        <v>0</v>
      </c>
      <c r="I3390" s="5"/>
    </row>
    <row r="3391" spans="1:9">
      <c r="A3391" s="156">
        <f>'Reported burning'!A3397</f>
        <v>0</v>
      </c>
      <c r="B3391" s="156">
        <f>'Reported burning'!B3397</f>
        <v>0</v>
      </c>
      <c r="C3391" s="156">
        <f>'Reported burning'!C3397</f>
        <v>0</v>
      </c>
      <c r="D3391" s="156">
        <f>'Reported burning'!D3397</f>
        <v>0</v>
      </c>
      <c r="E3391" s="156">
        <f>'Reported burning'!E3397</f>
        <v>0</v>
      </c>
      <c r="F3391" s="156">
        <f>'Reported burning'!F3397</f>
        <v>0</v>
      </c>
      <c r="G3391" s="156">
        <f>'Reported burning'!G3397</f>
        <v>0</v>
      </c>
      <c r="H3391" s="156">
        <f>'Reported burning'!H3397</f>
        <v>0</v>
      </c>
      <c r="I3391" s="5"/>
    </row>
    <row r="3392" spans="1:9">
      <c r="A3392" s="156">
        <f>'Reported burning'!A3398</f>
        <v>0</v>
      </c>
      <c r="B3392" s="156">
        <f>'Reported burning'!B3398</f>
        <v>0</v>
      </c>
      <c r="C3392" s="156">
        <f>'Reported burning'!C3398</f>
        <v>0</v>
      </c>
      <c r="D3392" s="156">
        <f>'Reported burning'!D3398</f>
        <v>0</v>
      </c>
      <c r="E3392" s="156">
        <f>'Reported burning'!E3398</f>
        <v>0</v>
      </c>
      <c r="F3392" s="156">
        <f>'Reported burning'!F3398</f>
        <v>0</v>
      </c>
      <c r="G3392" s="156">
        <f>'Reported burning'!G3398</f>
        <v>0</v>
      </c>
      <c r="H3392" s="156">
        <f>'Reported burning'!H3398</f>
        <v>0</v>
      </c>
      <c r="I3392" s="5"/>
    </row>
    <row r="3393" spans="1:9">
      <c r="A3393" s="156">
        <f>'Reported burning'!A3399</f>
        <v>0</v>
      </c>
      <c r="B3393" s="156">
        <f>'Reported burning'!B3399</f>
        <v>0</v>
      </c>
      <c r="C3393" s="156">
        <f>'Reported burning'!C3399</f>
        <v>0</v>
      </c>
      <c r="D3393" s="156">
        <f>'Reported burning'!D3399</f>
        <v>0</v>
      </c>
      <c r="E3393" s="156">
        <f>'Reported burning'!E3399</f>
        <v>0</v>
      </c>
      <c r="F3393" s="156">
        <f>'Reported burning'!F3399</f>
        <v>0</v>
      </c>
      <c r="G3393" s="156">
        <f>'Reported burning'!G3399</f>
        <v>0</v>
      </c>
      <c r="H3393" s="156">
        <f>'Reported burning'!H3399</f>
        <v>0</v>
      </c>
      <c r="I3393" s="5"/>
    </row>
    <row r="3394" spans="1:9">
      <c r="A3394" s="156">
        <f>'Reported burning'!A3400</f>
        <v>0</v>
      </c>
      <c r="B3394" s="156">
        <f>'Reported burning'!B3400</f>
        <v>0</v>
      </c>
      <c r="C3394" s="156">
        <f>'Reported burning'!C3400</f>
        <v>0</v>
      </c>
      <c r="D3394" s="156">
        <f>'Reported burning'!D3400</f>
        <v>0</v>
      </c>
      <c r="E3394" s="156">
        <f>'Reported burning'!E3400</f>
        <v>0</v>
      </c>
      <c r="F3394" s="156">
        <f>'Reported burning'!F3400</f>
        <v>0</v>
      </c>
      <c r="G3394" s="156">
        <f>'Reported burning'!G3400</f>
        <v>0</v>
      </c>
      <c r="H3394" s="156">
        <f>'Reported burning'!H3400</f>
        <v>0</v>
      </c>
      <c r="I3394" s="5"/>
    </row>
    <row r="3395" spans="1:9">
      <c r="A3395" s="156">
        <f>'Reported burning'!A3401</f>
        <v>0</v>
      </c>
      <c r="B3395" s="156">
        <f>'Reported burning'!B3401</f>
        <v>0</v>
      </c>
      <c r="C3395" s="156">
        <f>'Reported burning'!C3401</f>
        <v>0</v>
      </c>
      <c r="D3395" s="156">
        <f>'Reported burning'!D3401</f>
        <v>0</v>
      </c>
      <c r="E3395" s="156">
        <f>'Reported burning'!E3401</f>
        <v>0</v>
      </c>
      <c r="F3395" s="156">
        <f>'Reported burning'!F3401</f>
        <v>0</v>
      </c>
      <c r="G3395" s="156">
        <f>'Reported burning'!G3401</f>
        <v>0</v>
      </c>
      <c r="H3395" s="156">
        <f>'Reported burning'!H3401</f>
        <v>0</v>
      </c>
      <c r="I3395" s="5"/>
    </row>
    <row r="3396" spans="1:9">
      <c r="A3396" s="156">
        <f>'Reported burning'!A3402</f>
        <v>0</v>
      </c>
      <c r="B3396" s="156">
        <f>'Reported burning'!B3402</f>
        <v>0</v>
      </c>
      <c r="C3396" s="156">
        <f>'Reported burning'!C3402</f>
        <v>0</v>
      </c>
      <c r="D3396" s="156">
        <f>'Reported burning'!D3402</f>
        <v>0</v>
      </c>
      <c r="E3396" s="156">
        <f>'Reported burning'!E3402</f>
        <v>0</v>
      </c>
      <c r="F3396" s="156">
        <f>'Reported burning'!F3402</f>
        <v>0</v>
      </c>
      <c r="G3396" s="156">
        <f>'Reported burning'!G3402</f>
        <v>0</v>
      </c>
      <c r="H3396" s="156">
        <f>'Reported burning'!H3402</f>
        <v>0</v>
      </c>
      <c r="I3396" s="5"/>
    </row>
    <row r="3397" spans="1:9">
      <c r="A3397" s="156">
        <f>'Reported burning'!A3403</f>
        <v>0</v>
      </c>
      <c r="B3397" s="156">
        <f>'Reported burning'!B3403</f>
        <v>0</v>
      </c>
      <c r="C3397" s="156">
        <f>'Reported burning'!C3403</f>
        <v>0</v>
      </c>
      <c r="D3397" s="156">
        <f>'Reported burning'!D3403</f>
        <v>0</v>
      </c>
      <c r="E3397" s="156">
        <f>'Reported burning'!E3403</f>
        <v>0</v>
      </c>
      <c r="F3397" s="156">
        <f>'Reported burning'!F3403</f>
        <v>0</v>
      </c>
      <c r="G3397" s="156">
        <f>'Reported burning'!G3403</f>
        <v>0</v>
      </c>
      <c r="H3397" s="156">
        <f>'Reported burning'!H3403</f>
        <v>0</v>
      </c>
      <c r="I3397" s="5"/>
    </row>
    <row r="3398" spans="1:9">
      <c r="A3398" s="156">
        <f>'Reported burning'!A3404</f>
        <v>0</v>
      </c>
      <c r="B3398" s="156">
        <f>'Reported burning'!B3404</f>
        <v>0</v>
      </c>
      <c r="C3398" s="156">
        <f>'Reported burning'!C3404</f>
        <v>0</v>
      </c>
      <c r="D3398" s="156">
        <f>'Reported burning'!D3404</f>
        <v>0</v>
      </c>
      <c r="E3398" s="156">
        <f>'Reported burning'!E3404</f>
        <v>0</v>
      </c>
      <c r="F3398" s="156">
        <f>'Reported burning'!F3404</f>
        <v>0</v>
      </c>
      <c r="G3398" s="156">
        <f>'Reported burning'!G3404</f>
        <v>0</v>
      </c>
      <c r="H3398" s="156">
        <f>'Reported burning'!H3404</f>
        <v>0</v>
      </c>
      <c r="I3398" s="5"/>
    </row>
    <row r="3399" spans="1:9">
      <c r="A3399" s="156">
        <f>'Reported burning'!A3405</f>
        <v>0</v>
      </c>
      <c r="B3399" s="156">
        <f>'Reported burning'!B3405</f>
        <v>0</v>
      </c>
      <c r="C3399" s="156">
        <f>'Reported burning'!C3405</f>
        <v>0</v>
      </c>
      <c r="D3399" s="156">
        <f>'Reported burning'!D3405</f>
        <v>0</v>
      </c>
      <c r="E3399" s="156">
        <f>'Reported burning'!E3405</f>
        <v>0</v>
      </c>
      <c r="F3399" s="156">
        <f>'Reported burning'!F3405</f>
        <v>0</v>
      </c>
      <c r="G3399" s="156">
        <f>'Reported burning'!G3405</f>
        <v>0</v>
      </c>
      <c r="H3399" s="156">
        <f>'Reported burning'!H3405</f>
        <v>0</v>
      </c>
      <c r="I3399" s="5"/>
    </row>
    <row r="3400" spans="1:9">
      <c r="A3400" s="156">
        <f>'Reported burning'!A3406</f>
        <v>0</v>
      </c>
      <c r="B3400" s="156">
        <f>'Reported burning'!B3406</f>
        <v>0</v>
      </c>
      <c r="C3400" s="156">
        <f>'Reported burning'!C3406</f>
        <v>0</v>
      </c>
      <c r="D3400" s="156">
        <f>'Reported burning'!D3406</f>
        <v>0</v>
      </c>
      <c r="E3400" s="156">
        <f>'Reported burning'!E3406</f>
        <v>0</v>
      </c>
      <c r="F3400" s="156">
        <f>'Reported burning'!F3406</f>
        <v>0</v>
      </c>
      <c r="G3400" s="156">
        <f>'Reported burning'!G3406</f>
        <v>0</v>
      </c>
      <c r="H3400" s="156">
        <f>'Reported burning'!H3406</f>
        <v>0</v>
      </c>
      <c r="I3400" s="5"/>
    </row>
    <row r="3401" spans="1:9">
      <c r="A3401" s="156">
        <f>'Reported burning'!A3407</f>
        <v>0</v>
      </c>
      <c r="B3401" s="156">
        <f>'Reported burning'!B3407</f>
        <v>0</v>
      </c>
      <c r="C3401" s="156">
        <f>'Reported burning'!C3407</f>
        <v>0</v>
      </c>
      <c r="D3401" s="156">
        <f>'Reported burning'!D3407</f>
        <v>0</v>
      </c>
      <c r="E3401" s="156">
        <f>'Reported burning'!E3407</f>
        <v>0</v>
      </c>
      <c r="F3401" s="156">
        <f>'Reported burning'!F3407</f>
        <v>0</v>
      </c>
      <c r="G3401" s="156">
        <f>'Reported burning'!G3407</f>
        <v>0</v>
      </c>
      <c r="H3401" s="156">
        <f>'Reported burning'!H3407</f>
        <v>0</v>
      </c>
      <c r="I3401" s="5"/>
    </row>
    <row r="3402" spans="1:9">
      <c r="A3402" s="156">
        <f>'Reported burning'!A3408</f>
        <v>0</v>
      </c>
      <c r="B3402" s="156">
        <f>'Reported burning'!B3408</f>
        <v>0</v>
      </c>
      <c r="C3402" s="156">
        <f>'Reported burning'!C3408</f>
        <v>0</v>
      </c>
      <c r="D3402" s="156">
        <f>'Reported burning'!D3408</f>
        <v>0</v>
      </c>
      <c r="E3402" s="156">
        <f>'Reported burning'!E3408</f>
        <v>0</v>
      </c>
      <c r="F3402" s="156">
        <f>'Reported burning'!F3408</f>
        <v>0</v>
      </c>
      <c r="G3402" s="156">
        <f>'Reported burning'!G3408</f>
        <v>0</v>
      </c>
      <c r="H3402" s="156">
        <f>'Reported burning'!H3408</f>
        <v>0</v>
      </c>
      <c r="I3402" s="5"/>
    </row>
    <row r="3403" spans="1:9">
      <c r="A3403" s="156">
        <f>'Reported burning'!A3409</f>
        <v>0</v>
      </c>
      <c r="B3403" s="156">
        <f>'Reported burning'!B3409</f>
        <v>0</v>
      </c>
      <c r="C3403" s="156">
        <f>'Reported burning'!C3409</f>
        <v>0</v>
      </c>
      <c r="D3403" s="156">
        <f>'Reported burning'!D3409</f>
        <v>0</v>
      </c>
      <c r="E3403" s="156">
        <f>'Reported burning'!E3409</f>
        <v>0</v>
      </c>
      <c r="F3403" s="156">
        <f>'Reported burning'!F3409</f>
        <v>0</v>
      </c>
      <c r="G3403" s="156">
        <f>'Reported burning'!G3409</f>
        <v>0</v>
      </c>
      <c r="H3403" s="156">
        <f>'Reported burning'!H3409</f>
        <v>0</v>
      </c>
      <c r="I3403" s="5"/>
    </row>
    <row r="3404" spans="1:9">
      <c r="A3404" s="156">
        <f>'Reported burning'!A3410</f>
        <v>0</v>
      </c>
      <c r="B3404" s="156">
        <f>'Reported burning'!B3410</f>
        <v>0</v>
      </c>
      <c r="C3404" s="156">
        <f>'Reported burning'!C3410</f>
        <v>0</v>
      </c>
      <c r="D3404" s="156">
        <f>'Reported burning'!D3410</f>
        <v>0</v>
      </c>
      <c r="E3404" s="156">
        <f>'Reported burning'!E3410</f>
        <v>0</v>
      </c>
      <c r="F3404" s="156">
        <f>'Reported burning'!F3410</f>
        <v>0</v>
      </c>
      <c r="G3404" s="156">
        <f>'Reported burning'!G3410</f>
        <v>0</v>
      </c>
      <c r="H3404" s="156">
        <f>'Reported burning'!H3410</f>
        <v>0</v>
      </c>
      <c r="I3404" s="5"/>
    </row>
    <row r="3405" spans="1:9">
      <c r="A3405" s="156">
        <f>'Reported burning'!A3411</f>
        <v>0</v>
      </c>
      <c r="B3405" s="156">
        <f>'Reported burning'!B3411</f>
        <v>0</v>
      </c>
      <c r="C3405" s="156">
        <f>'Reported burning'!C3411</f>
        <v>0</v>
      </c>
      <c r="D3405" s="156">
        <f>'Reported burning'!D3411</f>
        <v>0</v>
      </c>
      <c r="E3405" s="156">
        <f>'Reported burning'!E3411</f>
        <v>0</v>
      </c>
      <c r="F3405" s="156">
        <f>'Reported burning'!F3411</f>
        <v>0</v>
      </c>
      <c r="G3405" s="156">
        <f>'Reported burning'!G3411</f>
        <v>0</v>
      </c>
      <c r="H3405" s="156">
        <f>'Reported burning'!H3411</f>
        <v>0</v>
      </c>
      <c r="I3405" s="5"/>
    </row>
    <row r="3406" spans="1:9">
      <c r="A3406" s="156">
        <f>'Reported burning'!A3412</f>
        <v>0</v>
      </c>
      <c r="B3406" s="156">
        <f>'Reported burning'!B3412</f>
        <v>0</v>
      </c>
      <c r="C3406" s="156">
        <f>'Reported burning'!C3412</f>
        <v>0</v>
      </c>
      <c r="D3406" s="156">
        <f>'Reported burning'!D3412</f>
        <v>0</v>
      </c>
      <c r="E3406" s="156">
        <f>'Reported burning'!E3412</f>
        <v>0</v>
      </c>
      <c r="F3406" s="156">
        <f>'Reported burning'!F3412</f>
        <v>0</v>
      </c>
      <c r="G3406" s="156">
        <f>'Reported burning'!G3412</f>
        <v>0</v>
      </c>
      <c r="H3406" s="156">
        <f>'Reported burning'!H3412</f>
        <v>0</v>
      </c>
      <c r="I3406" s="5"/>
    </row>
    <row r="3407" spans="1:9">
      <c r="A3407" s="156">
        <f>'Reported burning'!A3413</f>
        <v>0</v>
      </c>
      <c r="B3407" s="156">
        <f>'Reported burning'!B3413</f>
        <v>0</v>
      </c>
      <c r="C3407" s="156">
        <f>'Reported burning'!C3413</f>
        <v>0</v>
      </c>
      <c r="D3407" s="156">
        <f>'Reported burning'!D3413</f>
        <v>0</v>
      </c>
      <c r="E3407" s="156">
        <f>'Reported burning'!E3413</f>
        <v>0</v>
      </c>
      <c r="F3407" s="156">
        <f>'Reported burning'!F3413</f>
        <v>0</v>
      </c>
      <c r="G3407" s="156">
        <f>'Reported burning'!G3413</f>
        <v>0</v>
      </c>
      <c r="H3407" s="156">
        <f>'Reported burning'!H3413</f>
        <v>0</v>
      </c>
      <c r="I3407" s="5"/>
    </row>
    <row r="3408" spans="1:9">
      <c r="A3408" s="156">
        <f>'Reported burning'!A3414</f>
        <v>0</v>
      </c>
      <c r="B3408" s="156">
        <f>'Reported burning'!B3414</f>
        <v>0</v>
      </c>
      <c r="C3408" s="156">
        <f>'Reported burning'!C3414</f>
        <v>0</v>
      </c>
      <c r="D3408" s="156">
        <f>'Reported burning'!D3414</f>
        <v>0</v>
      </c>
      <c r="E3408" s="156">
        <f>'Reported burning'!E3414</f>
        <v>0</v>
      </c>
      <c r="F3408" s="156">
        <f>'Reported burning'!F3414</f>
        <v>0</v>
      </c>
      <c r="G3408" s="156">
        <f>'Reported burning'!G3414</f>
        <v>0</v>
      </c>
      <c r="H3408" s="156">
        <f>'Reported burning'!H3414</f>
        <v>0</v>
      </c>
      <c r="I3408" s="5"/>
    </row>
    <row r="3409" spans="1:9">
      <c r="A3409" s="156">
        <f>'Reported burning'!A3415</f>
        <v>0</v>
      </c>
      <c r="B3409" s="156">
        <f>'Reported burning'!B3415</f>
        <v>0</v>
      </c>
      <c r="C3409" s="156">
        <f>'Reported burning'!C3415</f>
        <v>0</v>
      </c>
      <c r="D3409" s="156">
        <f>'Reported burning'!D3415</f>
        <v>0</v>
      </c>
      <c r="E3409" s="156">
        <f>'Reported burning'!E3415</f>
        <v>0</v>
      </c>
      <c r="F3409" s="156">
        <f>'Reported burning'!F3415</f>
        <v>0</v>
      </c>
      <c r="G3409" s="156">
        <f>'Reported burning'!G3415</f>
        <v>0</v>
      </c>
      <c r="H3409" s="156">
        <f>'Reported burning'!H3415</f>
        <v>0</v>
      </c>
      <c r="I3409" s="5"/>
    </row>
    <row r="3410" spans="1:9">
      <c r="A3410" s="156">
        <f>'Reported burning'!A3416</f>
        <v>0</v>
      </c>
      <c r="B3410" s="156">
        <f>'Reported burning'!B3416</f>
        <v>0</v>
      </c>
      <c r="C3410" s="156">
        <f>'Reported burning'!C3416</f>
        <v>0</v>
      </c>
      <c r="D3410" s="156">
        <f>'Reported burning'!D3416</f>
        <v>0</v>
      </c>
      <c r="E3410" s="156">
        <f>'Reported burning'!E3416</f>
        <v>0</v>
      </c>
      <c r="F3410" s="156">
        <f>'Reported burning'!F3416</f>
        <v>0</v>
      </c>
      <c r="G3410" s="156">
        <f>'Reported burning'!G3416</f>
        <v>0</v>
      </c>
      <c r="H3410" s="156">
        <f>'Reported burning'!H3416</f>
        <v>0</v>
      </c>
      <c r="I3410" s="5"/>
    </row>
    <row r="3411" spans="1:9">
      <c r="A3411" s="156">
        <f>'Reported burning'!A3417</f>
        <v>0</v>
      </c>
      <c r="B3411" s="156">
        <f>'Reported burning'!B3417</f>
        <v>0</v>
      </c>
      <c r="C3411" s="156">
        <f>'Reported burning'!C3417</f>
        <v>0</v>
      </c>
      <c r="D3411" s="156">
        <f>'Reported burning'!D3417</f>
        <v>0</v>
      </c>
      <c r="E3411" s="156">
        <f>'Reported burning'!E3417</f>
        <v>0</v>
      </c>
      <c r="F3411" s="156">
        <f>'Reported burning'!F3417</f>
        <v>0</v>
      </c>
      <c r="G3411" s="156">
        <f>'Reported burning'!G3417</f>
        <v>0</v>
      </c>
      <c r="H3411" s="156">
        <f>'Reported burning'!H3417</f>
        <v>0</v>
      </c>
      <c r="I3411" s="5"/>
    </row>
    <row r="3412" spans="1:9">
      <c r="A3412" s="156">
        <f>'Reported burning'!A3418</f>
        <v>0</v>
      </c>
      <c r="B3412" s="156">
        <f>'Reported burning'!B3418</f>
        <v>0</v>
      </c>
      <c r="C3412" s="156">
        <f>'Reported burning'!C3418</f>
        <v>0</v>
      </c>
      <c r="D3412" s="156">
        <f>'Reported burning'!D3418</f>
        <v>0</v>
      </c>
      <c r="E3412" s="156">
        <f>'Reported burning'!E3418</f>
        <v>0</v>
      </c>
      <c r="F3412" s="156">
        <f>'Reported burning'!F3418</f>
        <v>0</v>
      </c>
      <c r="G3412" s="156">
        <f>'Reported burning'!G3418</f>
        <v>0</v>
      </c>
      <c r="H3412" s="156">
        <f>'Reported burning'!H3418</f>
        <v>0</v>
      </c>
      <c r="I3412" s="5"/>
    </row>
    <row r="3413" spans="1:9">
      <c r="A3413" s="156">
        <f>'Reported burning'!A3419</f>
        <v>0</v>
      </c>
      <c r="B3413" s="156">
        <f>'Reported burning'!B3419</f>
        <v>0</v>
      </c>
      <c r="C3413" s="156">
        <f>'Reported burning'!C3419</f>
        <v>0</v>
      </c>
      <c r="D3413" s="156">
        <f>'Reported burning'!D3419</f>
        <v>0</v>
      </c>
      <c r="E3413" s="156">
        <f>'Reported burning'!E3419</f>
        <v>0</v>
      </c>
      <c r="F3413" s="156">
        <f>'Reported burning'!F3419</f>
        <v>0</v>
      </c>
      <c r="G3413" s="156">
        <f>'Reported burning'!G3419</f>
        <v>0</v>
      </c>
      <c r="H3413" s="156">
        <f>'Reported burning'!H3419</f>
        <v>0</v>
      </c>
      <c r="I3413" s="5"/>
    </row>
    <row r="3414" spans="1:9">
      <c r="A3414" s="156">
        <f>'Reported burning'!A3420</f>
        <v>0</v>
      </c>
      <c r="B3414" s="156">
        <f>'Reported burning'!B3420</f>
        <v>0</v>
      </c>
      <c r="C3414" s="156">
        <f>'Reported burning'!C3420</f>
        <v>0</v>
      </c>
      <c r="D3414" s="156">
        <f>'Reported burning'!D3420</f>
        <v>0</v>
      </c>
      <c r="E3414" s="156">
        <f>'Reported burning'!E3420</f>
        <v>0</v>
      </c>
      <c r="F3414" s="156">
        <f>'Reported burning'!F3420</f>
        <v>0</v>
      </c>
      <c r="G3414" s="156">
        <f>'Reported burning'!G3420</f>
        <v>0</v>
      </c>
      <c r="H3414" s="156">
        <f>'Reported burning'!H3420</f>
        <v>0</v>
      </c>
      <c r="I3414" s="5"/>
    </row>
    <row r="3415" spans="1:9">
      <c r="A3415" s="156">
        <f>'Reported burning'!A3421</f>
        <v>0</v>
      </c>
      <c r="B3415" s="156">
        <f>'Reported burning'!B3421</f>
        <v>0</v>
      </c>
      <c r="C3415" s="156">
        <f>'Reported burning'!C3421</f>
        <v>0</v>
      </c>
      <c r="D3415" s="156">
        <f>'Reported burning'!D3421</f>
        <v>0</v>
      </c>
      <c r="E3415" s="156">
        <f>'Reported burning'!E3421</f>
        <v>0</v>
      </c>
      <c r="F3415" s="156">
        <f>'Reported burning'!F3421</f>
        <v>0</v>
      </c>
      <c r="G3415" s="156">
        <f>'Reported burning'!G3421</f>
        <v>0</v>
      </c>
      <c r="H3415" s="156">
        <f>'Reported burning'!H3421</f>
        <v>0</v>
      </c>
      <c r="I3415" s="5"/>
    </row>
    <row r="3416" spans="1:9">
      <c r="A3416" s="156">
        <f>'Reported burning'!A3422</f>
        <v>0</v>
      </c>
      <c r="B3416" s="156">
        <f>'Reported burning'!B3422</f>
        <v>0</v>
      </c>
      <c r="C3416" s="156">
        <f>'Reported burning'!C3422</f>
        <v>0</v>
      </c>
      <c r="D3416" s="156">
        <f>'Reported burning'!D3422</f>
        <v>0</v>
      </c>
      <c r="E3416" s="156">
        <f>'Reported burning'!E3422</f>
        <v>0</v>
      </c>
      <c r="F3416" s="156">
        <f>'Reported burning'!F3422</f>
        <v>0</v>
      </c>
      <c r="G3416" s="156">
        <f>'Reported burning'!G3422</f>
        <v>0</v>
      </c>
      <c r="H3416" s="156">
        <f>'Reported burning'!H3422</f>
        <v>0</v>
      </c>
      <c r="I3416" s="5"/>
    </row>
    <row r="3417" spans="1:9">
      <c r="A3417" s="156">
        <f>'Reported burning'!A3423</f>
        <v>0</v>
      </c>
      <c r="B3417" s="156">
        <f>'Reported burning'!B3423</f>
        <v>0</v>
      </c>
      <c r="C3417" s="156">
        <f>'Reported burning'!C3423</f>
        <v>0</v>
      </c>
      <c r="D3417" s="156">
        <f>'Reported burning'!D3423</f>
        <v>0</v>
      </c>
      <c r="E3417" s="156">
        <f>'Reported burning'!E3423</f>
        <v>0</v>
      </c>
      <c r="F3417" s="156">
        <f>'Reported burning'!F3423</f>
        <v>0</v>
      </c>
      <c r="G3417" s="156">
        <f>'Reported burning'!G3423</f>
        <v>0</v>
      </c>
      <c r="H3417" s="156">
        <f>'Reported burning'!H3423</f>
        <v>0</v>
      </c>
      <c r="I3417" s="5"/>
    </row>
    <row r="3418" spans="1:9">
      <c r="A3418" s="156">
        <f>'Reported burning'!A3424</f>
        <v>0</v>
      </c>
      <c r="B3418" s="156">
        <f>'Reported burning'!B3424</f>
        <v>0</v>
      </c>
      <c r="C3418" s="156">
        <f>'Reported burning'!C3424</f>
        <v>0</v>
      </c>
      <c r="D3418" s="156">
        <f>'Reported burning'!D3424</f>
        <v>0</v>
      </c>
      <c r="E3418" s="156">
        <f>'Reported burning'!E3424</f>
        <v>0</v>
      </c>
      <c r="F3418" s="156">
        <f>'Reported burning'!F3424</f>
        <v>0</v>
      </c>
      <c r="G3418" s="156">
        <f>'Reported burning'!G3424</f>
        <v>0</v>
      </c>
      <c r="H3418" s="156">
        <f>'Reported burning'!H3424</f>
        <v>0</v>
      </c>
      <c r="I3418" s="5"/>
    </row>
    <row r="3419" spans="1:9">
      <c r="A3419" s="156">
        <f>'Reported burning'!A3425</f>
        <v>0</v>
      </c>
      <c r="B3419" s="156">
        <f>'Reported burning'!B3425</f>
        <v>0</v>
      </c>
      <c r="C3419" s="156">
        <f>'Reported burning'!C3425</f>
        <v>0</v>
      </c>
      <c r="D3419" s="156">
        <f>'Reported burning'!D3425</f>
        <v>0</v>
      </c>
      <c r="E3419" s="156">
        <f>'Reported burning'!E3425</f>
        <v>0</v>
      </c>
      <c r="F3419" s="156">
        <f>'Reported burning'!F3425</f>
        <v>0</v>
      </c>
      <c r="G3419" s="156">
        <f>'Reported burning'!G3425</f>
        <v>0</v>
      </c>
      <c r="H3419" s="156">
        <f>'Reported burning'!H3425</f>
        <v>0</v>
      </c>
      <c r="I3419" s="5"/>
    </row>
    <row r="3420" spans="1:9">
      <c r="A3420" s="156">
        <f>'Reported burning'!A3426</f>
        <v>0</v>
      </c>
      <c r="B3420" s="156">
        <f>'Reported burning'!B3426</f>
        <v>0</v>
      </c>
      <c r="C3420" s="156">
        <f>'Reported burning'!C3426</f>
        <v>0</v>
      </c>
      <c r="D3420" s="156">
        <f>'Reported burning'!D3426</f>
        <v>0</v>
      </c>
      <c r="E3420" s="156">
        <f>'Reported burning'!E3426</f>
        <v>0</v>
      </c>
      <c r="F3420" s="156">
        <f>'Reported burning'!F3426</f>
        <v>0</v>
      </c>
      <c r="G3420" s="156">
        <f>'Reported burning'!G3426</f>
        <v>0</v>
      </c>
      <c r="H3420" s="156">
        <f>'Reported burning'!H3426</f>
        <v>0</v>
      </c>
      <c r="I3420" s="5"/>
    </row>
    <row r="3421" spans="1:9">
      <c r="A3421" s="156">
        <f>'Reported burning'!A3427</f>
        <v>0</v>
      </c>
      <c r="B3421" s="156">
        <f>'Reported burning'!B3427</f>
        <v>0</v>
      </c>
      <c r="C3421" s="156">
        <f>'Reported burning'!C3427</f>
        <v>0</v>
      </c>
      <c r="D3421" s="156">
        <f>'Reported burning'!D3427</f>
        <v>0</v>
      </c>
      <c r="E3421" s="156">
        <f>'Reported burning'!E3427</f>
        <v>0</v>
      </c>
      <c r="F3421" s="156">
        <f>'Reported burning'!F3427</f>
        <v>0</v>
      </c>
      <c r="G3421" s="156">
        <f>'Reported burning'!G3427</f>
        <v>0</v>
      </c>
      <c r="H3421" s="156">
        <f>'Reported burning'!H3427</f>
        <v>0</v>
      </c>
      <c r="I3421" s="5"/>
    </row>
    <row r="3422" spans="1:9">
      <c r="A3422" s="156">
        <f>'Reported burning'!A3428</f>
        <v>0</v>
      </c>
      <c r="B3422" s="156">
        <f>'Reported burning'!B3428</f>
        <v>0</v>
      </c>
      <c r="C3422" s="156">
        <f>'Reported burning'!C3428</f>
        <v>0</v>
      </c>
      <c r="D3422" s="156">
        <f>'Reported burning'!D3428</f>
        <v>0</v>
      </c>
      <c r="E3422" s="156">
        <f>'Reported burning'!E3428</f>
        <v>0</v>
      </c>
      <c r="F3422" s="156">
        <f>'Reported burning'!F3428</f>
        <v>0</v>
      </c>
      <c r="G3422" s="156">
        <f>'Reported burning'!G3428</f>
        <v>0</v>
      </c>
      <c r="H3422" s="156">
        <f>'Reported burning'!H3428</f>
        <v>0</v>
      </c>
      <c r="I3422" s="5"/>
    </row>
    <row r="3423" spans="1:9">
      <c r="A3423" s="156">
        <f>'Reported burning'!A3429</f>
        <v>0</v>
      </c>
      <c r="B3423" s="156">
        <f>'Reported burning'!B3429</f>
        <v>0</v>
      </c>
      <c r="C3423" s="156">
        <f>'Reported burning'!C3429</f>
        <v>0</v>
      </c>
      <c r="D3423" s="156">
        <f>'Reported burning'!D3429</f>
        <v>0</v>
      </c>
      <c r="E3423" s="156">
        <f>'Reported burning'!E3429</f>
        <v>0</v>
      </c>
      <c r="F3423" s="156">
        <f>'Reported burning'!F3429</f>
        <v>0</v>
      </c>
      <c r="G3423" s="156">
        <f>'Reported burning'!G3429</f>
        <v>0</v>
      </c>
      <c r="H3423" s="156">
        <f>'Reported burning'!H3429</f>
        <v>0</v>
      </c>
      <c r="I3423" s="5"/>
    </row>
    <row r="3424" spans="1:9">
      <c r="A3424" s="156">
        <f>'Reported burning'!A3430</f>
        <v>0</v>
      </c>
      <c r="B3424" s="156">
        <f>'Reported burning'!B3430</f>
        <v>0</v>
      </c>
      <c r="C3424" s="156">
        <f>'Reported burning'!C3430</f>
        <v>0</v>
      </c>
      <c r="D3424" s="156">
        <f>'Reported burning'!D3430</f>
        <v>0</v>
      </c>
      <c r="E3424" s="156">
        <f>'Reported burning'!E3430</f>
        <v>0</v>
      </c>
      <c r="F3424" s="156">
        <f>'Reported burning'!F3430</f>
        <v>0</v>
      </c>
      <c r="G3424" s="156">
        <f>'Reported burning'!G3430</f>
        <v>0</v>
      </c>
      <c r="H3424" s="156">
        <f>'Reported burning'!H3430</f>
        <v>0</v>
      </c>
      <c r="I3424" s="5"/>
    </row>
    <row r="3425" spans="1:9">
      <c r="A3425" s="156">
        <f>'Reported burning'!A3431</f>
        <v>0</v>
      </c>
      <c r="B3425" s="156">
        <f>'Reported burning'!B3431</f>
        <v>0</v>
      </c>
      <c r="C3425" s="156">
        <f>'Reported burning'!C3431</f>
        <v>0</v>
      </c>
      <c r="D3425" s="156">
        <f>'Reported burning'!D3431</f>
        <v>0</v>
      </c>
      <c r="E3425" s="156">
        <f>'Reported burning'!E3431</f>
        <v>0</v>
      </c>
      <c r="F3425" s="156">
        <f>'Reported burning'!F3431</f>
        <v>0</v>
      </c>
      <c r="G3425" s="156">
        <f>'Reported burning'!G3431</f>
        <v>0</v>
      </c>
      <c r="H3425" s="156">
        <f>'Reported burning'!H3431</f>
        <v>0</v>
      </c>
      <c r="I3425" s="5"/>
    </row>
    <row r="3426" spans="1:9">
      <c r="A3426" s="156">
        <f>'Reported burning'!A3432</f>
        <v>0</v>
      </c>
      <c r="B3426" s="156">
        <f>'Reported burning'!B3432</f>
        <v>0</v>
      </c>
      <c r="C3426" s="156">
        <f>'Reported burning'!C3432</f>
        <v>0</v>
      </c>
      <c r="D3426" s="156">
        <f>'Reported burning'!D3432</f>
        <v>0</v>
      </c>
      <c r="E3426" s="156">
        <f>'Reported burning'!E3432</f>
        <v>0</v>
      </c>
      <c r="F3426" s="156">
        <f>'Reported burning'!F3432</f>
        <v>0</v>
      </c>
      <c r="G3426" s="156">
        <f>'Reported burning'!G3432</f>
        <v>0</v>
      </c>
      <c r="H3426" s="156">
        <f>'Reported burning'!H3432</f>
        <v>0</v>
      </c>
      <c r="I3426" s="5"/>
    </row>
    <row r="3427" spans="1:9">
      <c r="A3427" s="156">
        <f>'Reported burning'!A3433</f>
        <v>0</v>
      </c>
      <c r="B3427" s="156">
        <f>'Reported burning'!B3433</f>
        <v>0</v>
      </c>
      <c r="C3427" s="156">
        <f>'Reported burning'!C3433</f>
        <v>0</v>
      </c>
      <c r="D3427" s="156">
        <f>'Reported burning'!D3433</f>
        <v>0</v>
      </c>
      <c r="E3427" s="156">
        <f>'Reported burning'!E3433</f>
        <v>0</v>
      </c>
      <c r="F3427" s="156">
        <f>'Reported burning'!F3433</f>
        <v>0</v>
      </c>
      <c r="G3427" s="156">
        <f>'Reported burning'!G3433</f>
        <v>0</v>
      </c>
      <c r="H3427" s="156">
        <f>'Reported burning'!H3433</f>
        <v>0</v>
      </c>
      <c r="I3427" s="5"/>
    </row>
    <row r="3428" spans="1:9">
      <c r="A3428" s="156">
        <f>'Reported burning'!A3434</f>
        <v>0</v>
      </c>
      <c r="B3428" s="156">
        <f>'Reported burning'!B3434</f>
        <v>0</v>
      </c>
      <c r="C3428" s="156">
        <f>'Reported burning'!C3434</f>
        <v>0</v>
      </c>
      <c r="D3428" s="156">
        <f>'Reported burning'!D3434</f>
        <v>0</v>
      </c>
      <c r="E3428" s="156">
        <f>'Reported burning'!E3434</f>
        <v>0</v>
      </c>
      <c r="F3428" s="156">
        <f>'Reported burning'!F3434</f>
        <v>0</v>
      </c>
      <c r="G3428" s="156">
        <f>'Reported burning'!G3434</f>
        <v>0</v>
      </c>
      <c r="H3428" s="156">
        <f>'Reported burning'!H3434</f>
        <v>0</v>
      </c>
      <c r="I3428" s="5"/>
    </row>
    <row r="3429" spans="1:9">
      <c r="A3429" s="156">
        <f>'Reported burning'!A3435</f>
        <v>0</v>
      </c>
      <c r="B3429" s="156">
        <f>'Reported burning'!B3435</f>
        <v>0</v>
      </c>
      <c r="C3429" s="156">
        <f>'Reported burning'!C3435</f>
        <v>0</v>
      </c>
      <c r="D3429" s="156">
        <f>'Reported burning'!D3435</f>
        <v>0</v>
      </c>
      <c r="E3429" s="156">
        <f>'Reported burning'!E3435</f>
        <v>0</v>
      </c>
      <c r="F3429" s="156">
        <f>'Reported burning'!F3435</f>
        <v>0</v>
      </c>
      <c r="G3429" s="156">
        <f>'Reported burning'!G3435</f>
        <v>0</v>
      </c>
      <c r="H3429" s="156">
        <f>'Reported burning'!H3435</f>
        <v>0</v>
      </c>
      <c r="I3429" s="5"/>
    </row>
    <row r="3430" spans="1:9">
      <c r="A3430" s="156">
        <f>'Reported burning'!A3436</f>
        <v>0</v>
      </c>
      <c r="B3430" s="156">
        <f>'Reported burning'!B3436</f>
        <v>0</v>
      </c>
      <c r="C3430" s="156">
        <f>'Reported burning'!C3436</f>
        <v>0</v>
      </c>
      <c r="D3430" s="156">
        <f>'Reported burning'!D3436</f>
        <v>0</v>
      </c>
      <c r="E3430" s="156">
        <f>'Reported burning'!E3436</f>
        <v>0</v>
      </c>
      <c r="F3430" s="156">
        <f>'Reported burning'!F3436</f>
        <v>0</v>
      </c>
      <c r="G3430" s="156">
        <f>'Reported burning'!G3436</f>
        <v>0</v>
      </c>
      <c r="H3430" s="156">
        <f>'Reported burning'!H3436</f>
        <v>0</v>
      </c>
      <c r="I3430" s="5"/>
    </row>
    <row r="3431" spans="1:9">
      <c r="A3431" s="156">
        <f>'Reported burning'!A3437</f>
        <v>0</v>
      </c>
      <c r="B3431" s="156">
        <f>'Reported burning'!B3437</f>
        <v>0</v>
      </c>
      <c r="C3431" s="156">
        <f>'Reported burning'!C3437</f>
        <v>0</v>
      </c>
      <c r="D3431" s="156">
        <f>'Reported burning'!D3437</f>
        <v>0</v>
      </c>
      <c r="E3431" s="156">
        <f>'Reported burning'!E3437</f>
        <v>0</v>
      </c>
      <c r="F3431" s="156">
        <f>'Reported burning'!F3437</f>
        <v>0</v>
      </c>
      <c r="G3431" s="156">
        <f>'Reported burning'!G3437</f>
        <v>0</v>
      </c>
      <c r="H3431" s="156">
        <f>'Reported burning'!H3437</f>
        <v>0</v>
      </c>
      <c r="I3431" s="5"/>
    </row>
    <row r="3432" spans="1:9">
      <c r="A3432" s="156">
        <f>'Reported burning'!A3438</f>
        <v>0</v>
      </c>
      <c r="B3432" s="156">
        <f>'Reported burning'!B3438</f>
        <v>0</v>
      </c>
      <c r="C3432" s="156">
        <f>'Reported burning'!C3438</f>
        <v>0</v>
      </c>
      <c r="D3432" s="156">
        <f>'Reported burning'!D3438</f>
        <v>0</v>
      </c>
      <c r="E3432" s="156">
        <f>'Reported burning'!E3438</f>
        <v>0</v>
      </c>
      <c r="F3432" s="156">
        <f>'Reported burning'!F3438</f>
        <v>0</v>
      </c>
      <c r="G3432" s="156">
        <f>'Reported burning'!G3438</f>
        <v>0</v>
      </c>
      <c r="H3432" s="156">
        <f>'Reported burning'!H3438</f>
        <v>0</v>
      </c>
      <c r="I3432" s="5"/>
    </row>
    <row r="3433" spans="1:9">
      <c r="A3433" s="156">
        <f>'Reported burning'!A3439</f>
        <v>0</v>
      </c>
      <c r="B3433" s="156">
        <f>'Reported burning'!B3439</f>
        <v>0</v>
      </c>
      <c r="C3433" s="156">
        <f>'Reported burning'!C3439</f>
        <v>0</v>
      </c>
      <c r="D3433" s="156">
        <f>'Reported burning'!D3439</f>
        <v>0</v>
      </c>
      <c r="E3433" s="156">
        <f>'Reported burning'!E3439</f>
        <v>0</v>
      </c>
      <c r="F3433" s="156">
        <f>'Reported burning'!F3439</f>
        <v>0</v>
      </c>
      <c r="G3433" s="156">
        <f>'Reported burning'!G3439</f>
        <v>0</v>
      </c>
      <c r="H3433" s="156">
        <f>'Reported burning'!H3439</f>
        <v>0</v>
      </c>
      <c r="I3433" s="5"/>
    </row>
    <row r="3434" spans="1:9">
      <c r="A3434" s="156">
        <f>'Reported burning'!A3440</f>
        <v>0</v>
      </c>
      <c r="B3434" s="156">
        <f>'Reported burning'!B3440</f>
        <v>0</v>
      </c>
      <c r="C3434" s="156">
        <f>'Reported burning'!C3440</f>
        <v>0</v>
      </c>
      <c r="D3434" s="156">
        <f>'Reported burning'!D3440</f>
        <v>0</v>
      </c>
      <c r="E3434" s="156">
        <f>'Reported burning'!E3440</f>
        <v>0</v>
      </c>
      <c r="F3434" s="156">
        <f>'Reported burning'!F3440</f>
        <v>0</v>
      </c>
      <c r="G3434" s="156">
        <f>'Reported burning'!G3440</f>
        <v>0</v>
      </c>
      <c r="H3434" s="156">
        <f>'Reported burning'!H3440</f>
        <v>0</v>
      </c>
      <c r="I3434" s="5"/>
    </row>
    <row r="3435" spans="1:9">
      <c r="A3435" s="156">
        <f>'Reported burning'!A3441</f>
        <v>0</v>
      </c>
      <c r="B3435" s="156">
        <f>'Reported burning'!B3441</f>
        <v>0</v>
      </c>
      <c r="C3435" s="156">
        <f>'Reported burning'!C3441</f>
        <v>0</v>
      </c>
      <c r="D3435" s="156">
        <f>'Reported burning'!D3441</f>
        <v>0</v>
      </c>
      <c r="E3435" s="156">
        <f>'Reported burning'!E3441</f>
        <v>0</v>
      </c>
      <c r="F3435" s="156">
        <f>'Reported burning'!F3441</f>
        <v>0</v>
      </c>
      <c r="G3435" s="156">
        <f>'Reported burning'!G3441</f>
        <v>0</v>
      </c>
      <c r="H3435" s="156">
        <f>'Reported burning'!H3441</f>
        <v>0</v>
      </c>
      <c r="I3435" s="5"/>
    </row>
    <row r="3436" spans="1:9">
      <c r="A3436" s="156">
        <f>'Reported burning'!A3442</f>
        <v>0</v>
      </c>
      <c r="B3436" s="156">
        <f>'Reported burning'!B3442</f>
        <v>0</v>
      </c>
      <c r="C3436" s="156">
        <f>'Reported burning'!C3442</f>
        <v>0</v>
      </c>
      <c r="D3436" s="156">
        <f>'Reported burning'!D3442</f>
        <v>0</v>
      </c>
      <c r="E3436" s="156">
        <f>'Reported burning'!E3442</f>
        <v>0</v>
      </c>
      <c r="F3436" s="156">
        <f>'Reported burning'!F3442</f>
        <v>0</v>
      </c>
      <c r="G3436" s="156">
        <f>'Reported burning'!G3442</f>
        <v>0</v>
      </c>
      <c r="H3436" s="156">
        <f>'Reported burning'!H3442</f>
        <v>0</v>
      </c>
      <c r="I3436" s="5"/>
    </row>
    <row r="3437" spans="1:9">
      <c r="A3437" s="156">
        <f>'Reported burning'!A3443</f>
        <v>0</v>
      </c>
      <c r="B3437" s="156">
        <f>'Reported burning'!B3443</f>
        <v>0</v>
      </c>
      <c r="C3437" s="156">
        <f>'Reported burning'!C3443</f>
        <v>0</v>
      </c>
      <c r="D3437" s="156">
        <f>'Reported burning'!D3443</f>
        <v>0</v>
      </c>
      <c r="E3437" s="156">
        <f>'Reported burning'!E3443</f>
        <v>0</v>
      </c>
      <c r="F3437" s="156">
        <f>'Reported burning'!F3443</f>
        <v>0</v>
      </c>
      <c r="G3437" s="156">
        <f>'Reported burning'!G3443</f>
        <v>0</v>
      </c>
      <c r="H3437" s="156">
        <f>'Reported burning'!H3443</f>
        <v>0</v>
      </c>
      <c r="I3437" s="5"/>
    </row>
    <row r="3438" spans="1:9">
      <c r="A3438" s="156">
        <f>'Reported burning'!A3444</f>
        <v>0</v>
      </c>
      <c r="B3438" s="156">
        <f>'Reported burning'!B3444</f>
        <v>0</v>
      </c>
      <c r="C3438" s="156">
        <f>'Reported burning'!C3444</f>
        <v>0</v>
      </c>
      <c r="D3438" s="156">
        <f>'Reported burning'!D3444</f>
        <v>0</v>
      </c>
      <c r="E3438" s="156">
        <f>'Reported burning'!E3444</f>
        <v>0</v>
      </c>
      <c r="F3438" s="156">
        <f>'Reported burning'!F3444</f>
        <v>0</v>
      </c>
      <c r="G3438" s="156">
        <f>'Reported burning'!G3444</f>
        <v>0</v>
      </c>
      <c r="H3438" s="156">
        <f>'Reported burning'!H3444</f>
        <v>0</v>
      </c>
      <c r="I3438" s="5"/>
    </row>
    <row r="3439" spans="1:9">
      <c r="A3439" s="156">
        <f>'Reported burning'!A3445</f>
        <v>0</v>
      </c>
      <c r="B3439" s="156">
        <f>'Reported burning'!B3445</f>
        <v>0</v>
      </c>
      <c r="C3439" s="156">
        <f>'Reported burning'!C3445</f>
        <v>0</v>
      </c>
      <c r="D3439" s="156">
        <f>'Reported burning'!D3445</f>
        <v>0</v>
      </c>
      <c r="E3439" s="156">
        <f>'Reported burning'!E3445</f>
        <v>0</v>
      </c>
      <c r="F3439" s="156">
        <f>'Reported burning'!F3445</f>
        <v>0</v>
      </c>
      <c r="G3439" s="156">
        <f>'Reported burning'!G3445</f>
        <v>0</v>
      </c>
      <c r="H3439" s="156">
        <f>'Reported burning'!H3445</f>
        <v>0</v>
      </c>
      <c r="I3439" s="5"/>
    </row>
    <row r="3440" spans="1:9">
      <c r="A3440" s="156">
        <f>'Reported burning'!A3446</f>
        <v>0</v>
      </c>
      <c r="B3440" s="156">
        <f>'Reported burning'!B3446</f>
        <v>0</v>
      </c>
      <c r="C3440" s="156">
        <f>'Reported burning'!C3446</f>
        <v>0</v>
      </c>
      <c r="D3440" s="156">
        <f>'Reported burning'!D3446</f>
        <v>0</v>
      </c>
      <c r="E3440" s="156">
        <f>'Reported burning'!E3446</f>
        <v>0</v>
      </c>
      <c r="F3440" s="156">
        <f>'Reported burning'!F3446</f>
        <v>0</v>
      </c>
      <c r="G3440" s="156">
        <f>'Reported burning'!G3446</f>
        <v>0</v>
      </c>
      <c r="H3440" s="156">
        <f>'Reported burning'!H3446</f>
        <v>0</v>
      </c>
      <c r="I3440" s="5"/>
    </row>
    <row r="3441" spans="1:9">
      <c r="A3441" s="156">
        <f>'Reported burning'!A3447</f>
        <v>0</v>
      </c>
      <c r="B3441" s="156">
        <f>'Reported burning'!B3447</f>
        <v>0</v>
      </c>
      <c r="C3441" s="156">
        <f>'Reported burning'!C3447</f>
        <v>0</v>
      </c>
      <c r="D3441" s="156">
        <f>'Reported burning'!D3447</f>
        <v>0</v>
      </c>
      <c r="E3441" s="156">
        <f>'Reported burning'!E3447</f>
        <v>0</v>
      </c>
      <c r="F3441" s="156">
        <f>'Reported burning'!F3447</f>
        <v>0</v>
      </c>
      <c r="G3441" s="156">
        <f>'Reported burning'!G3447</f>
        <v>0</v>
      </c>
      <c r="H3441" s="156">
        <f>'Reported burning'!H3447</f>
        <v>0</v>
      </c>
      <c r="I3441" s="5"/>
    </row>
    <row r="3442" spans="1:9">
      <c r="A3442" s="156">
        <f>'Reported burning'!A3448</f>
        <v>0</v>
      </c>
      <c r="B3442" s="156">
        <f>'Reported burning'!B3448</f>
        <v>0</v>
      </c>
      <c r="C3442" s="156">
        <f>'Reported burning'!C3448</f>
        <v>0</v>
      </c>
      <c r="D3442" s="156">
        <f>'Reported burning'!D3448</f>
        <v>0</v>
      </c>
      <c r="E3442" s="156">
        <f>'Reported burning'!E3448</f>
        <v>0</v>
      </c>
      <c r="F3442" s="156">
        <f>'Reported burning'!F3448</f>
        <v>0</v>
      </c>
      <c r="G3442" s="156">
        <f>'Reported burning'!G3448</f>
        <v>0</v>
      </c>
      <c r="H3442" s="156">
        <f>'Reported burning'!H3448</f>
        <v>0</v>
      </c>
      <c r="I3442" s="5"/>
    </row>
    <row r="3443" spans="1:9">
      <c r="A3443" s="156">
        <f>'Reported burning'!A3449</f>
        <v>0</v>
      </c>
      <c r="B3443" s="156">
        <f>'Reported burning'!B3449</f>
        <v>0</v>
      </c>
      <c r="C3443" s="156">
        <f>'Reported burning'!C3449</f>
        <v>0</v>
      </c>
      <c r="D3443" s="156">
        <f>'Reported burning'!D3449</f>
        <v>0</v>
      </c>
      <c r="E3443" s="156">
        <f>'Reported burning'!E3449</f>
        <v>0</v>
      </c>
      <c r="F3443" s="156">
        <f>'Reported burning'!F3449</f>
        <v>0</v>
      </c>
      <c r="G3443" s="156">
        <f>'Reported burning'!G3449</f>
        <v>0</v>
      </c>
      <c r="H3443" s="156">
        <f>'Reported burning'!H3449</f>
        <v>0</v>
      </c>
      <c r="I3443" s="5"/>
    </row>
    <row r="3444" spans="1:9">
      <c r="A3444" s="156">
        <f>'Reported burning'!A3450</f>
        <v>0</v>
      </c>
      <c r="B3444" s="156">
        <f>'Reported burning'!B3450</f>
        <v>0</v>
      </c>
      <c r="C3444" s="156">
        <f>'Reported burning'!C3450</f>
        <v>0</v>
      </c>
      <c r="D3444" s="156">
        <f>'Reported burning'!D3450</f>
        <v>0</v>
      </c>
      <c r="E3444" s="156">
        <f>'Reported burning'!E3450</f>
        <v>0</v>
      </c>
      <c r="F3444" s="156">
        <f>'Reported burning'!F3450</f>
        <v>0</v>
      </c>
      <c r="G3444" s="156">
        <f>'Reported burning'!G3450</f>
        <v>0</v>
      </c>
      <c r="H3444" s="156">
        <f>'Reported burning'!H3450</f>
        <v>0</v>
      </c>
      <c r="I3444" s="5"/>
    </row>
    <row r="3445" spans="1:9">
      <c r="A3445" s="156">
        <f>'Reported burning'!A3451</f>
        <v>0</v>
      </c>
      <c r="B3445" s="156">
        <f>'Reported burning'!B3451</f>
        <v>0</v>
      </c>
      <c r="C3445" s="156">
        <f>'Reported burning'!C3451</f>
        <v>0</v>
      </c>
      <c r="D3445" s="156">
        <f>'Reported burning'!D3451</f>
        <v>0</v>
      </c>
      <c r="E3445" s="156">
        <f>'Reported burning'!E3451</f>
        <v>0</v>
      </c>
      <c r="F3445" s="156">
        <f>'Reported burning'!F3451</f>
        <v>0</v>
      </c>
      <c r="G3445" s="156">
        <f>'Reported burning'!G3451</f>
        <v>0</v>
      </c>
      <c r="H3445" s="156">
        <f>'Reported burning'!H3451</f>
        <v>0</v>
      </c>
      <c r="I3445" s="5"/>
    </row>
    <row r="3446" spans="1:9">
      <c r="A3446" s="156">
        <f>'Reported burning'!A3452</f>
        <v>0</v>
      </c>
      <c r="B3446" s="156">
        <f>'Reported burning'!B3452</f>
        <v>0</v>
      </c>
      <c r="C3446" s="156">
        <f>'Reported burning'!C3452</f>
        <v>0</v>
      </c>
      <c r="D3446" s="156">
        <f>'Reported burning'!D3452</f>
        <v>0</v>
      </c>
      <c r="E3446" s="156">
        <f>'Reported burning'!E3452</f>
        <v>0</v>
      </c>
      <c r="F3446" s="156">
        <f>'Reported burning'!F3452</f>
        <v>0</v>
      </c>
      <c r="G3446" s="156">
        <f>'Reported burning'!G3452</f>
        <v>0</v>
      </c>
      <c r="H3446" s="156">
        <f>'Reported burning'!H3452</f>
        <v>0</v>
      </c>
      <c r="I3446" s="5"/>
    </row>
    <row r="3447" spans="1:9">
      <c r="A3447" s="156">
        <f>'Reported burning'!A3453</f>
        <v>0</v>
      </c>
      <c r="B3447" s="156">
        <f>'Reported burning'!B3453</f>
        <v>0</v>
      </c>
      <c r="C3447" s="156">
        <f>'Reported burning'!C3453</f>
        <v>0</v>
      </c>
      <c r="D3447" s="156">
        <f>'Reported burning'!D3453</f>
        <v>0</v>
      </c>
      <c r="E3447" s="156">
        <f>'Reported burning'!E3453</f>
        <v>0</v>
      </c>
      <c r="F3447" s="156">
        <f>'Reported burning'!F3453</f>
        <v>0</v>
      </c>
      <c r="G3447" s="156">
        <f>'Reported burning'!G3453</f>
        <v>0</v>
      </c>
      <c r="H3447" s="156">
        <f>'Reported burning'!H3453</f>
        <v>0</v>
      </c>
      <c r="I3447" s="5"/>
    </row>
    <row r="3448" spans="1:9">
      <c r="A3448" s="156">
        <f>'Reported burning'!A3454</f>
        <v>0</v>
      </c>
      <c r="B3448" s="156">
        <f>'Reported burning'!B3454</f>
        <v>0</v>
      </c>
      <c r="C3448" s="156">
        <f>'Reported burning'!C3454</f>
        <v>0</v>
      </c>
      <c r="D3448" s="156">
        <f>'Reported burning'!D3454</f>
        <v>0</v>
      </c>
      <c r="E3448" s="156">
        <f>'Reported burning'!E3454</f>
        <v>0</v>
      </c>
      <c r="F3448" s="156">
        <f>'Reported burning'!F3454</f>
        <v>0</v>
      </c>
      <c r="G3448" s="156">
        <f>'Reported burning'!G3454</f>
        <v>0</v>
      </c>
      <c r="H3448" s="156">
        <f>'Reported burning'!H3454</f>
        <v>0</v>
      </c>
      <c r="I3448" s="5"/>
    </row>
    <row r="3449" spans="1:9">
      <c r="A3449" s="156">
        <f>'Reported burning'!A3455</f>
        <v>0</v>
      </c>
      <c r="B3449" s="156">
        <f>'Reported burning'!B3455</f>
        <v>0</v>
      </c>
      <c r="C3449" s="156">
        <f>'Reported burning'!C3455</f>
        <v>0</v>
      </c>
      <c r="D3449" s="156">
        <f>'Reported burning'!D3455</f>
        <v>0</v>
      </c>
      <c r="E3449" s="156">
        <f>'Reported burning'!E3455</f>
        <v>0</v>
      </c>
      <c r="F3449" s="156">
        <f>'Reported burning'!F3455</f>
        <v>0</v>
      </c>
      <c r="G3449" s="156">
        <f>'Reported burning'!G3455</f>
        <v>0</v>
      </c>
      <c r="H3449" s="156">
        <f>'Reported burning'!H3455</f>
        <v>0</v>
      </c>
      <c r="I3449" s="5"/>
    </row>
    <row r="3450" spans="1:9">
      <c r="A3450" s="156">
        <f>'Reported burning'!A3456</f>
        <v>0</v>
      </c>
      <c r="B3450" s="156">
        <f>'Reported burning'!B3456</f>
        <v>0</v>
      </c>
      <c r="C3450" s="156">
        <f>'Reported burning'!C3456</f>
        <v>0</v>
      </c>
      <c r="D3450" s="156">
        <f>'Reported burning'!D3456</f>
        <v>0</v>
      </c>
      <c r="E3450" s="156">
        <f>'Reported burning'!E3456</f>
        <v>0</v>
      </c>
      <c r="F3450" s="156">
        <f>'Reported burning'!F3456</f>
        <v>0</v>
      </c>
      <c r="G3450" s="156">
        <f>'Reported burning'!G3456</f>
        <v>0</v>
      </c>
      <c r="H3450" s="156">
        <f>'Reported burning'!H3456</f>
        <v>0</v>
      </c>
      <c r="I3450" s="5"/>
    </row>
    <row r="3451" spans="1:9">
      <c r="A3451" s="156">
        <f>'Reported burning'!A3457</f>
        <v>0</v>
      </c>
      <c r="B3451" s="156">
        <f>'Reported burning'!B3457</f>
        <v>0</v>
      </c>
      <c r="C3451" s="156">
        <f>'Reported burning'!C3457</f>
        <v>0</v>
      </c>
      <c r="D3451" s="156">
        <f>'Reported burning'!D3457</f>
        <v>0</v>
      </c>
      <c r="E3451" s="156">
        <f>'Reported burning'!E3457</f>
        <v>0</v>
      </c>
      <c r="F3451" s="156">
        <f>'Reported burning'!F3457</f>
        <v>0</v>
      </c>
      <c r="G3451" s="156">
        <f>'Reported burning'!G3457</f>
        <v>0</v>
      </c>
      <c r="H3451" s="156">
        <f>'Reported burning'!H3457</f>
        <v>0</v>
      </c>
      <c r="I3451" s="5"/>
    </row>
    <row r="3452" spans="1:9">
      <c r="A3452" s="156">
        <f>'Reported burning'!A3458</f>
        <v>0</v>
      </c>
      <c r="B3452" s="156">
        <f>'Reported burning'!B3458</f>
        <v>0</v>
      </c>
      <c r="C3452" s="156">
        <f>'Reported burning'!C3458</f>
        <v>0</v>
      </c>
      <c r="D3452" s="156">
        <f>'Reported burning'!D3458</f>
        <v>0</v>
      </c>
      <c r="E3452" s="156">
        <f>'Reported burning'!E3458</f>
        <v>0</v>
      </c>
      <c r="F3452" s="156">
        <f>'Reported burning'!F3458</f>
        <v>0</v>
      </c>
      <c r="G3452" s="156">
        <f>'Reported burning'!G3458</f>
        <v>0</v>
      </c>
      <c r="H3452" s="156">
        <f>'Reported burning'!H3458</f>
        <v>0</v>
      </c>
      <c r="I3452" s="5"/>
    </row>
    <row r="3453" spans="1:9">
      <c r="A3453" s="156">
        <f>'Reported burning'!A3459</f>
        <v>0</v>
      </c>
      <c r="B3453" s="156">
        <f>'Reported burning'!B3459</f>
        <v>0</v>
      </c>
      <c r="C3453" s="156">
        <f>'Reported burning'!C3459</f>
        <v>0</v>
      </c>
      <c r="D3453" s="156">
        <f>'Reported burning'!D3459</f>
        <v>0</v>
      </c>
      <c r="E3453" s="156">
        <f>'Reported burning'!E3459</f>
        <v>0</v>
      </c>
      <c r="F3453" s="156">
        <f>'Reported burning'!F3459</f>
        <v>0</v>
      </c>
      <c r="G3453" s="156">
        <f>'Reported burning'!G3459</f>
        <v>0</v>
      </c>
      <c r="H3453" s="156">
        <f>'Reported burning'!H3459</f>
        <v>0</v>
      </c>
      <c r="I3453" s="5"/>
    </row>
    <row r="3454" spans="1:9">
      <c r="A3454" s="156">
        <f>'Reported burning'!A3460</f>
        <v>0</v>
      </c>
      <c r="B3454" s="156">
        <f>'Reported burning'!B3460</f>
        <v>0</v>
      </c>
      <c r="C3454" s="156">
        <f>'Reported burning'!C3460</f>
        <v>0</v>
      </c>
      <c r="D3454" s="156">
        <f>'Reported burning'!D3460</f>
        <v>0</v>
      </c>
      <c r="E3454" s="156">
        <f>'Reported burning'!E3460</f>
        <v>0</v>
      </c>
      <c r="F3454" s="156">
        <f>'Reported burning'!F3460</f>
        <v>0</v>
      </c>
      <c r="G3454" s="156">
        <f>'Reported burning'!G3460</f>
        <v>0</v>
      </c>
      <c r="H3454" s="156">
        <f>'Reported burning'!H3460</f>
        <v>0</v>
      </c>
      <c r="I3454" s="5"/>
    </row>
    <row r="3455" spans="1:9">
      <c r="A3455" s="156">
        <f>'Reported burning'!A3461</f>
        <v>0</v>
      </c>
      <c r="B3455" s="156">
        <f>'Reported burning'!B3461</f>
        <v>0</v>
      </c>
      <c r="C3455" s="156">
        <f>'Reported burning'!C3461</f>
        <v>0</v>
      </c>
      <c r="D3455" s="156">
        <f>'Reported burning'!D3461</f>
        <v>0</v>
      </c>
      <c r="E3455" s="156">
        <f>'Reported burning'!E3461</f>
        <v>0</v>
      </c>
      <c r="F3455" s="156">
        <f>'Reported burning'!F3461</f>
        <v>0</v>
      </c>
      <c r="G3455" s="156">
        <f>'Reported burning'!G3461</f>
        <v>0</v>
      </c>
      <c r="H3455" s="156">
        <f>'Reported burning'!H3461</f>
        <v>0</v>
      </c>
      <c r="I3455" s="5"/>
    </row>
    <row r="3456" spans="1:9">
      <c r="A3456" s="156">
        <f>'Reported burning'!A3462</f>
        <v>0</v>
      </c>
      <c r="B3456" s="156">
        <f>'Reported burning'!B3462</f>
        <v>0</v>
      </c>
      <c r="C3456" s="156">
        <f>'Reported burning'!C3462</f>
        <v>0</v>
      </c>
      <c r="D3456" s="156">
        <f>'Reported burning'!D3462</f>
        <v>0</v>
      </c>
      <c r="E3456" s="156">
        <f>'Reported burning'!E3462</f>
        <v>0</v>
      </c>
      <c r="F3456" s="156">
        <f>'Reported burning'!F3462</f>
        <v>0</v>
      </c>
      <c r="G3456" s="156">
        <f>'Reported burning'!G3462</f>
        <v>0</v>
      </c>
      <c r="H3456" s="156">
        <f>'Reported burning'!H3462</f>
        <v>0</v>
      </c>
      <c r="I3456" s="5"/>
    </row>
    <row r="3457" spans="1:9">
      <c r="A3457" s="156">
        <f>'Reported burning'!A3463</f>
        <v>0</v>
      </c>
      <c r="B3457" s="156">
        <f>'Reported burning'!B3463</f>
        <v>0</v>
      </c>
      <c r="C3457" s="156">
        <f>'Reported burning'!C3463</f>
        <v>0</v>
      </c>
      <c r="D3457" s="156">
        <f>'Reported burning'!D3463</f>
        <v>0</v>
      </c>
      <c r="E3457" s="156">
        <f>'Reported burning'!E3463</f>
        <v>0</v>
      </c>
      <c r="F3457" s="156">
        <f>'Reported burning'!F3463</f>
        <v>0</v>
      </c>
      <c r="G3457" s="156">
        <f>'Reported burning'!G3463</f>
        <v>0</v>
      </c>
      <c r="H3457" s="156">
        <f>'Reported burning'!H3463</f>
        <v>0</v>
      </c>
      <c r="I3457" s="5"/>
    </row>
    <row r="3458" spans="1:9">
      <c r="A3458" s="156">
        <f>'Reported burning'!A3464</f>
        <v>0</v>
      </c>
      <c r="B3458" s="156">
        <f>'Reported burning'!B3464</f>
        <v>0</v>
      </c>
      <c r="C3458" s="156">
        <f>'Reported burning'!C3464</f>
        <v>0</v>
      </c>
      <c r="D3458" s="156">
        <f>'Reported burning'!D3464</f>
        <v>0</v>
      </c>
      <c r="E3458" s="156">
        <f>'Reported burning'!E3464</f>
        <v>0</v>
      </c>
      <c r="F3458" s="156">
        <f>'Reported burning'!F3464</f>
        <v>0</v>
      </c>
      <c r="G3458" s="156">
        <f>'Reported burning'!G3464</f>
        <v>0</v>
      </c>
      <c r="H3458" s="156">
        <f>'Reported burning'!H3464</f>
        <v>0</v>
      </c>
      <c r="I3458" s="5"/>
    </row>
    <row r="3459" spans="1:9">
      <c r="A3459" s="156">
        <f>'Reported burning'!A3465</f>
        <v>0</v>
      </c>
      <c r="B3459" s="156">
        <f>'Reported burning'!B3465</f>
        <v>0</v>
      </c>
      <c r="C3459" s="156">
        <f>'Reported burning'!C3465</f>
        <v>0</v>
      </c>
      <c r="D3459" s="156">
        <f>'Reported burning'!D3465</f>
        <v>0</v>
      </c>
      <c r="E3459" s="156">
        <f>'Reported burning'!E3465</f>
        <v>0</v>
      </c>
      <c r="F3459" s="156">
        <f>'Reported burning'!F3465</f>
        <v>0</v>
      </c>
      <c r="G3459" s="156">
        <f>'Reported burning'!G3465</f>
        <v>0</v>
      </c>
      <c r="H3459" s="156">
        <f>'Reported burning'!H3465</f>
        <v>0</v>
      </c>
      <c r="I3459" s="5"/>
    </row>
    <row r="3460" spans="1:9">
      <c r="A3460" s="156">
        <f>'Reported burning'!A3466</f>
        <v>0</v>
      </c>
      <c r="B3460" s="156">
        <f>'Reported burning'!B3466</f>
        <v>0</v>
      </c>
      <c r="C3460" s="156">
        <f>'Reported burning'!C3466</f>
        <v>0</v>
      </c>
      <c r="D3460" s="156">
        <f>'Reported burning'!D3466</f>
        <v>0</v>
      </c>
      <c r="E3460" s="156">
        <f>'Reported burning'!E3466</f>
        <v>0</v>
      </c>
      <c r="F3460" s="156">
        <f>'Reported burning'!F3466</f>
        <v>0</v>
      </c>
      <c r="G3460" s="156">
        <f>'Reported burning'!G3466</f>
        <v>0</v>
      </c>
      <c r="H3460" s="156">
        <f>'Reported burning'!H3466</f>
        <v>0</v>
      </c>
      <c r="I3460" s="5"/>
    </row>
    <row r="3461" spans="1:9">
      <c r="A3461" s="156">
        <f>'Reported burning'!A3467</f>
        <v>0</v>
      </c>
      <c r="B3461" s="156">
        <f>'Reported burning'!B3467</f>
        <v>0</v>
      </c>
      <c r="C3461" s="156">
        <f>'Reported burning'!C3467</f>
        <v>0</v>
      </c>
      <c r="D3461" s="156">
        <f>'Reported burning'!D3467</f>
        <v>0</v>
      </c>
      <c r="E3461" s="156">
        <f>'Reported burning'!E3467</f>
        <v>0</v>
      </c>
      <c r="F3461" s="156">
        <f>'Reported burning'!F3467</f>
        <v>0</v>
      </c>
      <c r="G3461" s="156">
        <f>'Reported burning'!G3467</f>
        <v>0</v>
      </c>
      <c r="H3461" s="156">
        <f>'Reported burning'!H3467</f>
        <v>0</v>
      </c>
      <c r="I3461" s="5"/>
    </row>
    <row r="3462" spans="1:9">
      <c r="A3462" s="156">
        <f>'Reported burning'!A3468</f>
        <v>0</v>
      </c>
      <c r="B3462" s="156">
        <f>'Reported burning'!B3468</f>
        <v>0</v>
      </c>
      <c r="C3462" s="156">
        <f>'Reported burning'!C3468</f>
        <v>0</v>
      </c>
      <c r="D3462" s="156">
        <f>'Reported burning'!D3468</f>
        <v>0</v>
      </c>
      <c r="E3462" s="156">
        <f>'Reported burning'!E3468</f>
        <v>0</v>
      </c>
      <c r="F3462" s="156">
        <f>'Reported burning'!F3468</f>
        <v>0</v>
      </c>
      <c r="G3462" s="156">
        <f>'Reported burning'!G3468</f>
        <v>0</v>
      </c>
      <c r="H3462" s="156">
        <f>'Reported burning'!H3468</f>
        <v>0</v>
      </c>
      <c r="I3462" s="5"/>
    </row>
    <row r="3463" spans="1:9">
      <c r="A3463" s="156">
        <f>'Reported burning'!A3469</f>
        <v>0</v>
      </c>
      <c r="B3463" s="156">
        <f>'Reported burning'!B3469</f>
        <v>0</v>
      </c>
      <c r="C3463" s="156">
        <f>'Reported burning'!C3469</f>
        <v>0</v>
      </c>
      <c r="D3463" s="156">
        <f>'Reported burning'!D3469</f>
        <v>0</v>
      </c>
      <c r="E3463" s="156">
        <f>'Reported burning'!E3469</f>
        <v>0</v>
      </c>
      <c r="F3463" s="156">
        <f>'Reported burning'!F3469</f>
        <v>0</v>
      </c>
      <c r="G3463" s="156">
        <f>'Reported burning'!G3469</f>
        <v>0</v>
      </c>
      <c r="H3463" s="156">
        <f>'Reported burning'!H3469</f>
        <v>0</v>
      </c>
      <c r="I3463" s="5"/>
    </row>
    <row r="3464" spans="1:9">
      <c r="A3464" s="156">
        <f>'Reported burning'!A3470</f>
        <v>0</v>
      </c>
      <c r="B3464" s="156">
        <f>'Reported burning'!B3470</f>
        <v>0</v>
      </c>
      <c r="C3464" s="156">
        <f>'Reported burning'!C3470</f>
        <v>0</v>
      </c>
      <c r="D3464" s="156">
        <f>'Reported burning'!D3470</f>
        <v>0</v>
      </c>
      <c r="E3464" s="156">
        <f>'Reported burning'!E3470</f>
        <v>0</v>
      </c>
      <c r="F3464" s="156">
        <f>'Reported burning'!F3470</f>
        <v>0</v>
      </c>
      <c r="G3464" s="156">
        <f>'Reported burning'!G3470</f>
        <v>0</v>
      </c>
      <c r="H3464" s="156">
        <f>'Reported burning'!H3470</f>
        <v>0</v>
      </c>
      <c r="I3464" s="5"/>
    </row>
    <row r="3465" spans="1:9">
      <c r="A3465" s="156">
        <f>'Reported burning'!A3471</f>
        <v>0</v>
      </c>
      <c r="B3465" s="156">
        <f>'Reported burning'!B3471</f>
        <v>0</v>
      </c>
      <c r="C3465" s="156">
        <f>'Reported burning'!C3471</f>
        <v>0</v>
      </c>
      <c r="D3465" s="156">
        <f>'Reported burning'!D3471</f>
        <v>0</v>
      </c>
      <c r="E3465" s="156">
        <f>'Reported burning'!E3471</f>
        <v>0</v>
      </c>
      <c r="F3465" s="156">
        <f>'Reported burning'!F3471</f>
        <v>0</v>
      </c>
      <c r="G3465" s="156">
        <f>'Reported burning'!G3471</f>
        <v>0</v>
      </c>
      <c r="H3465" s="156">
        <f>'Reported burning'!H3471</f>
        <v>0</v>
      </c>
      <c r="I3465" s="5"/>
    </row>
    <row r="3466" spans="1:9">
      <c r="A3466" s="156">
        <f>'Reported burning'!A3472</f>
        <v>0</v>
      </c>
      <c r="B3466" s="156">
        <f>'Reported burning'!B3472</f>
        <v>0</v>
      </c>
      <c r="C3466" s="156">
        <f>'Reported burning'!C3472</f>
        <v>0</v>
      </c>
      <c r="D3466" s="156">
        <f>'Reported burning'!D3472</f>
        <v>0</v>
      </c>
      <c r="E3466" s="156">
        <f>'Reported burning'!E3472</f>
        <v>0</v>
      </c>
      <c r="F3466" s="156">
        <f>'Reported burning'!F3472</f>
        <v>0</v>
      </c>
      <c r="G3466" s="156">
        <f>'Reported burning'!G3472</f>
        <v>0</v>
      </c>
      <c r="H3466" s="156">
        <f>'Reported burning'!H3472</f>
        <v>0</v>
      </c>
      <c r="I3466" s="5"/>
    </row>
    <row r="3467" spans="1:9">
      <c r="A3467" s="156">
        <f>'Reported burning'!A3473</f>
        <v>0</v>
      </c>
      <c r="B3467" s="156">
        <f>'Reported burning'!B3473</f>
        <v>0</v>
      </c>
      <c r="C3467" s="156">
        <f>'Reported burning'!C3473</f>
        <v>0</v>
      </c>
      <c r="D3467" s="156">
        <f>'Reported burning'!D3473</f>
        <v>0</v>
      </c>
      <c r="E3467" s="156">
        <f>'Reported burning'!E3473</f>
        <v>0</v>
      </c>
      <c r="F3467" s="156">
        <f>'Reported burning'!F3473</f>
        <v>0</v>
      </c>
      <c r="G3467" s="156">
        <f>'Reported burning'!G3473</f>
        <v>0</v>
      </c>
      <c r="H3467" s="156">
        <f>'Reported burning'!H3473</f>
        <v>0</v>
      </c>
      <c r="I3467" s="5"/>
    </row>
    <row r="3468" spans="1:9">
      <c r="A3468" s="156">
        <f>'Reported burning'!A3474</f>
        <v>0</v>
      </c>
      <c r="B3468" s="156">
        <f>'Reported burning'!B3474</f>
        <v>0</v>
      </c>
      <c r="C3468" s="156">
        <f>'Reported burning'!C3474</f>
        <v>0</v>
      </c>
      <c r="D3468" s="156">
        <f>'Reported burning'!D3474</f>
        <v>0</v>
      </c>
      <c r="E3468" s="156">
        <f>'Reported burning'!E3474</f>
        <v>0</v>
      </c>
      <c r="F3468" s="156">
        <f>'Reported burning'!F3474</f>
        <v>0</v>
      </c>
      <c r="G3468" s="156">
        <f>'Reported burning'!G3474</f>
        <v>0</v>
      </c>
      <c r="H3468" s="156">
        <f>'Reported burning'!H3474</f>
        <v>0</v>
      </c>
      <c r="I3468" s="5"/>
    </row>
    <row r="3469" spans="1:9">
      <c r="A3469" s="156">
        <f>'Reported burning'!A3475</f>
        <v>0</v>
      </c>
      <c r="B3469" s="156">
        <f>'Reported burning'!B3475</f>
        <v>0</v>
      </c>
      <c r="C3469" s="156">
        <f>'Reported burning'!C3475</f>
        <v>0</v>
      </c>
      <c r="D3469" s="156">
        <f>'Reported burning'!D3475</f>
        <v>0</v>
      </c>
      <c r="E3469" s="156">
        <f>'Reported burning'!E3475</f>
        <v>0</v>
      </c>
      <c r="F3469" s="156">
        <f>'Reported burning'!F3475</f>
        <v>0</v>
      </c>
      <c r="G3469" s="156">
        <f>'Reported burning'!G3475</f>
        <v>0</v>
      </c>
      <c r="H3469" s="156">
        <f>'Reported burning'!H3475</f>
        <v>0</v>
      </c>
      <c r="I3469" s="5"/>
    </row>
    <row r="3470" spans="1:9">
      <c r="A3470" s="156">
        <f>'Reported burning'!A3476</f>
        <v>0</v>
      </c>
      <c r="B3470" s="156">
        <f>'Reported burning'!B3476</f>
        <v>0</v>
      </c>
      <c r="C3470" s="156">
        <f>'Reported burning'!C3476</f>
        <v>0</v>
      </c>
      <c r="D3470" s="156">
        <f>'Reported burning'!D3476</f>
        <v>0</v>
      </c>
      <c r="E3470" s="156">
        <f>'Reported burning'!E3476</f>
        <v>0</v>
      </c>
      <c r="F3470" s="156">
        <f>'Reported burning'!F3476</f>
        <v>0</v>
      </c>
      <c r="G3470" s="156">
        <f>'Reported burning'!G3476</f>
        <v>0</v>
      </c>
      <c r="H3470" s="156">
        <f>'Reported burning'!H3476</f>
        <v>0</v>
      </c>
      <c r="I3470" s="5"/>
    </row>
    <row r="3471" spans="1:9">
      <c r="A3471" s="156">
        <f>'Reported burning'!A3477</f>
        <v>0</v>
      </c>
      <c r="B3471" s="156">
        <f>'Reported burning'!B3477</f>
        <v>0</v>
      </c>
      <c r="C3471" s="156">
        <f>'Reported burning'!C3477</f>
        <v>0</v>
      </c>
      <c r="D3471" s="156">
        <f>'Reported burning'!D3477</f>
        <v>0</v>
      </c>
      <c r="E3471" s="156">
        <f>'Reported burning'!E3477</f>
        <v>0</v>
      </c>
      <c r="F3471" s="156">
        <f>'Reported burning'!F3477</f>
        <v>0</v>
      </c>
      <c r="G3471" s="156">
        <f>'Reported burning'!G3477</f>
        <v>0</v>
      </c>
      <c r="H3471" s="156">
        <f>'Reported burning'!H3477</f>
        <v>0</v>
      </c>
      <c r="I3471" s="5"/>
    </row>
    <row r="3472" spans="1:9">
      <c r="A3472" s="156">
        <f>'Reported burning'!A3478</f>
        <v>0</v>
      </c>
      <c r="B3472" s="156">
        <f>'Reported burning'!B3478</f>
        <v>0</v>
      </c>
      <c r="C3472" s="156">
        <f>'Reported burning'!C3478</f>
        <v>0</v>
      </c>
      <c r="D3472" s="156">
        <f>'Reported burning'!D3478</f>
        <v>0</v>
      </c>
      <c r="E3472" s="156">
        <f>'Reported burning'!E3478</f>
        <v>0</v>
      </c>
      <c r="F3472" s="156">
        <f>'Reported burning'!F3478</f>
        <v>0</v>
      </c>
      <c r="G3472" s="156">
        <f>'Reported burning'!G3478</f>
        <v>0</v>
      </c>
      <c r="H3472" s="156">
        <f>'Reported burning'!H3478</f>
        <v>0</v>
      </c>
      <c r="I3472" s="5"/>
    </row>
    <row r="3473" spans="1:9">
      <c r="A3473" s="156">
        <f>'Reported burning'!A3479</f>
        <v>0</v>
      </c>
      <c r="B3473" s="156">
        <f>'Reported burning'!B3479</f>
        <v>0</v>
      </c>
      <c r="C3473" s="156">
        <f>'Reported burning'!C3479</f>
        <v>0</v>
      </c>
      <c r="D3473" s="156">
        <f>'Reported burning'!D3479</f>
        <v>0</v>
      </c>
      <c r="E3473" s="156">
        <f>'Reported burning'!E3479</f>
        <v>0</v>
      </c>
      <c r="F3473" s="156">
        <f>'Reported burning'!F3479</f>
        <v>0</v>
      </c>
      <c r="G3473" s="156">
        <f>'Reported burning'!G3479</f>
        <v>0</v>
      </c>
      <c r="H3473" s="156">
        <f>'Reported burning'!H3479</f>
        <v>0</v>
      </c>
      <c r="I3473" s="5"/>
    </row>
    <row r="3474" spans="1:9">
      <c r="A3474" s="156">
        <f>'Reported burning'!A3480</f>
        <v>0</v>
      </c>
      <c r="B3474" s="156">
        <f>'Reported burning'!B3480</f>
        <v>0</v>
      </c>
      <c r="C3474" s="156">
        <f>'Reported burning'!C3480</f>
        <v>0</v>
      </c>
      <c r="D3474" s="156">
        <f>'Reported burning'!D3480</f>
        <v>0</v>
      </c>
      <c r="E3474" s="156">
        <f>'Reported burning'!E3480</f>
        <v>0</v>
      </c>
      <c r="F3474" s="156">
        <f>'Reported burning'!F3480</f>
        <v>0</v>
      </c>
      <c r="G3474" s="156">
        <f>'Reported burning'!G3480</f>
        <v>0</v>
      </c>
      <c r="H3474" s="156">
        <f>'Reported burning'!H3480</f>
        <v>0</v>
      </c>
      <c r="I3474" s="5"/>
    </row>
    <row r="3475" spans="1:9">
      <c r="A3475" s="156">
        <f>'Reported burning'!A3481</f>
        <v>0</v>
      </c>
      <c r="B3475" s="156">
        <f>'Reported burning'!B3481</f>
        <v>0</v>
      </c>
      <c r="C3475" s="156">
        <f>'Reported burning'!C3481</f>
        <v>0</v>
      </c>
      <c r="D3475" s="156">
        <f>'Reported burning'!D3481</f>
        <v>0</v>
      </c>
      <c r="E3475" s="156">
        <f>'Reported burning'!E3481</f>
        <v>0</v>
      </c>
      <c r="F3475" s="156">
        <f>'Reported burning'!F3481</f>
        <v>0</v>
      </c>
      <c r="G3475" s="156">
        <f>'Reported burning'!G3481</f>
        <v>0</v>
      </c>
      <c r="H3475" s="156">
        <f>'Reported burning'!H3481</f>
        <v>0</v>
      </c>
      <c r="I3475" s="5"/>
    </row>
    <row r="3476" spans="1:9">
      <c r="A3476" s="156">
        <f>'Reported burning'!A3482</f>
        <v>0</v>
      </c>
      <c r="B3476" s="156">
        <f>'Reported burning'!B3482</f>
        <v>0</v>
      </c>
      <c r="C3476" s="156">
        <f>'Reported burning'!C3482</f>
        <v>0</v>
      </c>
      <c r="D3476" s="156">
        <f>'Reported burning'!D3482</f>
        <v>0</v>
      </c>
      <c r="E3476" s="156">
        <f>'Reported burning'!E3482</f>
        <v>0</v>
      </c>
      <c r="F3476" s="156">
        <f>'Reported burning'!F3482</f>
        <v>0</v>
      </c>
      <c r="G3476" s="156">
        <f>'Reported burning'!G3482</f>
        <v>0</v>
      </c>
      <c r="H3476" s="156">
        <f>'Reported burning'!H3482</f>
        <v>0</v>
      </c>
      <c r="I3476" s="5"/>
    </row>
    <row r="3477" spans="1:9">
      <c r="A3477" s="156">
        <f>'Reported burning'!A3483</f>
        <v>0</v>
      </c>
      <c r="B3477" s="156">
        <f>'Reported burning'!B3483</f>
        <v>0</v>
      </c>
      <c r="C3477" s="156">
        <f>'Reported burning'!C3483</f>
        <v>0</v>
      </c>
      <c r="D3477" s="156">
        <f>'Reported burning'!D3483</f>
        <v>0</v>
      </c>
      <c r="E3477" s="156">
        <f>'Reported burning'!E3483</f>
        <v>0</v>
      </c>
      <c r="F3477" s="156">
        <f>'Reported burning'!F3483</f>
        <v>0</v>
      </c>
      <c r="G3477" s="156">
        <f>'Reported burning'!G3483</f>
        <v>0</v>
      </c>
      <c r="H3477" s="156">
        <f>'Reported burning'!H3483</f>
        <v>0</v>
      </c>
      <c r="I3477" s="5"/>
    </row>
    <row r="3478" spans="1:9">
      <c r="A3478" s="156">
        <f>'Reported burning'!A3484</f>
        <v>0</v>
      </c>
      <c r="B3478" s="156">
        <f>'Reported burning'!B3484</f>
        <v>0</v>
      </c>
      <c r="C3478" s="156">
        <f>'Reported burning'!C3484</f>
        <v>0</v>
      </c>
      <c r="D3478" s="156">
        <f>'Reported burning'!D3484</f>
        <v>0</v>
      </c>
      <c r="E3478" s="156">
        <f>'Reported burning'!E3484</f>
        <v>0</v>
      </c>
      <c r="F3478" s="156">
        <f>'Reported burning'!F3484</f>
        <v>0</v>
      </c>
      <c r="G3478" s="156">
        <f>'Reported burning'!G3484</f>
        <v>0</v>
      </c>
      <c r="H3478" s="156">
        <f>'Reported burning'!H3484</f>
        <v>0</v>
      </c>
      <c r="I3478" s="5"/>
    </row>
    <row r="3479" spans="1:9">
      <c r="A3479" s="156">
        <f>'Reported burning'!A3485</f>
        <v>0</v>
      </c>
      <c r="B3479" s="156">
        <f>'Reported burning'!B3485</f>
        <v>0</v>
      </c>
      <c r="C3479" s="156">
        <f>'Reported burning'!C3485</f>
        <v>0</v>
      </c>
      <c r="D3479" s="156">
        <f>'Reported burning'!D3485</f>
        <v>0</v>
      </c>
      <c r="E3479" s="156">
        <f>'Reported burning'!E3485</f>
        <v>0</v>
      </c>
      <c r="F3479" s="156">
        <f>'Reported burning'!F3485</f>
        <v>0</v>
      </c>
      <c r="G3479" s="156">
        <f>'Reported burning'!G3485</f>
        <v>0</v>
      </c>
      <c r="H3479" s="156">
        <f>'Reported burning'!H3485</f>
        <v>0</v>
      </c>
      <c r="I3479" s="5"/>
    </row>
    <row r="3480" spans="1:9">
      <c r="A3480" s="156">
        <f>'Reported burning'!A3486</f>
        <v>0</v>
      </c>
      <c r="B3480" s="156">
        <f>'Reported burning'!B3486</f>
        <v>0</v>
      </c>
      <c r="C3480" s="156">
        <f>'Reported burning'!C3486</f>
        <v>0</v>
      </c>
      <c r="D3480" s="156">
        <f>'Reported burning'!D3486</f>
        <v>0</v>
      </c>
      <c r="E3480" s="156">
        <f>'Reported burning'!E3486</f>
        <v>0</v>
      </c>
      <c r="F3480" s="156">
        <f>'Reported burning'!F3486</f>
        <v>0</v>
      </c>
      <c r="G3480" s="156">
        <f>'Reported burning'!G3486</f>
        <v>0</v>
      </c>
      <c r="H3480" s="156">
        <f>'Reported burning'!H3486</f>
        <v>0</v>
      </c>
      <c r="I3480" s="5"/>
    </row>
    <row r="3481" spans="1:9">
      <c r="A3481" s="156">
        <f>'Reported burning'!A3487</f>
        <v>0</v>
      </c>
      <c r="B3481" s="156">
        <f>'Reported burning'!B3487</f>
        <v>0</v>
      </c>
      <c r="C3481" s="156">
        <f>'Reported burning'!C3487</f>
        <v>0</v>
      </c>
      <c r="D3481" s="156">
        <f>'Reported burning'!D3487</f>
        <v>0</v>
      </c>
      <c r="E3481" s="156">
        <f>'Reported burning'!E3487</f>
        <v>0</v>
      </c>
      <c r="F3481" s="156">
        <f>'Reported burning'!F3487</f>
        <v>0</v>
      </c>
      <c r="G3481" s="156">
        <f>'Reported burning'!G3487</f>
        <v>0</v>
      </c>
      <c r="H3481" s="156">
        <f>'Reported burning'!H3487</f>
        <v>0</v>
      </c>
      <c r="I3481" s="5"/>
    </row>
    <row r="3482" spans="1:9">
      <c r="A3482" s="156">
        <f>'Reported burning'!A3488</f>
        <v>0</v>
      </c>
      <c r="B3482" s="156">
        <f>'Reported burning'!B3488</f>
        <v>0</v>
      </c>
      <c r="C3482" s="156">
        <f>'Reported burning'!C3488</f>
        <v>0</v>
      </c>
      <c r="D3482" s="156">
        <f>'Reported burning'!D3488</f>
        <v>0</v>
      </c>
      <c r="E3482" s="156">
        <f>'Reported burning'!E3488</f>
        <v>0</v>
      </c>
      <c r="F3482" s="156">
        <f>'Reported burning'!F3488</f>
        <v>0</v>
      </c>
      <c r="G3482" s="156">
        <f>'Reported burning'!G3488</f>
        <v>0</v>
      </c>
      <c r="H3482" s="156">
        <f>'Reported burning'!H3488</f>
        <v>0</v>
      </c>
      <c r="I3482" s="5"/>
    </row>
    <row r="3483" spans="1:9">
      <c r="A3483" s="156">
        <f>'Reported burning'!A3489</f>
        <v>0</v>
      </c>
      <c r="B3483" s="156">
        <f>'Reported burning'!B3489</f>
        <v>0</v>
      </c>
      <c r="C3483" s="156">
        <f>'Reported burning'!C3489</f>
        <v>0</v>
      </c>
      <c r="D3483" s="156">
        <f>'Reported burning'!D3489</f>
        <v>0</v>
      </c>
      <c r="E3483" s="156">
        <f>'Reported burning'!E3489</f>
        <v>0</v>
      </c>
      <c r="F3483" s="156">
        <f>'Reported burning'!F3489</f>
        <v>0</v>
      </c>
      <c r="G3483" s="156">
        <f>'Reported burning'!G3489</f>
        <v>0</v>
      </c>
      <c r="H3483" s="156">
        <f>'Reported burning'!H3489</f>
        <v>0</v>
      </c>
      <c r="I3483" s="5"/>
    </row>
    <row r="3484" spans="1:9">
      <c r="A3484" s="156">
        <f>'Reported burning'!A3490</f>
        <v>0</v>
      </c>
      <c r="B3484" s="156">
        <f>'Reported burning'!B3490</f>
        <v>0</v>
      </c>
      <c r="C3484" s="156">
        <f>'Reported burning'!C3490</f>
        <v>0</v>
      </c>
      <c r="D3484" s="156">
        <f>'Reported burning'!D3490</f>
        <v>0</v>
      </c>
      <c r="E3484" s="156">
        <f>'Reported burning'!E3490</f>
        <v>0</v>
      </c>
      <c r="F3484" s="156">
        <f>'Reported burning'!F3490</f>
        <v>0</v>
      </c>
      <c r="G3484" s="156">
        <f>'Reported burning'!G3490</f>
        <v>0</v>
      </c>
      <c r="H3484" s="156">
        <f>'Reported burning'!H3490</f>
        <v>0</v>
      </c>
      <c r="I3484" s="5"/>
    </row>
    <row r="3485" spans="1:9">
      <c r="A3485" s="156">
        <f>'Reported burning'!A3491</f>
        <v>0</v>
      </c>
      <c r="B3485" s="156">
        <f>'Reported burning'!B3491</f>
        <v>0</v>
      </c>
      <c r="C3485" s="156">
        <f>'Reported burning'!C3491</f>
        <v>0</v>
      </c>
      <c r="D3485" s="156">
        <f>'Reported burning'!D3491</f>
        <v>0</v>
      </c>
      <c r="E3485" s="156">
        <f>'Reported burning'!E3491</f>
        <v>0</v>
      </c>
      <c r="F3485" s="156">
        <f>'Reported burning'!F3491</f>
        <v>0</v>
      </c>
      <c r="G3485" s="156">
        <f>'Reported burning'!G3491</f>
        <v>0</v>
      </c>
      <c r="H3485" s="156">
        <f>'Reported burning'!H3491</f>
        <v>0</v>
      </c>
      <c r="I3485" s="5"/>
    </row>
    <row r="3486" spans="1:9">
      <c r="A3486" s="156">
        <f>'Reported burning'!A3492</f>
        <v>0</v>
      </c>
      <c r="B3486" s="156">
        <f>'Reported burning'!B3492</f>
        <v>0</v>
      </c>
      <c r="C3486" s="156">
        <f>'Reported burning'!C3492</f>
        <v>0</v>
      </c>
      <c r="D3486" s="156">
        <f>'Reported burning'!D3492</f>
        <v>0</v>
      </c>
      <c r="E3486" s="156">
        <f>'Reported burning'!E3492</f>
        <v>0</v>
      </c>
      <c r="F3486" s="156">
        <f>'Reported burning'!F3492</f>
        <v>0</v>
      </c>
      <c r="G3486" s="156">
        <f>'Reported burning'!G3492</f>
        <v>0</v>
      </c>
      <c r="H3486" s="156">
        <f>'Reported burning'!H3492</f>
        <v>0</v>
      </c>
      <c r="I3486" s="5"/>
    </row>
    <row r="3487" spans="1:9">
      <c r="A3487" s="156">
        <f>'Reported burning'!A3493</f>
        <v>0</v>
      </c>
      <c r="B3487" s="156">
        <f>'Reported burning'!B3493</f>
        <v>0</v>
      </c>
      <c r="C3487" s="156">
        <f>'Reported burning'!C3493</f>
        <v>0</v>
      </c>
      <c r="D3487" s="156">
        <f>'Reported burning'!D3493</f>
        <v>0</v>
      </c>
      <c r="E3487" s="156">
        <f>'Reported burning'!E3493</f>
        <v>0</v>
      </c>
      <c r="F3487" s="156">
        <f>'Reported burning'!F3493</f>
        <v>0</v>
      </c>
      <c r="G3487" s="156">
        <f>'Reported burning'!G3493</f>
        <v>0</v>
      </c>
      <c r="H3487" s="156">
        <f>'Reported burning'!H3493</f>
        <v>0</v>
      </c>
      <c r="I3487" s="5"/>
    </row>
    <row r="3488" spans="1:9">
      <c r="A3488" s="156">
        <f>'Reported burning'!A3494</f>
        <v>0</v>
      </c>
      <c r="B3488" s="156">
        <f>'Reported burning'!B3494</f>
        <v>0</v>
      </c>
      <c r="C3488" s="156">
        <f>'Reported burning'!C3494</f>
        <v>0</v>
      </c>
      <c r="D3488" s="156">
        <f>'Reported burning'!D3494</f>
        <v>0</v>
      </c>
      <c r="E3488" s="156">
        <f>'Reported burning'!E3494</f>
        <v>0</v>
      </c>
      <c r="F3488" s="156">
        <f>'Reported burning'!F3494</f>
        <v>0</v>
      </c>
      <c r="G3488" s="156">
        <f>'Reported burning'!G3494</f>
        <v>0</v>
      </c>
      <c r="H3488" s="156">
        <f>'Reported burning'!H3494</f>
        <v>0</v>
      </c>
      <c r="I3488" s="5"/>
    </row>
    <row r="3489" spans="1:9">
      <c r="A3489" s="156">
        <f>'Reported burning'!A3495</f>
        <v>0</v>
      </c>
      <c r="B3489" s="156">
        <f>'Reported burning'!B3495</f>
        <v>0</v>
      </c>
      <c r="C3489" s="156">
        <f>'Reported burning'!C3495</f>
        <v>0</v>
      </c>
      <c r="D3489" s="156">
        <f>'Reported burning'!D3495</f>
        <v>0</v>
      </c>
      <c r="E3489" s="156">
        <f>'Reported burning'!E3495</f>
        <v>0</v>
      </c>
      <c r="F3489" s="156">
        <f>'Reported burning'!F3495</f>
        <v>0</v>
      </c>
      <c r="G3489" s="156">
        <f>'Reported burning'!G3495</f>
        <v>0</v>
      </c>
      <c r="H3489" s="156">
        <f>'Reported burning'!H3495</f>
        <v>0</v>
      </c>
      <c r="I3489" s="5"/>
    </row>
    <row r="3490" spans="1:9">
      <c r="A3490" s="156">
        <f>'Reported burning'!A3496</f>
        <v>0</v>
      </c>
      <c r="B3490" s="156">
        <f>'Reported burning'!B3496</f>
        <v>0</v>
      </c>
      <c r="C3490" s="156">
        <f>'Reported burning'!C3496</f>
        <v>0</v>
      </c>
      <c r="D3490" s="156">
        <f>'Reported burning'!D3496</f>
        <v>0</v>
      </c>
      <c r="E3490" s="156">
        <f>'Reported burning'!E3496</f>
        <v>0</v>
      </c>
      <c r="F3490" s="156">
        <f>'Reported burning'!F3496</f>
        <v>0</v>
      </c>
      <c r="G3490" s="156">
        <f>'Reported burning'!G3496</f>
        <v>0</v>
      </c>
      <c r="H3490" s="156">
        <f>'Reported burning'!H3496</f>
        <v>0</v>
      </c>
      <c r="I3490" s="5"/>
    </row>
    <row r="3491" spans="1:9">
      <c r="A3491" s="156">
        <f>'Reported burning'!A3497</f>
        <v>0</v>
      </c>
      <c r="B3491" s="156">
        <f>'Reported burning'!B3497</f>
        <v>0</v>
      </c>
      <c r="C3491" s="156">
        <f>'Reported burning'!C3497</f>
        <v>0</v>
      </c>
      <c r="D3491" s="156">
        <f>'Reported burning'!D3497</f>
        <v>0</v>
      </c>
      <c r="E3491" s="156">
        <f>'Reported burning'!E3497</f>
        <v>0</v>
      </c>
      <c r="F3491" s="156">
        <f>'Reported burning'!F3497</f>
        <v>0</v>
      </c>
      <c r="G3491" s="156">
        <f>'Reported burning'!G3497</f>
        <v>0</v>
      </c>
      <c r="H3491" s="156">
        <f>'Reported burning'!H3497</f>
        <v>0</v>
      </c>
      <c r="I3491" s="5"/>
    </row>
    <row r="3492" spans="1:9">
      <c r="A3492" s="156">
        <f>'Reported burning'!A3498</f>
        <v>0</v>
      </c>
      <c r="B3492" s="156">
        <f>'Reported burning'!B3498</f>
        <v>0</v>
      </c>
      <c r="C3492" s="156">
        <f>'Reported burning'!C3498</f>
        <v>0</v>
      </c>
      <c r="D3492" s="156">
        <f>'Reported burning'!D3498</f>
        <v>0</v>
      </c>
      <c r="E3492" s="156">
        <f>'Reported burning'!E3498</f>
        <v>0</v>
      </c>
      <c r="F3492" s="156">
        <f>'Reported burning'!F3498</f>
        <v>0</v>
      </c>
      <c r="G3492" s="156">
        <f>'Reported burning'!G3498</f>
        <v>0</v>
      </c>
      <c r="H3492" s="156">
        <f>'Reported burning'!H3498</f>
        <v>0</v>
      </c>
      <c r="I3492" s="5"/>
    </row>
    <row r="3493" spans="1:9">
      <c r="A3493" s="156">
        <f>'Reported burning'!A3499</f>
        <v>0</v>
      </c>
      <c r="B3493" s="156">
        <f>'Reported burning'!B3499</f>
        <v>0</v>
      </c>
      <c r="C3493" s="156">
        <f>'Reported burning'!C3499</f>
        <v>0</v>
      </c>
      <c r="D3493" s="156">
        <f>'Reported burning'!D3499</f>
        <v>0</v>
      </c>
      <c r="E3493" s="156">
        <f>'Reported burning'!E3499</f>
        <v>0</v>
      </c>
      <c r="F3493" s="156">
        <f>'Reported burning'!F3499</f>
        <v>0</v>
      </c>
      <c r="G3493" s="156">
        <f>'Reported burning'!G3499</f>
        <v>0</v>
      </c>
      <c r="H3493" s="156">
        <f>'Reported burning'!H3499</f>
        <v>0</v>
      </c>
      <c r="I3493" s="5"/>
    </row>
    <row r="3494" spans="1:9">
      <c r="A3494" s="156">
        <f>'Reported burning'!A3500</f>
        <v>0</v>
      </c>
      <c r="B3494" s="156">
        <f>'Reported burning'!B3500</f>
        <v>0</v>
      </c>
      <c r="C3494" s="156">
        <f>'Reported burning'!C3500</f>
        <v>0</v>
      </c>
      <c r="D3494" s="156">
        <f>'Reported burning'!D3500</f>
        <v>0</v>
      </c>
      <c r="E3494" s="156">
        <f>'Reported burning'!E3500</f>
        <v>0</v>
      </c>
      <c r="F3494" s="156">
        <f>'Reported burning'!F3500</f>
        <v>0</v>
      </c>
      <c r="G3494" s="156">
        <f>'Reported burning'!G3500</f>
        <v>0</v>
      </c>
      <c r="H3494" s="156">
        <f>'Reported burning'!H3500</f>
        <v>0</v>
      </c>
      <c r="I3494" s="5"/>
    </row>
    <row r="3495" spans="1:9">
      <c r="A3495" s="156">
        <f>'Reported burning'!A3501</f>
        <v>0</v>
      </c>
      <c r="B3495" s="156">
        <f>'Reported burning'!B3501</f>
        <v>0</v>
      </c>
      <c r="C3495" s="156">
        <f>'Reported burning'!C3501</f>
        <v>0</v>
      </c>
      <c r="D3495" s="156">
        <f>'Reported burning'!D3501</f>
        <v>0</v>
      </c>
      <c r="E3495" s="156">
        <f>'Reported burning'!E3501</f>
        <v>0</v>
      </c>
      <c r="F3495" s="156">
        <f>'Reported burning'!F3501</f>
        <v>0</v>
      </c>
      <c r="G3495" s="156">
        <f>'Reported burning'!G3501</f>
        <v>0</v>
      </c>
      <c r="H3495" s="156">
        <f>'Reported burning'!H3501</f>
        <v>0</v>
      </c>
      <c r="I3495" s="5"/>
    </row>
    <row r="3496" spans="1:9">
      <c r="A3496" s="156">
        <f>'Reported burning'!A3502</f>
        <v>0</v>
      </c>
      <c r="B3496" s="156">
        <f>'Reported burning'!B3502</f>
        <v>0</v>
      </c>
      <c r="C3496" s="156">
        <f>'Reported burning'!C3502</f>
        <v>0</v>
      </c>
      <c r="D3496" s="156">
        <f>'Reported burning'!D3502</f>
        <v>0</v>
      </c>
      <c r="E3496" s="156">
        <f>'Reported burning'!E3502</f>
        <v>0</v>
      </c>
      <c r="F3496" s="156">
        <f>'Reported burning'!F3502</f>
        <v>0</v>
      </c>
      <c r="G3496" s="156">
        <f>'Reported burning'!G3502</f>
        <v>0</v>
      </c>
      <c r="H3496" s="156">
        <f>'Reported burning'!H3502</f>
        <v>0</v>
      </c>
      <c r="I3496" s="5"/>
    </row>
    <row r="3497" spans="1:9">
      <c r="A3497" s="156">
        <f>'Reported burning'!A3503</f>
        <v>0</v>
      </c>
      <c r="B3497" s="156">
        <f>'Reported burning'!B3503</f>
        <v>0</v>
      </c>
      <c r="C3497" s="156">
        <f>'Reported burning'!C3503</f>
        <v>0</v>
      </c>
      <c r="D3497" s="156">
        <f>'Reported burning'!D3503</f>
        <v>0</v>
      </c>
      <c r="E3497" s="156">
        <f>'Reported burning'!E3503</f>
        <v>0</v>
      </c>
      <c r="F3497" s="156">
        <f>'Reported burning'!F3503</f>
        <v>0</v>
      </c>
      <c r="G3497" s="156">
        <f>'Reported burning'!G3503</f>
        <v>0</v>
      </c>
      <c r="H3497" s="156">
        <f>'Reported burning'!H3503</f>
        <v>0</v>
      </c>
      <c r="I3497" s="5"/>
    </row>
    <row r="3498" spans="1:9">
      <c r="A3498" s="156">
        <f>'Reported burning'!A3504</f>
        <v>0</v>
      </c>
      <c r="B3498" s="156">
        <f>'Reported burning'!B3504</f>
        <v>0</v>
      </c>
      <c r="C3498" s="156">
        <f>'Reported burning'!C3504</f>
        <v>0</v>
      </c>
      <c r="D3498" s="156">
        <f>'Reported burning'!D3504</f>
        <v>0</v>
      </c>
      <c r="E3498" s="156">
        <f>'Reported burning'!E3504</f>
        <v>0</v>
      </c>
      <c r="F3498" s="156">
        <f>'Reported burning'!F3504</f>
        <v>0</v>
      </c>
      <c r="G3498" s="156">
        <f>'Reported burning'!G3504</f>
        <v>0</v>
      </c>
      <c r="H3498" s="156">
        <f>'Reported burning'!H3504</f>
        <v>0</v>
      </c>
      <c r="I3498" s="5"/>
    </row>
    <row r="3499" spans="1:9">
      <c r="A3499" s="156">
        <f>'Reported burning'!A3505</f>
        <v>0</v>
      </c>
      <c r="B3499" s="156">
        <f>'Reported burning'!B3505</f>
        <v>0</v>
      </c>
      <c r="C3499" s="156">
        <f>'Reported burning'!C3505</f>
        <v>0</v>
      </c>
      <c r="D3499" s="156">
        <f>'Reported burning'!D3505</f>
        <v>0</v>
      </c>
      <c r="E3499" s="156">
        <f>'Reported burning'!E3505</f>
        <v>0</v>
      </c>
      <c r="F3499" s="156">
        <f>'Reported burning'!F3505</f>
        <v>0</v>
      </c>
      <c r="G3499" s="156">
        <f>'Reported burning'!G3505</f>
        <v>0</v>
      </c>
      <c r="H3499" s="156">
        <f>'Reported burning'!H3505</f>
        <v>0</v>
      </c>
      <c r="I3499" s="5"/>
    </row>
    <row r="3500" spans="1:9">
      <c r="A3500" s="156">
        <f>'Reported burning'!A3506</f>
        <v>0</v>
      </c>
      <c r="B3500" s="156">
        <f>'Reported burning'!B3506</f>
        <v>0</v>
      </c>
      <c r="C3500" s="156">
        <f>'Reported burning'!C3506</f>
        <v>0</v>
      </c>
      <c r="D3500" s="156">
        <f>'Reported burning'!D3506</f>
        <v>0</v>
      </c>
      <c r="E3500" s="156">
        <f>'Reported burning'!E3506</f>
        <v>0</v>
      </c>
      <c r="F3500" s="156">
        <f>'Reported burning'!F3506</f>
        <v>0</v>
      </c>
      <c r="G3500" s="156">
        <f>'Reported burning'!G3506</f>
        <v>0</v>
      </c>
      <c r="H3500" s="156">
        <f>'Reported burning'!H3506</f>
        <v>0</v>
      </c>
      <c r="I3500" s="5"/>
    </row>
    <row r="3501" spans="1:9">
      <c r="A3501" s="156">
        <f>'Reported burning'!A3507</f>
        <v>0</v>
      </c>
      <c r="B3501" s="156">
        <f>'Reported burning'!B3507</f>
        <v>0</v>
      </c>
      <c r="C3501" s="156">
        <f>'Reported burning'!C3507</f>
        <v>0</v>
      </c>
      <c r="D3501" s="156">
        <f>'Reported burning'!D3507</f>
        <v>0</v>
      </c>
      <c r="E3501" s="156">
        <f>'Reported burning'!E3507</f>
        <v>0</v>
      </c>
      <c r="F3501" s="156">
        <f>'Reported burning'!F3507</f>
        <v>0</v>
      </c>
      <c r="G3501" s="156">
        <f>'Reported burning'!G3507</f>
        <v>0</v>
      </c>
      <c r="H3501" s="156">
        <f>'Reported burning'!H3507</f>
        <v>0</v>
      </c>
      <c r="I3501" s="5"/>
    </row>
    <row r="3502" spans="1:9">
      <c r="A3502" s="156">
        <f>'Reported burning'!A3508</f>
        <v>0</v>
      </c>
      <c r="B3502" s="156">
        <f>'Reported burning'!B3508</f>
        <v>0</v>
      </c>
      <c r="C3502" s="156">
        <f>'Reported burning'!C3508</f>
        <v>0</v>
      </c>
      <c r="D3502" s="156">
        <f>'Reported burning'!D3508</f>
        <v>0</v>
      </c>
      <c r="E3502" s="156">
        <f>'Reported burning'!E3508</f>
        <v>0</v>
      </c>
      <c r="F3502" s="156">
        <f>'Reported burning'!F3508</f>
        <v>0</v>
      </c>
      <c r="G3502" s="156">
        <f>'Reported burning'!G3508</f>
        <v>0</v>
      </c>
      <c r="H3502" s="156">
        <f>'Reported burning'!H3508</f>
        <v>0</v>
      </c>
      <c r="I3502" s="5"/>
    </row>
    <row r="3503" spans="1:9">
      <c r="A3503" s="156">
        <f>'Reported burning'!A3509</f>
        <v>0</v>
      </c>
      <c r="B3503" s="156">
        <f>'Reported burning'!B3509</f>
        <v>0</v>
      </c>
      <c r="C3503" s="156">
        <f>'Reported burning'!C3509</f>
        <v>0</v>
      </c>
      <c r="D3503" s="156">
        <f>'Reported burning'!D3509</f>
        <v>0</v>
      </c>
      <c r="E3503" s="156">
        <f>'Reported burning'!E3509</f>
        <v>0</v>
      </c>
      <c r="F3503" s="156">
        <f>'Reported burning'!F3509</f>
        <v>0</v>
      </c>
      <c r="G3503" s="156">
        <f>'Reported burning'!G3509</f>
        <v>0</v>
      </c>
      <c r="H3503" s="156">
        <f>'Reported burning'!H3509</f>
        <v>0</v>
      </c>
      <c r="I3503" s="5"/>
    </row>
    <row r="3504" spans="1:9">
      <c r="A3504" s="156">
        <f>'Reported burning'!A3510</f>
        <v>0</v>
      </c>
      <c r="B3504" s="156">
        <f>'Reported burning'!B3510</f>
        <v>0</v>
      </c>
      <c r="C3504" s="156">
        <f>'Reported burning'!C3510</f>
        <v>0</v>
      </c>
      <c r="D3504" s="156">
        <f>'Reported burning'!D3510</f>
        <v>0</v>
      </c>
      <c r="E3504" s="156">
        <f>'Reported burning'!E3510</f>
        <v>0</v>
      </c>
      <c r="F3504" s="156">
        <f>'Reported burning'!F3510</f>
        <v>0</v>
      </c>
      <c r="G3504" s="156">
        <f>'Reported burning'!G3510</f>
        <v>0</v>
      </c>
      <c r="H3504" s="156">
        <f>'Reported burning'!H3510</f>
        <v>0</v>
      </c>
      <c r="I3504" s="5"/>
    </row>
    <row r="3505" spans="1:9">
      <c r="A3505" s="156">
        <f>'Reported burning'!A3511</f>
        <v>0</v>
      </c>
      <c r="B3505" s="156">
        <f>'Reported burning'!B3511</f>
        <v>0</v>
      </c>
      <c r="C3505" s="156">
        <f>'Reported burning'!C3511</f>
        <v>0</v>
      </c>
      <c r="D3505" s="156">
        <f>'Reported burning'!D3511</f>
        <v>0</v>
      </c>
      <c r="E3505" s="156">
        <f>'Reported burning'!E3511</f>
        <v>0</v>
      </c>
      <c r="F3505" s="156">
        <f>'Reported burning'!F3511</f>
        <v>0</v>
      </c>
      <c r="G3505" s="156">
        <f>'Reported burning'!G3511</f>
        <v>0</v>
      </c>
      <c r="H3505" s="156">
        <f>'Reported burning'!H3511</f>
        <v>0</v>
      </c>
      <c r="I3505" s="5"/>
    </row>
    <row r="3506" spans="1:9">
      <c r="A3506" s="156">
        <f>'Reported burning'!A3512</f>
        <v>0</v>
      </c>
      <c r="B3506" s="156">
        <f>'Reported burning'!B3512</f>
        <v>0</v>
      </c>
      <c r="C3506" s="156">
        <f>'Reported burning'!C3512</f>
        <v>0</v>
      </c>
      <c r="D3506" s="156">
        <f>'Reported burning'!D3512</f>
        <v>0</v>
      </c>
      <c r="E3506" s="156">
        <f>'Reported burning'!E3512</f>
        <v>0</v>
      </c>
      <c r="F3506" s="156">
        <f>'Reported burning'!F3512</f>
        <v>0</v>
      </c>
      <c r="G3506" s="156">
        <f>'Reported burning'!G3512</f>
        <v>0</v>
      </c>
      <c r="H3506" s="156">
        <f>'Reported burning'!H3512</f>
        <v>0</v>
      </c>
      <c r="I3506" s="5"/>
    </row>
    <row r="3507" spans="1:9">
      <c r="A3507" s="156">
        <f>'Reported burning'!A3513</f>
        <v>0</v>
      </c>
      <c r="B3507" s="156">
        <f>'Reported burning'!B3513</f>
        <v>0</v>
      </c>
      <c r="C3507" s="156">
        <f>'Reported burning'!C3513</f>
        <v>0</v>
      </c>
      <c r="D3507" s="156">
        <f>'Reported burning'!D3513</f>
        <v>0</v>
      </c>
      <c r="E3507" s="156">
        <f>'Reported burning'!E3513</f>
        <v>0</v>
      </c>
      <c r="F3507" s="156">
        <f>'Reported burning'!F3513</f>
        <v>0</v>
      </c>
      <c r="G3507" s="156">
        <f>'Reported burning'!G3513</f>
        <v>0</v>
      </c>
      <c r="H3507" s="156">
        <f>'Reported burning'!H3513</f>
        <v>0</v>
      </c>
      <c r="I3507" s="5"/>
    </row>
    <row r="3508" spans="1:9">
      <c r="A3508" s="156">
        <f>'Reported burning'!A3514</f>
        <v>0</v>
      </c>
      <c r="B3508" s="156">
        <f>'Reported burning'!B3514</f>
        <v>0</v>
      </c>
      <c r="C3508" s="156">
        <f>'Reported burning'!C3514</f>
        <v>0</v>
      </c>
      <c r="D3508" s="156">
        <f>'Reported burning'!D3514</f>
        <v>0</v>
      </c>
      <c r="E3508" s="156">
        <f>'Reported burning'!E3514</f>
        <v>0</v>
      </c>
      <c r="F3508" s="156">
        <f>'Reported burning'!F3514</f>
        <v>0</v>
      </c>
      <c r="G3508" s="156">
        <f>'Reported burning'!G3514</f>
        <v>0</v>
      </c>
      <c r="H3508" s="156">
        <f>'Reported burning'!H3514</f>
        <v>0</v>
      </c>
      <c r="I3508" s="5"/>
    </row>
    <row r="3509" spans="1:9">
      <c r="A3509" s="156">
        <f>'Reported burning'!A3515</f>
        <v>0</v>
      </c>
      <c r="B3509" s="156">
        <f>'Reported burning'!B3515</f>
        <v>0</v>
      </c>
      <c r="C3509" s="156">
        <f>'Reported burning'!C3515</f>
        <v>0</v>
      </c>
      <c r="D3509" s="156">
        <f>'Reported burning'!D3515</f>
        <v>0</v>
      </c>
      <c r="E3509" s="156">
        <f>'Reported burning'!E3515</f>
        <v>0</v>
      </c>
      <c r="F3509" s="156">
        <f>'Reported burning'!F3515</f>
        <v>0</v>
      </c>
      <c r="G3509" s="156">
        <f>'Reported burning'!G3515</f>
        <v>0</v>
      </c>
      <c r="H3509" s="156">
        <f>'Reported burning'!H3515</f>
        <v>0</v>
      </c>
      <c r="I3509" s="5"/>
    </row>
    <row r="3510" spans="1:9">
      <c r="A3510" s="156">
        <f>'Reported burning'!A3516</f>
        <v>0</v>
      </c>
      <c r="B3510" s="156">
        <f>'Reported burning'!B3516</f>
        <v>0</v>
      </c>
      <c r="C3510" s="156">
        <f>'Reported burning'!C3516</f>
        <v>0</v>
      </c>
      <c r="D3510" s="156">
        <f>'Reported burning'!D3516</f>
        <v>0</v>
      </c>
      <c r="E3510" s="156">
        <f>'Reported burning'!E3516</f>
        <v>0</v>
      </c>
      <c r="F3510" s="156">
        <f>'Reported burning'!F3516</f>
        <v>0</v>
      </c>
      <c r="G3510" s="156">
        <f>'Reported burning'!G3516</f>
        <v>0</v>
      </c>
      <c r="H3510" s="156">
        <f>'Reported burning'!H3516</f>
        <v>0</v>
      </c>
      <c r="I3510" s="5"/>
    </row>
    <row r="3511" spans="1:9">
      <c r="A3511" s="156">
        <f>'Reported burning'!A3517</f>
        <v>0</v>
      </c>
      <c r="B3511" s="156">
        <f>'Reported burning'!B3517</f>
        <v>0</v>
      </c>
      <c r="C3511" s="156">
        <f>'Reported burning'!C3517</f>
        <v>0</v>
      </c>
      <c r="D3511" s="156">
        <f>'Reported burning'!D3517</f>
        <v>0</v>
      </c>
      <c r="E3511" s="156">
        <f>'Reported burning'!E3517</f>
        <v>0</v>
      </c>
      <c r="F3511" s="156">
        <f>'Reported burning'!F3517</f>
        <v>0</v>
      </c>
      <c r="G3511" s="156">
        <f>'Reported burning'!G3517</f>
        <v>0</v>
      </c>
      <c r="H3511" s="156">
        <f>'Reported burning'!H3517</f>
        <v>0</v>
      </c>
      <c r="I3511" s="5"/>
    </row>
    <row r="3512" spans="1:9">
      <c r="A3512" s="156">
        <f>'Reported burning'!A3518</f>
        <v>0</v>
      </c>
      <c r="B3512" s="156">
        <f>'Reported burning'!B3518</f>
        <v>0</v>
      </c>
      <c r="C3512" s="156">
        <f>'Reported burning'!C3518</f>
        <v>0</v>
      </c>
      <c r="D3512" s="156">
        <f>'Reported burning'!D3518</f>
        <v>0</v>
      </c>
      <c r="E3512" s="156">
        <f>'Reported burning'!E3518</f>
        <v>0</v>
      </c>
      <c r="F3512" s="156">
        <f>'Reported burning'!F3518</f>
        <v>0</v>
      </c>
      <c r="G3512" s="156">
        <f>'Reported burning'!G3518</f>
        <v>0</v>
      </c>
      <c r="H3512" s="156">
        <f>'Reported burning'!H3518</f>
        <v>0</v>
      </c>
      <c r="I3512" s="5"/>
    </row>
    <row r="3513" spans="1:9">
      <c r="A3513" s="156">
        <f>'Reported burning'!A3519</f>
        <v>0</v>
      </c>
      <c r="B3513" s="156">
        <f>'Reported burning'!B3519</f>
        <v>0</v>
      </c>
      <c r="C3513" s="156">
        <f>'Reported burning'!C3519</f>
        <v>0</v>
      </c>
      <c r="D3513" s="156">
        <f>'Reported burning'!D3519</f>
        <v>0</v>
      </c>
      <c r="E3513" s="156">
        <f>'Reported burning'!E3519</f>
        <v>0</v>
      </c>
      <c r="F3513" s="156">
        <f>'Reported burning'!F3519</f>
        <v>0</v>
      </c>
      <c r="G3513" s="156">
        <f>'Reported burning'!G3519</f>
        <v>0</v>
      </c>
      <c r="H3513" s="156">
        <f>'Reported burning'!H3519</f>
        <v>0</v>
      </c>
      <c r="I3513" s="5"/>
    </row>
    <row r="3514" spans="1:9">
      <c r="A3514" s="156">
        <f>'Reported burning'!A3520</f>
        <v>0</v>
      </c>
      <c r="B3514" s="156">
        <f>'Reported burning'!B3520</f>
        <v>0</v>
      </c>
      <c r="C3514" s="156">
        <f>'Reported burning'!C3520</f>
        <v>0</v>
      </c>
      <c r="D3514" s="156">
        <f>'Reported burning'!D3520</f>
        <v>0</v>
      </c>
      <c r="E3514" s="156">
        <f>'Reported burning'!E3520</f>
        <v>0</v>
      </c>
      <c r="F3514" s="156">
        <f>'Reported burning'!F3520</f>
        <v>0</v>
      </c>
      <c r="G3514" s="156">
        <f>'Reported burning'!G3520</f>
        <v>0</v>
      </c>
      <c r="H3514" s="156">
        <f>'Reported burning'!H3520</f>
        <v>0</v>
      </c>
      <c r="I3514" s="5"/>
    </row>
    <row r="3515" spans="1:9">
      <c r="A3515" s="156">
        <f>'Reported burning'!A3521</f>
        <v>0</v>
      </c>
      <c r="B3515" s="156">
        <f>'Reported burning'!B3521</f>
        <v>0</v>
      </c>
      <c r="C3515" s="156">
        <f>'Reported burning'!C3521</f>
        <v>0</v>
      </c>
      <c r="D3515" s="156">
        <f>'Reported burning'!D3521</f>
        <v>0</v>
      </c>
      <c r="E3515" s="156">
        <f>'Reported burning'!E3521</f>
        <v>0</v>
      </c>
      <c r="F3515" s="156">
        <f>'Reported burning'!F3521</f>
        <v>0</v>
      </c>
      <c r="G3515" s="156">
        <f>'Reported burning'!G3521</f>
        <v>0</v>
      </c>
      <c r="H3515" s="156">
        <f>'Reported burning'!H3521</f>
        <v>0</v>
      </c>
      <c r="I3515" s="5"/>
    </row>
    <row r="3516" spans="1:9">
      <c r="A3516" s="156">
        <f>'Reported burning'!A3522</f>
        <v>0</v>
      </c>
      <c r="B3516" s="156">
        <f>'Reported burning'!B3522</f>
        <v>0</v>
      </c>
      <c r="C3516" s="156">
        <f>'Reported burning'!C3522</f>
        <v>0</v>
      </c>
      <c r="D3516" s="156">
        <f>'Reported burning'!D3522</f>
        <v>0</v>
      </c>
      <c r="E3516" s="156">
        <f>'Reported burning'!E3522</f>
        <v>0</v>
      </c>
      <c r="F3516" s="156">
        <f>'Reported burning'!F3522</f>
        <v>0</v>
      </c>
      <c r="G3516" s="156">
        <f>'Reported burning'!G3522</f>
        <v>0</v>
      </c>
      <c r="H3516" s="156">
        <f>'Reported burning'!H3522</f>
        <v>0</v>
      </c>
      <c r="I3516" s="5"/>
    </row>
    <row r="3517" spans="1:9">
      <c r="A3517" s="156">
        <f>'Reported burning'!A3523</f>
        <v>0</v>
      </c>
      <c r="B3517" s="156">
        <f>'Reported burning'!B3523</f>
        <v>0</v>
      </c>
      <c r="C3517" s="156">
        <f>'Reported burning'!C3523</f>
        <v>0</v>
      </c>
      <c r="D3517" s="156">
        <f>'Reported burning'!D3523</f>
        <v>0</v>
      </c>
      <c r="E3517" s="156">
        <f>'Reported burning'!E3523</f>
        <v>0</v>
      </c>
      <c r="F3517" s="156">
        <f>'Reported burning'!F3523</f>
        <v>0</v>
      </c>
      <c r="G3517" s="156">
        <f>'Reported burning'!G3523</f>
        <v>0</v>
      </c>
      <c r="H3517" s="156">
        <f>'Reported burning'!H3523</f>
        <v>0</v>
      </c>
      <c r="I3517" s="5"/>
    </row>
    <row r="3518" spans="1:9">
      <c r="A3518" s="156">
        <f>'Reported burning'!A3524</f>
        <v>0</v>
      </c>
      <c r="B3518" s="156">
        <f>'Reported burning'!B3524</f>
        <v>0</v>
      </c>
      <c r="C3518" s="156">
        <f>'Reported burning'!C3524</f>
        <v>0</v>
      </c>
      <c r="D3518" s="156">
        <f>'Reported burning'!D3524</f>
        <v>0</v>
      </c>
      <c r="E3518" s="156">
        <f>'Reported burning'!E3524</f>
        <v>0</v>
      </c>
      <c r="F3518" s="156">
        <f>'Reported burning'!F3524</f>
        <v>0</v>
      </c>
      <c r="G3518" s="156">
        <f>'Reported burning'!G3524</f>
        <v>0</v>
      </c>
      <c r="H3518" s="156">
        <f>'Reported burning'!H3524</f>
        <v>0</v>
      </c>
      <c r="I3518" s="5"/>
    </row>
    <row r="3519" spans="1:9">
      <c r="A3519" s="156">
        <f>'Reported burning'!A3525</f>
        <v>0</v>
      </c>
      <c r="B3519" s="156">
        <f>'Reported burning'!B3525</f>
        <v>0</v>
      </c>
      <c r="C3519" s="156">
        <f>'Reported burning'!C3525</f>
        <v>0</v>
      </c>
      <c r="D3519" s="156">
        <f>'Reported burning'!D3525</f>
        <v>0</v>
      </c>
      <c r="E3519" s="156">
        <f>'Reported burning'!E3525</f>
        <v>0</v>
      </c>
      <c r="F3519" s="156">
        <f>'Reported burning'!F3525</f>
        <v>0</v>
      </c>
      <c r="G3519" s="156">
        <f>'Reported burning'!G3525</f>
        <v>0</v>
      </c>
      <c r="H3519" s="156">
        <f>'Reported burning'!H3525</f>
        <v>0</v>
      </c>
      <c r="I3519" s="5"/>
    </row>
    <row r="3520" spans="1:9">
      <c r="A3520" s="156">
        <f>'Reported burning'!A3526</f>
        <v>0</v>
      </c>
      <c r="B3520" s="156">
        <f>'Reported burning'!B3526</f>
        <v>0</v>
      </c>
      <c r="C3520" s="156">
        <f>'Reported burning'!C3526</f>
        <v>0</v>
      </c>
      <c r="D3520" s="156">
        <f>'Reported burning'!D3526</f>
        <v>0</v>
      </c>
      <c r="E3520" s="156">
        <f>'Reported burning'!E3526</f>
        <v>0</v>
      </c>
      <c r="F3520" s="156">
        <f>'Reported burning'!F3526</f>
        <v>0</v>
      </c>
      <c r="G3520" s="156">
        <f>'Reported burning'!G3526</f>
        <v>0</v>
      </c>
      <c r="H3520" s="156">
        <f>'Reported burning'!H3526</f>
        <v>0</v>
      </c>
      <c r="I3520" s="5"/>
    </row>
    <row r="3521" spans="1:9">
      <c r="A3521" s="156">
        <f>'Reported burning'!A3527</f>
        <v>0</v>
      </c>
      <c r="B3521" s="156">
        <f>'Reported burning'!B3527</f>
        <v>0</v>
      </c>
      <c r="C3521" s="156">
        <f>'Reported burning'!C3527</f>
        <v>0</v>
      </c>
      <c r="D3521" s="156">
        <f>'Reported burning'!D3527</f>
        <v>0</v>
      </c>
      <c r="E3521" s="156">
        <f>'Reported burning'!E3527</f>
        <v>0</v>
      </c>
      <c r="F3521" s="156">
        <f>'Reported burning'!F3527</f>
        <v>0</v>
      </c>
      <c r="G3521" s="156">
        <f>'Reported burning'!G3527</f>
        <v>0</v>
      </c>
      <c r="H3521" s="156">
        <f>'Reported burning'!H3527</f>
        <v>0</v>
      </c>
      <c r="I3521" s="5"/>
    </row>
    <row r="3522" spans="1:9">
      <c r="A3522" s="156">
        <f>'Reported burning'!A3528</f>
        <v>0</v>
      </c>
      <c r="B3522" s="156">
        <f>'Reported burning'!B3528</f>
        <v>0</v>
      </c>
      <c r="C3522" s="156">
        <f>'Reported burning'!C3528</f>
        <v>0</v>
      </c>
      <c r="D3522" s="156">
        <f>'Reported burning'!D3528</f>
        <v>0</v>
      </c>
      <c r="E3522" s="156">
        <f>'Reported burning'!E3528</f>
        <v>0</v>
      </c>
      <c r="F3522" s="156">
        <f>'Reported burning'!F3528</f>
        <v>0</v>
      </c>
      <c r="G3522" s="156">
        <f>'Reported burning'!G3528</f>
        <v>0</v>
      </c>
      <c r="H3522" s="156">
        <f>'Reported burning'!H3528</f>
        <v>0</v>
      </c>
      <c r="I3522" s="5"/>
    </row>
    <row r="3523" spans="1:9">
      <c r="A3523" s="156">
        <f>'Reported burning'!A3529</f>
        <v>0</v>
      </c>
      <c r="B3523" s="156">
        <f>'Reported burning'!B3529</f>
        <v>0</v>
      </c>
      <c r="C3523" s="156">
        <f>'Reported burning'!C3529</f>
        <v>0</v>
      </c>
      <c r="D3523" s="156">
        <f>'Reported burning'!D3529</f>
        <v>0</v>
      </c>
      <c r="E3523" s="156">
        <f>'Reported burning'!E3529</f>
        <v>0</v>
      </c>
      <c r="F3523" s="156">
        <f>'Reported burning'!F3529</f>
        <v>0</v>
      </c>
      <c r="G3523" s="156">
        <f>'Reported burning'!G3529</f>
        <v>0</v>
      </c>
      <c r="H3523" s="156">
        <f>'Reported burning'!H3529</f>
        <v>0</v>
      </c>
      <c r="I3523" s="5"/>
    </row>
    <row r="3524" spans="1:9">
      <c r="A3524" s="156">
        <f>'Reported burning'!A3530</f>
        <v>0</v>
      </c>
      <c r="B3524" s="156">
        <f>'Reported burning'!B3530</f>
        <v>0</v>
      </c>
      <c r="C3524" s="156">
        <f>'Reported burning'!C3530</f>
        <v>0</v>
      </c>
      <c r="D3524" s="156">
        <f>'Reported burning'!D3530</f>
        <v>0</v>
      </c>
      <c r="E3524" s="156">
        <f>'Reported burning'!E3530</f>
        <v>0</v>
      </c>
      <c r="F3524" s="156">
        <f>'Reported burning'!F3530</f>
        <v>0</v>
      </c>
      <c r="G3524" s="156">
        <f>'Reported burning'!G3530</f>
        <v>0</v>
      </c>
      <c r="H3524" s="156">
        <f>'Reported burning'!H3530</f>
        <v>0</v>
      </c>
      <c r="I3524" s="5"/>
    </row>
    <row r="3525" spans="1:9">
      <c r="A3525" s="156">
        <f>'Reported burning'!A3531</f>
        <v>0</v>
      </c>
      <c r="B3525" s="156">
        <f>'Reported burning'!B3531</f>
        <v>0</v>
      </c>
      <c r="C3525" s="156">
        <f>'Reported burning'!C3531</f>
        <v>0</v>
      </c>
      <c r="D3525" s="156">
        <f>'Reported burning'!D3531</f>
        <v>0</v>
      </c>
      <c r="E3525" s="156">
        <f>'Reported burning'!E3531</f>
        <v>0</v>
      </c>
      <c r="F3525" s="156">
        <f>'Reported burning'!F3531</f>
        <v>0</v>
      </c>
      <c r="G3525" s="156">
        <f>'Reported burning'!G3531</f>
        <v>0</v>
      </c>
      <c r="H3525" s="156">
        <f>'Reported burning'!H3531</f>
        <v>0</v>
      </c>
      <c r="I3525" s="5"/>
    </row>
    <row r="3526" spans="1:9">
      <c r="A3526" s="156">
        <f>'Reported burning'!A3532</f>
        <v>0</v>
      </c>
      <c r="B3526" s="156">
        <f>'Reported burning'!B3532</f>
        <v>0</v>
      </c>
      <c r="C3526" s="156">
        <f>'Reported burning'!C3532</f>
        <v>0</v>
      </c>
      <c r="D3526" s="156">
        <f>'Reported burning'!D3532</f>
        <v>0</v>
      </c>
      <c r="E3526" s="156">
        <f>'Reported burning'!E3532</f>
        <v>0</v>
      </c>
      <c r="F3526" s="156">
        <f>'Reported burning'!F3532</f>
        <v>0</v>
      </c>
      <c r="G3526" s="156">
        <f>'Reported burning'!G3532</f>
        <v>0</v>
      </c>
      <c r="H3526" s="156">
        <f>'Reported burning'!H3532</f>
        <v>0</v>
      </c>
      <c r="I3526" s="5"/>
    </row>
    <row r="3527" spans="1:9">
      <c r="A3527" s="156">
        <f>'Reported burning'!A3533</f>
        <v>0</v>
      </c>
      <c r="B3527" s="156">
        <f>'Reported burning'!B3533</f>
        <v>0</v>
      </c>
      <c r="C3527" s="156">
        <f>'Reported burning'!C3533</f>
        <v>0</v>
      </c>
      <c r="D3527" s="156">
        <f>'Reported burning'!D3533</f>
        <v>0</v>
      </c>
      <c r="E3527" s="156">
        <f>'Reported burning'!E3533</f>
        <v>0</v>
      </c>
      <c r="F3527" s="156">
        <f>'Reported burning'!F3533</f>
        <v>0</v>
      </c>
      <c r="G3527" s="156">
        <f>'Reported burning'!G3533</f>
        <v>0</v>
      </c>
      <c r="H3527" s="156">
        <f>'Reported burning'!H3533</f>
        <v>0</v>
      </c>
      <c r="I3527" s="5"/>
    </row>
    <row r="3528" spans="1:9">
      <c r="A3528" s="156">
        <f>'Reported burning'!A3534</f>
        <v>0</v>
      </c>
      <c r="B3528" s="156">
        <f>'Reported burning'!B3534</f>
        <v>0</v>
      </c>
      <c r="C3528" s="156">
        <f>'Reported burning'!C3534</f>
        <v>0</v>
      </c>
      <c r="D3528" s="156">
        <f>'Reported burning'!D3534</f>
        <v>0</v>
      </c>
      <c r="E3528" s="156">
        <f>'Reported burning'!E3534</f>
        <v>0</v>
      </c>
      <c r="F3528" s="156">
        <f>'Reported burning'!F3534</f>
        <v>0</v>
      </c>
      <c r="G3528" s="156">
        <f>'Reported burning'!G3534</f>
        <v>0</v>
      </c>
      <c r="H3528" s="156">
        <f>'Reported burning'!H3534</f>
        <v>0</v>
      </c>
      <c r="I3528" s="5"/>
    </row>
    <row r="3529" spans="1:9">
      <c r="A3529" s="156">
        <f>'Reported burning'!A3535</f>
        <v>0</v>
      </c>
      <c r="B3529" s="156">
        <f>'Reported burning'!B3535</f>
        <v>0</v>
      </c>
      <c r="C3529" s="156">
        <f>'Reported burning'!C3535</f>
        <v>0</v>
      </c>
      <c r="D3529" s="156">
        <f>'Reported burning'!D3535</f>
        <v>0</v>
      </c>
      <c r="E3529" s="156">
        <f>'Reported burning'!E3535</f>
        <v>0</v>
      </c>
      <c r="F3529" s="156">
        <f>'Reported burning'!F3535</f>
        <v>0</v>
      </c>
      <c r="G3529" s="156">
        <f>'Reported burning'!G3535</f>
        <v>0</v>
      </c>
      <c r="H3529" s="156">
        <f>'Reported burning'!H3535</f>
        <v>0</v>
      </c>
      <c r="I3529" s="5"/>
    </row>
    <row r="3530" spans="1:9">
      <c r="A3530" s="156">
        <f>'Reported burning'!A3536</f>
        <v>0</v>
      </c>
      <c r="B3530" s="156">
        <f>'Reported burning'!B3536</f>
        <v>0</v>
      </c>
      <c r="C3530" s="156">
        <f>'Reported burning'!C3536</f>
        <v>0</v>
      </c>
      <c r="D3530" s="156">
        <f>'Reported burning'!D3536</f>
        <v>0</v>
      </c>
      <c r="E3530" s="156">
        <f>'Reported burning'!E3536</f>
        <v>0</v>
      </c>
      <c r="F3530" s="156">
        <f>'Reported burning'!F3536</f>
        <v>0</v>
      </c>
      <c r="G3530" s="156">
        <f>'Reported burning'!G3536</f>
        <v>0</v>
      </c>
      <c r="H3530" s="156">
        <f>'Reported burning'!H3536</f>
        <v>0</v>
      </c>
      <c r="I3530" s="5"/>
    </row>
    <row r="3531" spans="1:9">
      <c r="A3531" s="156">
        <f>'Reported burning'!A3537</f>
        <v>0</v>
      </c>
      <c r="B3531" s="156">
        <f>'Reported burning'!B3537</f>
        <v>0</v>
      </c>
      <c r="C3531" s="156">
        <f>'Reported burning'!C3537</f>
        <v>0</v>
      </c>
      <c r="D3531" s="156">
        <f>'Reported burning'!D3537</f>
        <v>0</v>
      </c>
      <c r="E3531" s="156">
        <f>'Reported burning'!E3537</f>
        <v>0</v>
      </c>
      <c r="F3531" s="156">
        <f>'Reported burning'!F3537</f>
        <v>0</v>
      </c>
      <c r="G3531" s="156">
        <f>'Reported burning'!G3537</f>
        <v>0</v>
      </c>
      <c r="H3531" s="156">
        <f>'Reported burning'!H3537</f>
        <v>0</v>
      </c>
      <c r="I3531" s="5"/>
    </row>
    <row r="3532" spans="1:9">
      <c r="A3532" s="156">
        <f>'Reported burning'!A3538</f>
        <v>0</v>
      </c>
      <c r="B3532" s="156">
        <f>'Reported burning'!B3538</f>
        <v>0</v>
      </c>
      <c r="C3532" s="156">
        <f>'Reported burning'!C3538</f>
        <v>0</v>
      </c>
      <c r="D3532" s="156">
        <f>'Reported burning'!D3538</f>
        <v>0</v>
      </c>
      <c r="E3532" s="156">
        <f>'Reported burning'!E3538</f>
        <v>0</v>
      </c>
      <c r="F3532" s="156">
        <f>'Reported burning'!F3538</f>
        <v>0</v>
      </c>
      <c r="G3532" s="156">
        <f>'Reported burning'!G3538</f>
        <v>0</v>
      </c>
      <c r="H3532" s="156">
        <f>'Reported burning'!H3538</f>
        <v>0</v>
      </c>
      <c r="I3532" s="5"/>
    </row>
    <row r="3533" spans="1:9">
      <c r="A3533" s="156">
        <f>'Reported burning'!A3539</f>
        <v>0</v>
      </c>
      <c r="B3533" s="156">
        <f>'Reported burning'!B3539</f>
        <v>0</v>
      </c>
      <c r="C3533" s="156">
        <f>'Reported burning'!C3539</f>
        <v>0</v>
      </c>
      <c r="D3533" s="156">
        <f>'Reported burning'!D3539</f>
        <v>0</v>
      </c>
      <c r="E3533" s="156">
        <f>'Reported burning'!E3539</f>
        <v>0</v>
      </c>
      <c r="F3533" s="156">
        <f>'Reported burning'!F3539</f>
        <v>0</v>
      </c>
      <c r="G3533" s="156">
        <f>'Reported burning'!G3539</f>
        <v>0</v>
      </c>
      <c r="H3533" s="156">
        <f>'Reported burning'!H3539</f>
        <v>0</v>
      </c>
      <c r="I3533" s="5"/>
    </row>
    <row r="3534" spans="1:9">
      <c r="A3534" s="156">
        <f>'Reported burning'!A3540</f>
        <v>0</v>
      </c>
      <c r="B3534" s="156">
        <f>'Reported burning'!B3540</f>
        <v>0</v>
      </c>
      <c r="C3534" s="156">
        <f>'Reported burning'!C3540</f>
        <v>0</v>
      </c>
      <c r="D3534" s="156">
        <f>'Reported burning'!D3540</f>
        <v>0</v>
      </c>
      <c r="E3534" s="156">
        <f>'Reported burning'!E3540</f>
        <v>0</v>
      </c>
      <c r="F3534" s="156">
        <f>'Reported burning'!F3540</f>
        <v>0</v>
      </c>
      <c r="G3534" s="156">
        <f>'Reported burning'!G3540</f>
        <v>0</v>
      </c>
      <c r="H3534" s="156">
        <f>'Reported burning'!H3540</f>
        <v>0</v>
      </c>
      <c r="I3534" s="5"/>
    </row>
    <row r="3535" spans="1:9">
      <c r="A3535" s="156">
        <f>'Reported burning'!A3541</f>
        <v>0</v>
      </c>
      <c r="B3535" s="156">
        <f>'Reported burning'!B3541</f>
        <v>0</v>
      </c>
      <c r="C3535" s="156">
        <f>'Reported burning'!C3541</f>
        <v>0</v>
      </c>
      <c r="D3535" s="156">
        <f>'Reported burning'!D3541</f>
        <v>0</v>
      </c>
      <c r="E3535" s="156">
        <f>'Reported burning'!E3541</f>
        <v>0</v>
      </c>
      <c r="F3535" s="156">
        <f>'Reported burning'!F3541</f>
        <v>0</v>
      </c>
      <c r="G3535" s="156">
        <f>'Reported burning'!G3541</f>
        <v>0</v>
      </c>
      <c r="H3535" s="156">
        <f>'Reported burning'!H3541</f>
        <v>0</v>
      </c>
      <c r="I3535" s="5"/>
    </row>
    <row r="3536" spans="1:9">
      <c r="A3536" s="156">
        <f>'Reported burning'!A3542</f>
        <v>0</v>
      </c>
      <c r="B3536" s="156">
        <f>'Reported burning'!B3542</f>
        <v>0</v>
      </c>
      <c r="C3536" s="156">
        <f>'Reported burning'!C3542</f>
        <v>0</v>
      </c>
      <c r="D3536" s="156">
        <f>'Reported burning'!D3542</f>
        <v>0</v>
      </c>
      <c r="E3536" s="156">
        <f>'Reported burning'!E3542</f>
        <v>0</v>
      </c>
      <c r="F3536" s="156">
        <f>'Reported burning'!F3542</f>
        <v>0</v>
      </c>
      <c r="G3536" s="156">
        <f>'Reported burning'!G3542</f>
        <v>0</v>
      </c>
      <c r="H3536" s="156">
        <f>'Reported burning'!H3542</f>
        <v>0</v>
      </c>
      <c r="I3536" s="5"/>
    </row>
    <row r="3537" spans="1:9">
      <c r="A3537" s="156">
        <f>'Reported burning'!A3543</f>
        <v>0</v>
      </c>
      <c r="B3537" s="156">
        <f>'Reported burning'!B3543</f>
        <v>0</v>
      </c>
      <c r="C3537" s="156">
        <f>'Reported burning'!C3543</f>
        <v>0</v>
      </c>
      <c r="D3537" s="156">
        <f>'Reported burning'!D3543</f>
        <v>0</v>
      </c>
      <c r="E3537" s="156">
        <f>'Reported burning'!E3543</f>
        <v>0</v>
      </c>
      <c r="F3537" s="156">
        <f>'Reported burning'!F3543</f>
        <v>0</v>
      </c>
      <c r="G3537" s="156">
        <f>'Reported burning'!G3543</f>
        <v>0</v>
      </c>
      <c r="H3537" s="156">
        <f>'Reported burning'!H3543</f>
        <v>0</v>
      </c>
      <c r="I3537" s="5"/>
    </row>
    <row r="3538" spans="1:9">
      <c r="A3538" s="156">
        <f>'Reported burning'!A3544</f>
        <v>0</v>
      </c>
      <c r="B3538" s="156">
        <f>'Reported burning'!B3544</f>
        <v>0</v>
      </c>
      <c r="C3538" s="156">
        <f>'Reported burning'!C3544</f>
        <v>0</v>
      </c>
      <c r="D3538" s="156">
        <f>'Reported burning'!D3544</f>
        <v>0</v>
      </c>
      <c r="E3538" s="156">
        <f>'Reported burning'!E3544</f>
        <v>0</v>
      </c>
      <c r="F3538" s="156">
        <f>'Reported burning'!F3544</f>
        <v>0</v>
      </c>
      <c r="G3538" s="156">
        <f>'Reported burning'!G3544</f>
        <v>0</v>
      </c>
      <c r="H3538" s="156">
        <f>'Reported burning'!H3544</f>
        <v>0</v>
      </c>
      <c r="I3538" s="5"/>
    </row>
    <row r="3539" spans="1:9">
      <c r="A3539" s="156">
        <f>'Reported burning'!A3545</f>
        <v>0</v>
      </c>
      <c r="B3539" s="156">
        <f>'Reported burning'!B3545</f>
        <v>0</v>
      </c>
      <c r="C3539" s="156">
        <f>'Reported burning'!C3545</f>
        <v>0</v>
      </c>
      <c r="D3539" s="156">
        <f>'Reported burning'!D3545</f>
        <v>0</v>
      </c>
      <c r="E3539" s="156">
        <f>'Reported burning'!E3545</f>
        <v>0</v>
      </c>
      <c r="F3539" s="156">
        <f>'Reported burning'!F3545</f>
        <v>0</v>
      </c>
      <c r="G3539" s="156">
        <f>'Reported burning'!G3545</f>
        <v>0</v>
      </c>
      <c r="H3539" s="156">
        <f>'Reported burning'!H3545</f>
        <v>0</v>
      </c>
      <c r="I3539" s="5"/>
    </row>
    <row r="3540" spans="1:9">
      <c r="A3540" s="156">
        <f>'Reported burning'!A3546</f>
        <v>0</v>
      </c>
      <c r="B3540" s="156">
        <f>'Reported burning'!B3546</f>
        <v>0</v>
      </c>
      <c r="C3540" s="156">
        <f>'Reported burning'!C3546</f>
        <v>0</v>
      </c>
      <c r="D3540" s="156">
        <f>'Reported burning'!D3546</f>
        <v>0</v>
      </c>
      <c r="E3540" s="156">
        <f>'Reported burning'!E3546</f>
        <v>0</v>
      </c>
      <c r="F3540" s="156">
        <f>'Reported burning'!F3546</f>
        <v>0</v>
      </c>
      <c r="G3540" s="156">
        <f>'Reported burning'!G3546</f>
        <v>0</v>
      </c>
      <c r="H3540" s="156">
        <f>'Reported burning'!H3546</f>
        <v>0</v>
      </c>
      <c r="I3540" s="5"/>
    </row>
    <row r="3541" spans="1:9">
      <c r="A3541" s="156">
        <f>'Reported burning'!A3547</f>
        <v>0</v>
      </c>
      <c r="B3541" s="156">
        <f>'Reported burning'!B3547</f>
        <v>0</v>
      </c>
      <c r="C3541" s="156">
        <f>'Reported burning'!C3547</f>
        <v>0</v>
      </c>
      <c r="D3541" s="156">
        <f>'Reported burning'!D3547</f>
        <v>0</v>
      </c>
      <c r="E3541" s="156">
        <f>'Reported burning'!E3547</f>
        <v>0</v>
      </c>
      <c r="F3541" s="156">
        <f>'Reported burning'!F3547</f>
        <v>0</v>
      </c>
      <c r="G3541" s="156">
        <f>'Reported burning'!G3547</f>
        <v>0</v>
      </c>
      <c r="H3541" s="156">
        <f>'Reported burning'!H3547</f>
        <v>0</v>
      </c>
      <c r="I3541" s="5"/>
    </row>
    <row r="3542" spans="1:9">
      <c r="A3542" s="156">
        <f>'Reported burning'!A3548</f>
        <v>0</v>
      </c>
      <c r="B3542" s="156">
        <f>'Reported burning'!B3548</f>
        <v>0</v>
      </c>
      <c r="C3542" s="156">
        <f>'Reported burning'!C3548</f>
        <v>0</v>
      </c>
      <c r="D3542" s="156">
        <f>'Reported burning'!D3548</f>
        <v>0</v>
      </c>
      <c r="E3542" s="156">
        <f>'Reported burning'!E3548</f>
        <v>0</v>
      </c>
      <c r="F3542" s="156">
        <f>'Reported burning'!F3548</f>
        <v>0</v>
      </c>
      <c r="G3542" s="156">
        <f>'Reported burning'!G3548</f>
        <v>0</v>
      </c>
      <c r="H3542" s="156">
        <f>'Reported burning'!H3548</f>
        <v>0</v>
      </c>
      <c r="I3542" s="5"/>
    </row>
    <row r="3543" spans="1:9">
      <c r="A3543" s="156">
        <f>'Reported burning'!A3549</f>
        <v>0</v>
      </c>
      <c r="B3543" s="156">
        <f>'Reported burning'!B3549</f>
        <v>0</v>
      </c>
      <c r="C3543" s="156">
        <f>'Reported burning'!C3549</f>
        <v>0</v>
      </c>
      <c r="D3543" s="156">
        <f>'Reported burning'!D3549</f>
        <v>0</v>
      </c>
      <c r="E3543" s="156">
        <f>'Reported burning'!E3549</f>
        <v>0</v>
      </c>
      <c r="F3543" s="156">
        <f>'Reported burning'!F3549</f>
        <v>0</v>
      </c>
      <c r="G3543" s="156">
        <f>'Reported burning'!G3549</f>
        <v>0</v>
      </c>
      <c r="H3543" s="156">
        <f>'Reported burning'!H3549</f>
        <v>0</v>
      </c>
      <c r="I3543" s="5"/>
    </row>
    <row r="3544" spans="1:9">
      <c r="A3544" s="156">
        <f>'Reported burning'!A3550</f>
        <v>0</v>
      </c>
      <c r="B3544" s="156">
        <f>'Reported burning'!B3550</f>
        <v>0</v>
      </c>
      <c r="C3544" s="156">
        <f>'Reported burning'!C3550</f>
        <v>0</v>
      </c>
      <c r="D3544" s="156">
        <f>'Reported burning'!D3550</f>
        <v>0</v>
      </c>
      <c r="E3544" s="156">
        <f>'Reported burning'!E3550</f>
        <v>0</v>
      </c>
      <c r="F3544" s="156">
        <f>'Reported burning'!F3550</f>
        <v>0</v>
      </c>
      <c r="G3544" s="156">
        <f>'Reported burning'!G3550</f>
        <v>0</v>
      </c>
      <c r="H3544" s="156">
        <f>'Reported burning'!H3550</f>
        <v>0</v>
      </c>
      <c r="I3544" s="5"/>
    </row>
    <row r="3545" spans="1:9">
      <c r="A3545" s="156">
        <f>'Reported burning'!A3551</f>
        <v>0</v>
      </c>
      <c r="B3545" s="156">
        <f>'Reported burning'!B3551</f>
        <v>0</v>
      </c>
      <c r="C3545" s="156">
        <f>'Reported burning'!C3551</f>
        <v>0</v>
      </c>
      <c r="D3545" s="156">
        <f>'Reported burning'!D3551</f>
        <v>0</v>
      </c>
      <c r="E3545" s="156">
        <f>'Reported burning'!E3551</f>
        <v>0</v>
      </c>
      <c r="F3545" s="156">
        <f>'Reported burning'!F3551</f>
        <v>0</v>
      </c>
      <c r="G3545" s="156">
        <f>'Reported burning'!G3551</f>
        <v>0</v>
      </c>
      <c r="H3545" s="156">
        <f>'Reported burning'!H3551</f>
        <v>0</v>
      </c>
      <c r="I3545" s="5"/>
    </row>
    <row r="3546" spans="1:9">
      <c r="A3546" s="156">
        <f>'Reported burning'!A3552</f>
        <v>0</v>
      </c>
      <c r="B3546" s="156">
        <f>'Reported burning'!B3552</f>
        <v>0</v>
      </c>
      <c r="C3546" s="156">
        <f>'Reported burning'!C3552</f>
        <v>0</v>
      </c>
      <c r="D3546" s="156">
        <f>'Reported burning'!D3552</f>
        <v>0</v>
      </c>
      <c r="E3546" s="156">
        <f>'Reported burning'!E3552</f>
        <v>0</v>
      </c>
      <c r="F3546" s="156">
        <f>'Reported burning'!F3552</f>
        <v>0</v>
      </c>
      <c r="G3546" s="156">
        <f>'Reported burning'!G3552</f>
        <v>0</v>
      </c>
      <c r="H3546" s="156">
        <f>'Reported burning'!H3552</f>
        <v>0</v>
      </c>
      <c r="I3546" s="5"/>
    </row>
    <row r="3547" spans="1:9">
      <c r="A3547" s="156">
        <f>'Reported burning'!A3553</f>
        <v>0</v>
      </c>
      <c r="B3547" s="156">
        <f>'Reported burning'!B3553</f>
        <v>0</v>
      </c>
      <c r="C3547" s="156">
        <f>'Reported burning'!C3553</f>
        <v>0</v>
      </c>
      <c r="D3547" s="156">
        <f>'Reported burning'!D3553</f>
        <v>0</v>
      </c>
      <c r="E3547" s="156">
        <f>'Reported burning'!E3553</f>
        <v>0</v>
      </c>
      <c r="F3547" s="156">
        <f>'Reported burning'!F3553</f>
        <v>0</v>
      </c>
      <c r="G3547" s="156">
        <f>'Reported burning'!G3553</f>
        <v>0</v>
      </c>
      <c r="H3547" s="156">
        <f>'Reported burning'!H3553</f>
        <v>0</v>
      </c>
      <c r="I3547" s="5"/>
    </row>
    <row r="3548" spans="1:9">
      <c r="A3548" s="156">
        <f>'Reported burning'!A3554</f>
        <v>0</v>
      </c>
      <c r="B3548" s="156">
        <f>'Reported burning'!B3554</f>
        <v>0</v>
      </c>
      <c r="C3548" s="156">
        <f>'Reported burning'!C3554</f>
        <v>0</v>
      </c>
      <c r="D3548" s="156">
        <f>'Reported burning'!D3554</f>
        <v>0</v>
      </c>
      <c r="E3548" s="156">
        <f>'Reported burning'!E3554</f>
        <v>0</v>
      </c>
      <c r="F3548" s="156">
        <f>'Reported burning'!F3554</f>
        <v>0</v>
      </c>
      <c r="G3548" s="156">
        <f>'Reported burning'!G3554</f>
        <v>0</v>
      </c>
      <c r="H3548" s="156">
        <f>'Reported burning'!H3554</f>
        <v>0</v>
      </c>
      <c r="I3548" s="5"/>
    </row>
    <row r="3549" spans="1:9">
      <c r="A3549" s="156">
        <f>'Reported burning'!A3555</f>
        <v>0</v>
      </c>
      <c r="B3549" s="156">
        <f>'Reported burning'!B3555</f>
        <v>0</v>
      </c>
      <c r="C3549" s="156">
        <f>'Reported burning'!C3555</f>
        <v>0</v>
      </c>
      <c r="D3549" s="156">
        <f>'Reported burning'!D3555</f>
        <v>0</v>
      </c>
      <c r="E3549" s="156">
        <f>'Reported burning'!E3555</f>
        <v>0</v>
      </c>
      <c r="F3549" s="156">
        <f>'Reported burning'!F3555</f>
        <v>0</v>
      </c>
      <c r="G3549" s="156">
        <f>'Reported burning'!G3555</f>
        <v>0</v>
      </c>
      <c r="H3549" s="156">
        <f>'Reported burning'!H3555</f>
        <v>0</v>
      </c>
      <c r="I3549" s="5"/>
    </row>
    <row r="3550" spans="1:9">
      <c r="A3550" s="156">
        <f>'Reported burning'!A3556</f>
        <v>0</v>
      </c>
      <c r="B3550" s="156">
        <f>'Reported burning'!B3556</f>
        <v>0</v>
      </c>
      <c r="C3550" s="156">
        <f>'Reported burning'!C3556</f>
        <v>0</v>
      </c>
      <c r="D3550" s="156">
        <f>'Reported burning'!D3556</f>
        <v>0</v>
      </c>
      <c r="E3550" s="156">
        <f>'Reported burning'!E3556</f>
        <v>0</v>
      </c>
      <c r="F3550" s="156">
        <f>'Reported burning'!F3556</f>
        <v>0</v>
      </c>
      <c r="G3550" s="156">
        <f>'Reported burning'!G3556</f>
        <v>0</v>
      </c>
      <c r="H3550" s="156">
        <f>'Reported burning'!H3556</f>
        <v>0</v>
      </c>
      <c r="I3550" s="5"/>
    </row>
    <row r="3551" spans="1:9">
      <c r="A3551" s="156">
        <f>'Reported burning'!A3557</f>
        <v>0</v>
      </c>
      <c r="B3551" s="156">
        <f>'Reported burning'!B3557</f>
        <v>0</v>
      </c>
      <c r="C3551" s="156">
        <f>'Reported burning'!C3557</f>
        <v>0</v>
      </c>
      <c r="D3551" s="156">
        <f>'Reported burning'!D3557</f>
        <v>0</v>
      </c>
      <c r="E3551" s="156">
        <f>'Reported burning'!E3557</f>
        <v>0</v>
      </c>
      <c r="F3551" s="156">
        <f>'Reported burning'!F3557</f>
        <v>0</v>
      </c>
      <c r="G3551" s="156">
        <f>'Reported burning'!G3557</f>
        <v>0</v>
      </c>
      <c r="H3551" s="156">
        <f>'Reported burning'!H3557</f>
        <v>0</v>
      </c>
      <c r="I3551" s="5"/>
    </row>
    <row r="3552" spans="1:9">
      <c r="A3552" s="156">
        <f>'Reported burning'!A3558</f>
        <v>0</v>
      </c>
      <c r="B3552" s="156">
        <f>'Reported burning'!B3558</f>
        <v>0</v>
      </c>
      <c r="C3552" s="156">
        <f>'Reported burning'!C3558</f>
        <v>0</v>
      </c>
      <c r="D3552" s="156">
        <f>'Reported burning'!D3558</f>
        <v>0</v>
      </c>
      <c r="E3552" s="156">
        <f>'Reported burning'!E3558</f>
        <v>0</v>
      </c>
      <c r="F3552" s="156">
        <f>'Reported burning'!F3558</f>
        <v>0</v>
      </c>
      <c r="G3552" s="156">
        <f>'Reported burning'!G3558</f>
        <v>0</v>
      </c>
      <c r="H3552" s="156">
        <f>'Reported burning'!H3558</f>
        <v>0</v>
      </c>
      <c r="I3552" s="5"/>
    </row>
    <row r="3553" spans="1:9">
      <c r="A3553" s="156">
        <f>'Reported burning'!A3559</f>
        <v>0</v>
      </c>
      <c r="B3553" s="156">
        <f>'Reported burning'!B3559</f>
        <v>0</v>
      </c>
      <c r="C3553" s="156">
        <f>'Reported burning'!C3559</f>
        <v>0</v>
      </c>
      <c r="D3553" s="156">
        <f>'Reported burning'!D3559</f>
        <v>0</v>
      </c>
      <c r="E3553" s="156">
        <f>'Reported burning'!E3559</f>
        <v>0</v>
      </c>
      <c r="F3553" s="156">
        <f>'Reported burning'!F3559</f>
        <v>0</v>
      </c>
      <c r="G3553" s="156">
        <f>'Reported burning'!G3559</f>
        <v>0</v>
      </c>
      <c r="H3553" s="156">
        <f>'Reported burning'!H3559</f>
        <v>0</v>
      </c>
      <c r="I3553" s="5"/>
    </row>
    <row r="3554" spans="1:9">
      <c r="A3554" s="156">
        <f>'Reported burning'!A3560</f>
        <v>0</v>
      </c>
      <c r="B3554" s="156">
        <f>'Reported burning'!B3560</f>
        <v>0</v>
      </c>
      <c r="C3554" s="156">
        <f>'Reported burning'!C3560</f>
        <v>0</v>
      </c>
      <c r="D3554" s="156">
        <f>'Reported burning'!D3560</f>
        <v>0</v>
      </c>
      <c r="E3554" s="156">
        <f>'Reported burning'!E3560</f>
        <v>0</v>
      </c>
      <c r="F3554" s="156">
        <f>'Reported burning'!F3560</f>
        <v>0</v>
      </c>
      <c r="G3554" s="156">
        <f>'Reported burning'!G3560</f>
        <v>0</v>
      </c>
      <c r="H3554" s="156">
        <f>'Reported burning'!H3560</f>
        <v>0</v>
      </c>
      <c r="I3554" s="5"/>
    </row>
    <row r="3555" spans="1:9">
      <c r="A3555" s="156">
        <f>'Reported burning'!A3561</f>
        <v>0</v>
      </c>
      <c r="B3555" s="156">
        <f>'Reported burning'!B3561</f>
        <v>0</v>
      </c>
      <c r="C3555" s="156">
        <f>'Reported burning'!C3561</f>
        <v>0</v>
      </c>
      <c r="D3555" s="156">
        <f>'Reported burning'!D3561</f>
        <v>0</v>
      </c>
      <c r="E3555" s="156">
        <f>'Reported burning'!E3561</f>
        <v>0</v>
      </c>
      <c r="F3555" s="156">
        <f>'Reported burning'!F3561</f>
        <v>0</v>
      </c>
      <c r="G3555" s="156">
        <f>'Reported burning'!G3561</f>
        <v>0</v>
      </c>
      <c r="H3555" s="156">
        <f>'Reported burning'!H3561</f>
        <v>0</v>
      </c>
      <c r="I3555" s="5"/>
    </row>
    <row r="3556" spans="1:9">
      <c r="A3556" s="156">
        <f>'Reported burning'!A3562</f>
        <v>0</v>
      </c>
      <c r="B3556" s="156">
        <f>'Reported burning'!B3562</f>
        <v>0</v>
      </c>
      <c r="C3556" s="156">
        <f>'Reported burning'!C3562</f>
        <v>0</v>
      </c>
      <c r="D3556" s="156">
        <f>'Reported burning'!D3562</f>
        <v>0</v>
      </c>
      <c r="E3556" s="156">
        <f>'Reported burning'!E3562</f>
        <v>0</v>
      </c>
      <c r="F3556" s="156">
        <f>'Reported burning'!F3562</f>
        <v>0</v>
      </c>
      <c r="G3556" s="156">
        <f>'Reported burning'!G3562</f>
        <v>0</v>
      </c>
      <c r="H3556" s="156">
        <f>'Reported burning'!H3562</f>
        <v>0</v>
      </c>
      <c r="I3556" s="5"/>
    </row>
    <row r="3557" spans="1:9">
      <c r="A3557" s="156">
        <f>'Reported burning'!A3563</f>
        <v>0</v>
      </c>
      <c r="B3557" s="156">
        <f>'Reported burning'!B3563</f>
        <v>0</v>
      </c>
      <c r="C3557" s="156">
        <f>'Reported burning'!C3563</f>
        <v>0</v>
      </c>
      <c r="D3557" s="156">
        <f>'Reported burning'!D3563</f>
        <v>0</v>
      </c>
      <c r="E3557" s="156">
        <f>'Reported burning'!E3563</f>
        <v>0</v>
      </c>
      <c r="F3557" s="156">
        <f>'Reported burning'!F3563</f>
        <v>0</v>
      </c>
      <c r="G3557" s="156">
        <f>'Reported burning'!G3563</f>
        <v>0</v>
      </c>
      <c r="H3557" s="156">
        <f>'Reported burning'!H3563</f>
        <v>0</v>
      </c>
      <c r="I3557" s="5"/>
    </row>
    <row r="3558" spans="1:9">
      <c r="A3558" s="156">
        <f>'Reported burning'!A3564</f>
        <v>0</v>
      </c>
      <c r="B3558" s="156">
        <f>'Reported burning'!B3564</f>
        <v>0</v>
      </c>
      <c r="C3558" s="156">
        <f>'Reported burning'!C3564</f>
        <v>0</v>
      </c>
      <c r="D3558" s="156">
        <f>'Reported burning'!D3564</f>
        <v>0</v>
      </c>
      <c r="E3558" s="156">
        <f>'Reported burning'!E3564</f>
        <v>0</v>
      </c>
      <c r="F3558" s="156">
        <f>'Reported burning'!F3564</f>
        <v>0</v>
      </c>
      <c r="G3558" s="156">
        <f>'Reported burning'!G3564</f>
        <v>0</v>
      </c>
      <c r="H3558" s="156">
        <f>'Reported burning'!H3564</f>
        <v>0</v>
      </c>
      <c r="I3558" s="5"/>
    </row>
    <row r="3559" spans="1:9">
      <c r="A3559" s="156">
        <f>'Reported burning'!A3565</f>
        <v>0</v>
      </c>
      <c r="B3559" s="156">
        <f>'Reported burning'!B3565</f>
        <v>0</v>
      </c>
      <c r="C3559" s="156">
        <f>'Reported burning'!C3565</f>
        <v>0</v>
      </c>
      <c r="D3559" s="156">
        <f>'Reported burning'!D3565</f>
        <v>0</v>
      </c>
      <c r="E3559" s="156">
        <f>'Reported burning'!E3565</f>
        <v>0</v>
      </c>
      <c r="F3559" s="156">
        <f>'Reported burning'!F3565</f>
        <v>0</v>
      </c>
      <c r="G3559" s="156">
        <f>'Reported burning'!G3565</f>
        <v>0</v>
      </c>
      <c r="H3559" s="156">
        <f>'Reported burning'!H3565</f>
        <v>0</v>
      </c>
      <c r="I3559" s="5"/>
    </row>
    <row r="3560" spans="1:9">
      <c r="A3560" s="156">
        <f>'Reported burning'!A3566</f>
        <v>0</v>
      </c>
      <c r="B3560" s="156">
        <f>'Reported burning'!B3566</f>
        <v>0</v>
      </c>
      <c r="C3560" s="156">
        <f>'Reported burning'!C3566</f>
        <v>0</v>
      </c>
      <c r="D3560" s="156">
        <f>'Reported burning'!D3566</f>
        <v>0</v>
      </c>
      <c r="E3560" s="156">
        <f>'Reported burning'!E3566</f>
        <v>0</v>
      </c>
      <c r="F3560" s="156">
        <f>'Reported burning'!F3566</f>
        <v>0</v>
      </c>
      <c r="G3560" s="156">
        <f>'Reported burning'!G3566</f>
        <v>0</v>
      </c>
      <c r="H3560" s="156">
        <f>'Reported burning'!H3566</f>
        <v>0</v>
      </c>
      <c r="I3560" s="5"/>
    </row>
    <row r="3561" spans="1:9">
      <c r="A3561" s="156">
        <f>'Reported burning'!A3567</f>
        <v>0</v>
      </c>
      <c r="B3561" s="156">
        <f>'Reported burning'!B3567</f>
        <v>0</v>
      </c>
      <c r="C3561" s="156">
        <f>'Reported burning'!C3567</f>
        <v>0</v>
      </c>
      <c r="D3561" s="156">
        <f>'Reported burning'!D3567</f>
        <v>0</v>
      </c>
      <c r="E3561" s="156">
        <f>'Reported burning'!E3567</f>
        <v>0</v>
      </c>
      <c r="F3561" s="156">
        <f>'Reported burning'!F3567</f>
        <v>0</v>
      </c>
      <c r="G3561" s="156">
        <f>'Reported burning'!G3567</f>
        <v>0</v>
      </c>
      <c r="H3561" s="156">
        <f>'Reported burning'!H3567</f>
        <v>0</v>
      </c>
      <c r="I3561" s="5"/>
    </row>
    <row r="3562" spans="1:9">
      <c r="A3562" s="156">
        <f>'Reported burning'!A3568</f>
        <v>0</v>
      </c>
      <c r="B3562" s="156">
        <f>'Reported burning'!B3568</f>
        <v>0</v>
      </c>
      <c r="C3562" s="156">
        <f>'Reported burning'!C3568</f>
        <v>0</v>
      </c>
      <c r="D3562" s="156">
        <f>'Reported burning'!D3568</f>
        <v>0</v>
      </c>
      <c r="E3562" s="156">
        <f>'Reported burning'!E3568</f>
        <v>0</v>
      </c>
      <c r="F3562" s="156">
        <f>'Reported burning'!F3568</f>
        <v>0</v>
      </c>
      <c r="G3562" s="156">
        <f>'Reported burning'!G3568</f>
        <v>0</v>
      </c>
      <c r="H3562" s="156">
        <f>'Reported burning'!H3568</f>
        <v>0</v>
      </c>
      <c r="I3562" s="5"/>
    </row>
    <row r="3563" spans="1:9">
      <c r="A3563" s="156">
        <f>'Reported burning'!A3569</f>
        <v>0</v>
      </c>
      <c r="B3563" s="156">
        <f>'Reported burning'!B3569</f>
        <v>0</v>
      </c>
      <c r="C3563" s="156">
        <f>'Reported burning'!C3569</f>
        <v>0</v>
      </c>
      <c r="D3563" s="156">
        <f>'Reported burning'!D3569</f>
        <v>0</v>
      </c>
      <c r="E3563" s="156">
        <f>'Reported burning'!E3569</f>
        <v>0</v>
      </c>
      <c r="F3563" s="156">
        <f>'Reported burning'!F3569</f>
        <v>0</v>
      </c>
      <c r="G3563" s="156">
        <f>'Reported burning'!G3569</f>
        <v>0</v>
      </c>
      <c r="H3563" s="156">
        <f>'Reported burning'!H3569</f>
        <v>0</v>
      </c>
      <c r="I3563" s="5"/>
    </row>
    <row r="3564" spans="1:9">
      <c r="A3564" s="156">
        <f>'Reported burning'!A3570</f>
        <v>0</v>
      </c>
      <c r="B3564" s="156">
        <f>'Reported burning'!B3570</f>
        <v>0</v>
      </c>
      <c r="C3564" s="156">
        <f>'Reported burning'!C3570</f>
        <v>0</v>
      </c>
      <c r="D3564" s="156">
        <f>'Reported burning'!D3570</f>
        <v>0</v>
      </c>
      <c r="E3564" s="156">
        <f>'Reported burning'!E3570</f>
        <v>0</v>
      </c>
      <c r="F3564" s="156">
        <f>'Reported burning'!F3570</f>
        <v>0</v>
      </c>
      <c r="G3564" s="156">
        <f>'Reported burning'!G3570</f>
        <v>0</v>
      </c>
      <c r="H3564" s="156">
        <f>'Reported burning'!H3570</f>
        <v>0</v>
      </c>
      <c r="I3564" s="5"/>
    </row>
    <row r="3565" spans="1:9">
      <c r="A3565" s="156">
        <f>'Reported burning'!A3571</f>
        <v>0</v>
      </c>
      <c r="B3565" s="156">
        <f>'Reported burning'!B3571</f>
        <v>0</v>
      </c>
      <c r="C3565" s="156">
        <f>'Reported burning'!C3571</f>
        <v>0</v>
      </c>
      <c r="D3565" s="156">
        <f>'Reported burning'!D3571</f>
        <v>0</v>
      </c>
      <c r="E3565" s="156">
        <f>'Reported burning'!E3571</f>
        <v>0</v>
      </c>
      <c r="F3565" s="156">
        <f>'Reported burning'!F3571</f>
        <v>0</v>
      </c>
      <c r="G3565" s="156">
        <f>'Reported burning'!G3571</f>
        <v>0</v>
      </c>
      <c r="H3565" s="156">
        <f>'Reported burning'!H3571</f>
        <v>0</v>
      </c>
      <c r="I3565" s="5"/>
    </row>
    <row r="3566" spans="1:9">
      <c r="A3566" s="156">
        <f>'Reported burning'!A3572</f>
        <v>0</v>
      </c>
      <c r="B3566" s="156">
        <f>'Reported burning'!B3572</f>
        <v>0</v>
      </c>
      <c r="C3566" s="156">
        <f>'Reported burning'!C3572</f>
        <v>0</v>
      </c>
      <c r="D3566" s="156">
        <f>'Reported burning'!D3572</f>
        <v>0</v>
      </c>
      <c r="E3566" s="156">
        <f>'Reported burning'!E3572</f>
        <v>0</v>
      </c>
      <c r="F3566" s="156">
        <f>'Reported burning'!F3572</f>
        <v>0</v>
      </c>
      <c r="G3566" s="156">
        <f>'Reported burning'!G3572</f>
        <v>0</v>
      </c>
      <c r="H3566" s="156">
        <f>'Reported burning'!H3572</f>
        <v>0</v>
      </c>
      <c r="I3566" s="5"/>
    </row>
    <row r="3567" spans="1:9">
      <c r="A3567" s="156">
        <f>'Reported burning'!A3573</f>
        <v>0</v>
      </c>
      <c r="B3567" s="156">
        <f>'Reported burning'!B3573</f>
        <v>0</v>
      </c>
      <c r="C3567" s="156">
        <f>'Reported burning'!C3573</f>
        <v>0</v>
      </c>
      <c r="D3567" s="156">
        <f>'Reported burning'!D3573</f>
        <v>0</v>
      </c>
      <c r="E3567" s="156">
        <f>'Reported burning'!E3573</f>
        <v>0</v>
      </c>
      <c r="F3567" s="156">
        <f>'Reported burning'!F3573</f>
        <v>0</v>
      </c>
      <c r="G3567" s="156">
        <f>'Reported burning'!G3573</f>
        <v>0</v>
      </c>
      <c r="H3567" s="156">
        <f>'Reported burning'!H3573</f>
        <v>0</v>
      </c>
      <c r="I3567" s="5"/>
    </row>
    <row r="3568" spans="1:9">
      <c r="A3568" s="156">
        <f>'Reported burning'!A3574</f>
        <v>0</v>
      </c>
      <c r="B3568" s="156">
        <f>'Reported burning'!B3574</f>
        <v>0</v>
      </c>
      <c r="C3568" s="156">
        <f>'Reported burning'!C3574</f>
        <v>0</v>
      </c>
      <c r="D3568" s="156">
        <f>'Reported burning'!D3574</f>
        <v>0</v>
      </c>
      <c r="E3568" s="156">
        <f>'Reported burning'!E3574</f>
        <v>0</v>
      </c>
      <c r="F3568" s="156">
        <f>'Reported burning'!F3574</f>
        <v>0</v>
      </c>
      <c r="G3568" s="156">
        <f>'Reported burning'!G3574</f>
        <v>0</v>
      </c>
      <c r="H3568" s="156">
        <f>'Reported burning'!H3574</f>
        <v>0</v>
      </c>
      <c r="I3568" s="5"/>
    </row>
    <row r="3569" spans="1:9">
      <c r="A3569" s="156">
        <f>'Reported burning'!A3575</f>
        <v>0</v>
      </c>
      <c r="B3569" s="156">
        <f>'Reported burning'!B3575</f>
        <v>0</v>
      </c>
      <c r="C3569" s="156">
        <f>'Reported burning'!C3575</f>
        <v>0</v>
      </c>
      <c r="D3569" s="156">
        <f>'Reported burning'!D3575</f>
        <v>0</v>
      </c>
      <c r="E3569" s="156">
        <f>'Reported burning'!E3575</f>
        <v>0</v>
      </c>
      <c r="F3569" s="156">
        <f>'Reported burning'!F3575</f>
        <v>0</v>
      </c>
      <c r="G3569" s="156">
        <f>'Reported burning'!G3575</f>
        <v>0</v>
      </c>
      <c r="H3569" s="156">
        <f>'Reported burning'!H3575</f>
        <v>0</v>
      </c>
      <c r="I3569" s="5"/>
    </row>
    <row r="3570" spans="1:9">
      <c r="A3570" s="156">
        <f>'Reported burning'!A3576</f>
        <v>0</v>
      </c>
      <c r="B3570" s="156">
        <f>'Reported burning'!B3576</f>
        <v>0</v>
      </c>
      <c r="C3570" s="156">
        <f>'Reported burning'!C3576</f>
        <v>0</v>
      </c>
      <c r="D3570" s="156">
        <f>'Reported burning'!D3576</f>
        <v>0</v>
      </c>
      <c r="E3570" s="156">
        <f>'Reported burning'!E3576</f>
        <v>0</v>
      </c>
      <c r="F3570" s="156">
        <f>'Reported burning'!F3576</f>
        <v>0</v>
      </c>
      <c r="G3570" s="156">
        <f>'Reported burning'!G3576</f>
        <v>0</v>
      </c>
      <c r="H3570" s="156">
        <f>'Reported burning'!H3576</f>
        <v>0</v>
      </c>
      <c r="I3570" s="5"/>
    </row>
    <row r="3571" spans="1:9">
      <c r="A3571" s="156">
        <f>'Reported burning'!A3577</f>
        <v>0</v>
      </c>
      <c r="B3571" s="156">
        <f>'Reported burning'!B3577</f>
        <v>0</v>
      </c>
      <c r="C3571" s="156">
        <f>'Reported burning'!C3577</f>
        <v>0</v>
      </c>
      <c r="D3571" s="156">
        <f>'Reported burning'!D3577</f>
        <v>0</v>
      </c>
      <c r="E3571" s="156">
        <f>'Reported burning'!E3577</f>
        <v>0</v>
      </c>
      <c r="F3571" s="156">
        <f>'Reported burning'!F3577</f>
        <v>0</v>
      </c>
      <c r="G3571" s="156">
        <f>'Reported burning'!G3577</f>
        <v>0</v>
      </c>
      <c r="H3571" s="156">
        <f>'Reported burning'!H3577</f>
        <v>0</v>
      </c>
      <c r="I3571" s="5"/>
    </row>
    <row r="3572" spans="1:9">
      <c r="A3572" s="156">
        <f>'Reported burning'!A3578</f>
        <v>0</v>
      </c>
      <c r="B3572" s="156">
        <f>'Reported burning'!B3578</f>
        <v>0</v>
      </c>
      <c r="C3572" s="156">
        <f>'Reported burning'!C3578</f>
        <v>0</v>
      </c>
      <c r="D3572" s="156">
        <f>'Reported burning'!D3578</f>
        <v>0</v>
      </c>
      <c r="E3572" s="156">
        <f>'Reported burning'!E3578</f>
        <v>0</v>
      </c>
      <c r="F3572" s="156">
        <f>'Reported burning'!F3578</f>
        <v>0</v>
      </c>
      <c r="G3572" s="156">
        <f>'Reported burning'!G3578</f>
        <v>0</v>
      </c>
      <c r="H3572" s="156">
        <f>'Reported burning'!H3578</f>
        <v>0</v>
      </c>
      <c r="I3572" s="5"/>
    </row>
    <row r="3573" spans="1:9">
      <c r="A3573" s="156">
        <f>'Reported burning'!A3579</f>
        <v>0</v>
      </c>
      <c r="B3573" s="156">
        <f>'Reported burning'!B3579</f>
        <v>0</v>
      </c>
      <c r="C3573" s="156">
        <f>'Reported burning'!C3579</f>
        <v>0</v>
      </c>
      <c r="D3573" s="156">
        <f>'Reported burning'!D3579</f>
        <v>0</v>
      </c>
      <c r="E3573" s="156">
        <f>'Reported burning'!E3579</f>
        <v>0</v>
      </c>
      <c r="F3573" s="156">
        <f>'Reported burning'!F3579</f>
        <v>0</v>
      </c>
      <c r="G3573" s="156">
        <f>'Reported burning'!G3579</f>
        <v>0</v>
      </c>
      <c r="H3573" s="156">
        <f>'Reported burning'!H3579</f>
        <v>0</v>
      </c>
      <c r="I3573" s="5"/>
    </row>
    <row r="3574" spans="1:9">
      <c r="A3574" s="156">
        <f>'Reported burning'!A3580</f>
        <v>0</v>
      </c>
      <c r="B3574" s="156">
        <f>'Reported burning'!B3580</f>
        <v>0</v>
      </c>
      <c r="C3574" s="156">
        <f>'Reported burning'!C3580</f>
        <v>0</v>
      </c>
      <c r="D3574" s="156">
        <f>'Reported burning'!D3580</f>
        <v>0</v>
      </c>
      <c r="E3574" s="156">
        <f>'Reported burning'!E3580</f>
        <v>0</v>
      </c>
      <c r="F3574" s="156">
        <f>'Reported burning'!F3580</f>
        <v>0</v>
      </c>
      <c r="G3574" s="156">
        <f>'Reported burning'!G3580</f>
        <v>0</v>
      </c>
      <c r="H3574" s="156">
        <f>'Reported burning'!H3580</f>
        <v>0</v>
      </c>
      <c r="I3574" s="5"/>
    </row>
    <row r="3575" spans="1:9">
      <c r="A3575" s="156">
        <f>'Reported burning'!A3581</f>
        <v>0</v>
      </c>
      <c r="B3575" s="156">
        <f>'Reported burning'!B3581</f>
        <v>0</v>
      </c>
      <c r="C3575" s="156">
        <f>'Reported burning'!C3581</f>
        <v>0</v>
      </c>
      <c r="D3575" s="156">
        <f>'Reported burning'!D3581</f>
        <v>0</v>
      </c>
      <c r="E3575" s="156">
        <f>'Reported burning'!E3581</f>
        <v>0</v>
      </c>
      <c r="F3575" s="156">
        <f>'Reported burning'!F3581</f>
        <v>0</v>
      </c>
      <c r="G3575" s="156">
        <f>'Reported burning'!G3581</f>
        <v>0</v>
      </c>
      <c r="H3575" s="156">
        <f>'Reported burning'!H3581</f>
        <v>0</v>
      </c>
      <c r="I3575" s="5"/>
    </row>
    <row r="3576" spans="1:9">
      <c r="A3576" s="156">
        <f>'Reported burning'!A3582</f>
        <v>0</v>
      </c>
      <c r="B3576" s="156">
        <f>'Reported burning'!B3582</f>
        <v>0</v>
      </c>
      <c r="C3576" s="156">
        <f>'Reported burning'!C3582</f>
        <v>0</v>
      </c>
      <c r="D3576" s="156">
        <f>'Reported burning'!D3582</f>
        <v>0</v>
      </c>
      <c r="E3576" s="156">
        <f>'Reported burning'!E3582</f>
        <v>0</v>
      </c>
      <c r="F3576" s="156">
        <f>'Reported burning'!F3582</f>
        <v>0</v>
      </c>
      <c r="G3576" s="156">
        <f>'Reported burning'!G3582</f>
        <v>0</v>
      </c>
      <c r="H3576" s="156">
        <f>'Reported burning'!H3582</f>
        <v>0</v>
      </c>
      <c r="I3576" s="5"/>
    </row>
    <row r="3577" spans="1:9">
      <c r="A3577" s="156">
        <f>'Reported burning'!A3583</f>
        <v>0</v>
      </c>
      <c r="B3577" s="156">
        <f>'Reported burning'!B3583</f>
        <v>0</v>
      </c>
      <c r="C3577" s="156">
        <f>'Reported burning'!C3583</f>
        <v>0</v>
      </c>
      <c r="D3577" s="156">
        <f>'Reported burning'!D3583</f>
        <v>0</v>
      </c>
      <c r="E3577" s="156">
        <f>'Reported burning'!E3583</f>
        <v>0</v>
      </c>
      <c r="F3577" s="156">
        <f>'Reported burning'!F3583</f>
        <v>0</v>
      </c>
      <c r="G3577" s="156">
        <f>'Reported burning'!G3583</f>
        <v>0</v>
      </c>
      <c r="H3577" s="156">
        <f>'Reported burning'!H3583</f>
        <v>0</v>
      </c>
      <c r="I3577" s="5"/>
    </row>
    <row r="3578" spans="1:9">
      <c r="A3578" s="156">
        <f>'Reported burning'!A3584</f>
        <v>0</v>
      </c>
      <c r="B3578" s="156">
        <f>'Reported burning'!B3584</f>
        <v>0</v>
      </c>
      <c r="C3578" s="156">
        <f>'Reported burning'!C3584</f>
        <v>0</v>
      </c>
      <c r="D3578" s="156">
        <f>'Reported burning'!D3584</f>
        <v>0</v>
      </c>
      <c r="E3578" s="156">
        <f>'Reported burning'!E3584</f>
        <v>0</v>
      </c>
      <c r="F3578" s="156">
        <f>'Reported burning'!F3584</f>
        <v>0</v>
      </c>
      <c r="G3578" s="156">
        <f>'Reported burning'!G3584</f>
        <v>0</v>
      </c>
      <c r="H3578" s="156">
        <f>'Reported burning'!H3584</f>
        <v>0</v>
      </c>
      <c r="I3578" s="5"/>
    </row>
    <row r="3579" spans="1:9">
      <c r="A3579" s="156">
        <f>'Reported burning'!A3585</f>
        <v>0</v>
      </c>
      <c r="B3579" s="156">
        <f>'Reported burning'!B3585</f>
        <v>0</v>
      </c>
      <c r="C3579" s="156">
        <f>'Reported burning'!C3585</f>
        <v>0</v>
      </c>
      <c r="D3579" s="156">
        <f>'Reported burning'!D3585</f>
        <v>0</v>
      </c>
      <c r="E3579" s="156">
        <f>'Reported burning'!E3585</f>
        <v>0</v>
      </c>
      <c r="F3579" s="156">
        <f>'Reported burning'!F3585</f>
        <v>0</v>
      </c>
      <c r="G3579" s="156">
        <f>'Reported burning'!G3585</f>
        <v>0</v>
      </c>
      <c r="H3579" s="156">
        <f>'Reported burning'!H3585</f>
        <v>0</v>
      </c>
      <c r="I3579" s="5"/>
    </row>
    <row r="3580" spans="1:9">
      <c r="A3580" s="156">
        <f>'Reported burning'!A3586</f>
        <v>0</v>
      </c>
      <c r="B3580" s="156">
        <f>'Reported burning'!B3586</f>
        <v>0</v>
      </c>
      <c r="C3580" s="156">
        <f>'Reported burning'!C3586</f>
        <v>0</v>
      </c>
      <c r="D3580" s="156">
        <f>'Reported burning'!D3586</f>
        <v>0</v>
      </c>
      <c r="E3580" s="156">
        <f>'Reported burning'!E3586</f>
        <v>0</v>
      </c>
      <c r="F3580" s="156">
        <f>'Reported burning'!F3586</f>
        <v>0</v>
      </c>
      <c r="G3580" s="156">
        <f>'Reported burning'!G3586</f>
        <v>0</v>
      </c>
      <c r="H3580" s="156">
        <f>'Reported burning'!H3586</f>
        <v>0</v>
      </c>
      <c r="I3580" s="5"/>
    </row>
    <row r="3581" spans="1:9">
      <c r="A3581" s="156">
        <f>'Reported burning'!A3587</f>
        <v>0</v>
      </c>
      <c r="B3581" s="156">
        <f>'Reported burning'!B3587</f>
        <v>0</v>
      </c>
      <c r="C3581" s="156">
        <f>'Reported burning'!C3587</f>
        <v>0</v>
      </c>
      <c r="D3581" s="156">
        <f>'Reported burning'!D3587</f>
        <v>0</v>
      </c>
      <c r="E3581" s="156">
        <f>'Reported burning'!E3587</f>
        <v>0</v>
      </c>
      <c r="F3581" s="156">
        <f>'Reported burning'!F3587</f>
        <v>0</v>
      </c>
      <c r="G3581" s="156">
        <f>'Reported burning'!G3587</f>
        <v>0</v>
      </c>
      <c r="H3581" s="156">
        <f>'Reported burning'!H3587</f>
        <v>0</v>
      </c>
      <c r="I3581" s="5"/>
    </row>
    <row r="3582" spans="1:9">
      <c r="A3582" s="156">
        <f>'Reported burning'!A3588</f>
        <v>0</v>
      </c>
      <c r="B3582" s="156">
        <f>'Reported burning'!B3588</f>
        <v>0</v>
      </c>
      <c r="C3582" s="156">
        <f>'Reported burning'!C3588</f>
        <v>0</v>
      </c>
      <c r="D3582" s="156">
        <f>'Reported burning'!D3588</f>
        <v>0</v>
      </c>
      <c r="E3582" s="156">
        <f>'Reported burning'!E3588</f>
        <v>0</v>
      </c>
      <c r="F3582" s="156">
        <f>'Reported burning'!F3588</f>
        <v>0</v>
      </c>
      <c r="G3582" s="156">
        <f>'Reported burning'!G3588</f>
        <v>0</v>
      </c>
      <c r="H3582" s="156">
        <f>'Reported burning'!H3588</f>
        <v>0</v>
      </c>
      <c r="I3582" s="5"/>
    </row>
    <row r="3583" spans="1:9">
      <c r="A3583" s="156">
        <f>'Reported burning'!A3589</f>
        <v>0</v>
      </c>
      <c r="B3583" s="156">
        <f>'Reported burning'!B3589</f>
        <v>0</v>
      </c>
      <c r="C3583" s="156">
        <f>'Reported burning'!C3589</f>
        <v>0</v>
      </c>
      <c r="D3583" s="156">
        <f>'Reported burning'!D3589</f>
        <v>0</v>
      </c>
      <c r="E3583" s="156">
        <f>'Reported burning'!E3589</f>
        <v>0</v>
      </c>
      <c r="F3583" s="156">
        <f>'Reported burning'!F3589</f>
        <v>0</v>
      </c>
      <c r="G3583" s="156">
        <f>'Reported burning'!G3589</f>
        <v>0</v>
      </c>
      <c r="H3583" s="156">
        <f>'Reported burning'!H3589</f>
        <v>0</v>
      </c>
      <c r="I3583" s="5"/>
    </row>
    <row r="3584" spans="1:9">
      <c r="A3584" s="156">
        <f>'Reported burning'!A3590</f>
        <v>0</v>
      </c>
      <c r="B3584" s="156">
        <f>'Reported burning'!B3590</f>
        <v>0</v>
      </c>
      <c r="C3584" s="156">
        <f>'Reported burning'!C3590</f>
        <v>0</v>
      </c>
      <c r="D3584" s="156">
        <f>'Reported burning'!D3590</f>
        <v>0</v>
      </c>
      <c r="E3584" s="156">
        <f>'Reported burning'!E3590</f>
        <v>0</v>
      </c>
      <c r="F3584" s="156">
        <f>'Reported burning'!F3590</f>
        <v>0</v>
      </c>
      <c r="G3584" s="156">
        <f>'Reported burning'!G3590</f>
        <v>0</v>
      </c>
      <c r="H3584" s="156">
        <f>'Reported burning'!H3590</f>
        <v>0</v>
      </c>
      <c r="I3584" s="5"/>
    </row>
    <row r="3585" spans="1:9">
      <c r="A3585" s="156">
        <f>'Reported burning'!A3591</f>
        <v>0</v>
      </c>
      <c r="B3585" s="156">
        <f>'Reported burning'!B3591</f>
        <v>0</v>
      </c>
      <c r="C3585" s="156">
        <f>'Reported burning'!C3591</f>
        <v>0</v>
      </c>
      <c r="D3585" s="156">
        <f>'Reported burning'!D3591</f>
        <v>0</v>
      </c>
      <c r="E3585" s="156">
        <f>'Reported burning'!E3591</f>
        <v>0</v>
      </c>
      <c r="F3585" s="156">
        <f>'Reported burning'!F3591</f>
        <v>0</v>
      </c>
      <c r="G3585" s="156">
        <f>'Reported burning'!G3591</f>
        <v>0</v>
      </c>
      <c r="H3585" s="156">
        <f>'Reported burning'!H3591</f>
        <v>0</v>
      </c>
      <c r="I3585" s="5"/>
    </row>
    <row r="3586" spans="1:9">
      <c r="A3586" s="156">
        <f>'Reported burning'!A3592</f>
        <v>0</v>
      </c>
      <c r="B3586" s="156">
        <f>'Reported burning'!B3592</f>
        <v>0</v>
      </c>
      <c r="C3586" s="156">
        <f>'Reported burning'!C3592</f>
        <v>0</v>
      </c>
      <c r="D3586" s="156">
        <f>'Reported burning'!D3592</f>
        <v>0</v>
      </c>
      <c r="E3586" s="156">
        <f>'Reported burning'!E3592</f>
        <v>0</v>
      </c>
      <c r="F3586" s="156">
        <f>'Reported burning'!F3592</f>
        <v>0</v>
      </c>
      <c r="G3586" s="156">
        <f>'Reported burning'!G3592</f>
        <v>0</v>
      </c>
      <c r="H3586" s="156">
        <f>'Reported burning'!H3592</f>
        <v>0</v>
      </c>
      <c r="I3586" s="5"/>
    </row>
    <row r="3587" spans="1:9">
      <c r="A3587" s="156">
        <f>'Reported burning'!A3593</f>
        <v>0</v>
      </c>
      <c r="B3587" s="156">
        <f>'Reported burning'!B3593</f>
        <v>0</v>
      </c>
      <c r="C3587" s="156">
        <f>'Reported burning'!C3593</f>
        <v>0</v>
      </c>
      <c r="D3587" s="156">
        <f>'Reported burning'!D3593</f>
        <v>0</v>
      </c>
      <c r="E3587" s="156">
        <f>'Reported burning'!E3593</f>
        <v>0</v>
      </c>
      <c r="F3587" s="156">
        <f>'Reported burning'!F3593</f>
        <v>0</v>
      </c>
      <c r="G3587" s="156">
        <f>'Reported burning'!G3593</f>
        <v>0</v>
      </c>
      <c r="H3587" s="156">
        <f>'Reported burning'!H3593</f>
        <v>0</v>
      </c>
      <c r="I3587" s="5"/>
    </row>
    <row r="3588" spans="1:9">
      <c r="A3588" s="156">
        <f>'Reported burning'!A3594</f>
        <v>0</v>
      </c>
      <c r="B3588" s="156">
        <f>'Reported burning'!B3594</f>
        <v>0</v>
      </c>
      <c r="C3588" s="156">
        <f>'Reported burning'!C3594</f>
        <v>0</v>
      </c>
      <c r="D3588" s="156">
        <f>'Reported burning'!D3594</f>
        <v>0</v>
      </c>
      <c r="E3588" s="156">
        <f>'Reported burning'!E3594</f>
        <v>0</v>
      </c>
      <c r="F3588" s="156">
        <f>'Reported burning'!F3594</f>
        <v>0</v>
      </c>
      <c r="G3588" s="156">
        <f>'Reported burning'!G3594</f>
        <v>0</v>
      </c>
      <c r="H3588" s="156">
        <f>'Reported burning'!H3594</f>
        <v>0</v>
      </c>
      <c r="I3588" s="5"/>
    </row>
    <row r="3589" spans="1:9">
      <c r="A3589" s="156">
        <f>'Reported burning'!A3595</f>
        <v>0</v>
      </c>
      <c r="B3589" s="156">
        <f>'Reported burning'!B3595</f>
        <v>0</v>
      </c>
      <c r="C3589" s="156">
        <f>'Reported burning'!C3595</f>
        <v>0</v>
      </c>
      <c r="D3589" s="156">
        <f>'Reported burning'!D3595</f>
        <v>0</v>
      </c>
      <c r="E3589" s="156">
        <f>'Reported burning'!E3595</f>
        <v>0</v>
      </c>
      <c r="F3589" s="156">
        <f>'Reported burning'!F3595</f>
        <v>0</v>
      </c>
      <c r="G3589" s="156">
        <f>'Reported burning'!G3595</f>
        <v>0</v>
      </c>
      <c r="H3589" s="156">
        <f>'Reported burning'!H3595</f>
        <v>0</v>
      </c>
      <c r="I3589" s="5"/>
    </row>
    <row r="3590" spans="1:9">
      <c r="A3590" s="156">
        <f>'Reported burning'!A3596</f>
        <v>0</v>
      </c>
      <c r="B3590" s="156">
        <f>'Reported burning'!B3596</f>
        <v>0</v>
      </c>
      <c r="C3590" s="156">
        <f>'Reported burning'!C3596</f>
        <v>0</v>
      </c>
      <c r="D3590" s="156">
        <f>'Reported burning'!D3596</f>
        <v>0</v>
      </c>
      <c r="E3590" s="156">
        <f>'Reported burning'!E3596</f>
        <v>0</v>
      </c>
      <c r="F3590" s="156">
        <f>'Reported burning'!F3596</f>
        <v>0</v>
      </c>
      <c r="G3590" s="156">
        <f>'Reported burning'!G3596</f>
        <v>0</v>
      </c>
      <c r="H3590" s="156">
        <f>'Reported burning'!H3596</f>
        <v>0</v>
      </c>
      <c r="I3590" s="5"/>
    </row>
    <row r="3591" spans="1:9">
      <c r="A3591" s="156">
        <f>'Reported burning'!A3597</f>
        <v>0</v>
      </c>
      <c r="B3591" s="156">
        <f>'Reported burning'!B3597</f>
        <v>0</v>
      </c>
      <c r="C3591" s="156">
        <f>'Reported burning'!C3597</f>
        <v>0</v>
      </c>
      <c r="D3591" s="156">
        <f>'Reported burning'!D3597</f>
        <v>0</v>
      </c>
      <c r="E3591" s="156">
        <f>'Reported burning'!E3597</f>
        <v>0</v>
      </c>
      <c r="F3591" s="156">
        <f>'Reported burning'!F3597</f>
        <v>0</v>
      </c>
      <c r="G3591" s="156">
        <f>'Reported burning'!G3597</f>
        <v>0</v>
      </c>
      <c r="H3591" s="156">
        <f>'Reported burning'!H3597</f>
        <v>0</v>
      </c>
      <c r="I3591" s="5"/>
    </row>
    <row r="3592" spans="1:9">
      <c r="A3592" s="156">
        <f>'Reported burning'!A3598</f>
        <v>0</v>
      </c>
      <c r="B3592" s="156">
        <f>'Reported burning'!B3598</f>
        <v>0</v>
      </c>
      <c r="C3592" s="156">
        <f>'Reported burning'!C3598</f>
        <v>0</v>
      </c>
      <c r="D3592" s="156">
        <f>'Reported burning'!D3598</f>
        <v>0</v>
      </c>
      <c r="E3592" s="156">
        <f>'Reported burning'!E3598</f>
        <v>0</v>
      </c>
      <c r="F3592" s="156">
        <f>'Reported burning'!F3598</f>
        <v>0</v>
      </c>
      <c r="G3592" s="156">
        <f>'Reported burning'!G3598</f>
        <v>0</v>
      </c>
      <c r="H3592" s="156">
        <f>'Reported burning'!H3598</f>
        <v>0</v>
      </c>
      <c r="I3592" s="5"/>
    </row>
    <row r="3593" spans="1:9">
      <c r="A3593" s="156">
        <f>'Reported burning'!A3599</f>
        <v>0</v>
      </c>
      <c r="B3593" s="156">
        <f>'Reported burning'!B3599</f>
        <v>0</v>
      </c>
      <c r="C3593" s="156">
        <f>'Reported burning'!C3599</f>
        <v>0</v>
      </c>
      <c r="D3593" s="156">
        <f>'Reported burning'!D3599</f>
        <v>0</v>
      </c>
      <c r="E3593" s="156">
        <f>'Reported burning'!E3599</f>
        <v>0</v>
      </c>
      <c r="F3593" s="156">
        <f>'Reported burning'!F3599</f>
        <v>0</v>
      </c>
      <c r="G3593" s="156">
        <f>'Reported burning'!G3599</f>
        <v>0</v>
      </c>
      <c r="H3593" s="156">
        <f>'Reported burning'!H3599</f>
        <v>0</v>
      </c>
      <c r="I3593" s="5"/>
    </row>
    <row r="3594" spans="1:9">
      <c r="A3594" s="156">
        <f>'Reported burning'!A3600</f>
        <v>0</v>
      </c>
      <c r="B3594" s="156">
        <f>'Reported burning'!B3600</f>
        <v>0</v>
      </c>
      <c r="C3594" s="156">
        <f>'Reported burning'!C3600</f>
        <v>0</v>
      </c>
      <c r="D3594" s="156">
        <f>'Reported burning'!D3600</f>
        <v>0</v>
      </c>
      <c r="E3594" s="156">
        <f>'Reported burning'!E3600</f>
        <v>0</v>
      </c>
      <c r="F3594" s="156">
        <f>'Reported burning'!F3600</f>
        <v>0</v>
      </c>
      <c r="G3594" s="156">
        <f>'Reported burning'!G3600</f>
        <v>0</v>
      </c>
      <c r="H3594" s="156">
        <f>'Reported burning'!H3600</f>
        <v>0</v>
      </c>
      <c r="I3594" s="5"/>
    </row>
    <row r="3595" spans="1:9">
      <c r="A3595" s="156">
        <f>'Reported burning'!A3601</f>
        <v>0</v>
      </c>
      <c r="B3595" s="156">
        <f>'Reported burning'!B3601</f>
        <v>0</v>
      </c>
      <c r="C3595" s="156">
        <f>'Reported burning'!C3601</f>
        <v>0</v>
      </c>
      <c r="D3595" s="156">
        <f>'Reported burning'!D3601</f>
        <v>0</v>
      </c>
      <c r="E3595" s="156">
        <f>'Reported burning'!E3601</f>
        <v>0</v>
      </c>
      <c r="F3595" s="156">
        <f>'Reported burning'!F3601</f>
        <v>0</v>
      </c>
      <c r="G3595" s="156">
        <f>'Reported burning'!G3601</f>
        <v>0</v>
      </c>
      <c r="H3595" s="156">
        <f>'Reported burning'!H3601</f>
        <v>0</v>
      </c>
      <c r="I3595" s="5"/>
    </row>
    <row r="3596" spans="1:9">
      <c r="A3596" s="156">
        <f>'Reported burning'!A3602</f>
        <v>0</v>
      </c>
      <c r="B3596" s="156">
        <f>'Reported burning'!B3602</f>
        <v>0</v>
      </c>
      <c r="C3596" s="156">
        <f>'Reported burning'!C3602</f>
        <v>0</v>
      </c>
      <c r="D3596" s="156">
        <f>'Reported burning'!D3602</f>
        <v>0</v>
      </c>
      <c r="E3596" s="156">
        <f>'Reported burning'!E3602</f>
        <v>0</v>
      </c>
      <c r="F3596" s="156">
        <f>'Reported burning'!F3602</f>
        <v>0</v>
      </c>
      <c r="G3596" s="156">
        <f>'Reported burning'!G3602</f>
        <v>0</v>
      </c>
      <c r="H3596" s="156">
        <f>'Reported burning'!H3602</f>
        <v>0</v>
      </c>
      <c r="I3596" s="5"/>
    </row>
    <row r="3597" spans="1:9">
      <c r="A3597" s="156">
        <f>'Reported burning'!A3603</f>
        <v>0</v>
      </c>
      <c r="B3597" s="156">
        <f>'Reported burning'!B3603</f>
        <v>0</v>
      </c>
      <c r="C3597" s="156">
        <f>'Reported burning'!C3603</f>
        <v>0</v>
      </c>
      <c r="D3597" s="156">
        <f>'Reported burning'!D3603</f>
        <v>0</v>
      </c>
      <c r="E3597" s="156">
        <f>'Reported burning'!E3603</f>
        <v>0</v>
      </c>
      <c r="F3597" s="156">
        <f>'Reported burning'!F3603</f>
        <v>0</v>
      </c>
      <c r="G3597" s="156">
        <f>'Reported burning'!G3603</f>
        <v>0</v>
      </c>
      <c r="H3597" s="156">
        <f>'Reported burning'!H3603</f>
        <v>0</v>
      </c>
      <c r="I3597" s="5"/>
    </row>
    <row r="3598" spans="1:9">
      <c r="A3598" s="156">
        <f>'Reported burning'!A3604</f>
        <v>0</v>
      </c>
      <c r="B3598" s="156">
        <f>'Reported burning'!B3604</f>
        <v>0</v>
      </c>
      <c r="C3598" s="156">
        <f>'Reported burning'!C3604</f>
        <v>0</v>
      </c>
      <c r="D3598" s="156">
        <f>'Reported burning'!D3604</f>
        <v>0</v>
      </c>
      <c r="E3598" s="156">
        <f>'Reported burning'!E3604</f>
        <v>0</v>
      </c>
      <c r="F3598" s="156">
        <f>'Reported burning'!F3604</f>
        <v>0</v>
      </c>
      <c r="G3598" s="156">
        <f>'Reported burning'!G3604</f>
        <v>0</v>
      </c>
      <c r="H3598" s="156">
        <f>'Reported burning'!H3604</f>
        <v>0</v>
      </c>
      <c r="I3598" s="5"/>
    </row>
    <row r="3599" spans="1:9">
      <c r="A3599" s="156">
        <f>'Reported burning'!A3605</f>
        <v>0</v>
      </c>
      <c r="B3599" s="156">
        <f>'Reported burning'!B3605</f>
        <v>0</v>
      </c>
      <c r="C3599" s="156">
        <f>'Reported burning'!C3605</f>
        <v>0</v>
      </c>
      <c r="D3599" s="156">
        <f>'Reported burning'!D3605</f>
        <v>0</v>
      </c>
      <c r="E3599" s="156">
        <f>'Reported burning'!E3605</f>
        <v>0</v>
      </c>
      <c r="F3599" s="156">
        <f>'Reported burning'!F3605</f>
        <v>0</v>
      </c>
      <c r="G3599" s="156">
        <f>'Reported burning'!G3605</f>
        <v>0</v>
      </c>
      <c r="H3599" s="156">
        <f>'Reported burning'!H3605</f>
        <v>0</v>
      </c>
      <c r="I3599" s="5"/>
    </row>
    <row r="3600" spans="1:9">
      <c r="A3600" s="156">
        <f>'Reported burning'!A3606</f>
        <v>0</v>
      </c>
      <c r="B3600" s="156">
        <f>'Reported burning'!B3606</f>
        <v>0</v>
      </c>
      <c r="C3600" s="156">
        <f>'Reported burning'!C3606</f>
        <v>0</v>
      </c>
      <c r="D3600" s="156">
        <f>'Reported burning'!D3606</f>
        <v>0</v>
      </c>
      <c r="E3600" s="156">
        <f>'Reported burning'!E3606</f>
        <v>0</v>
      </c>
      <c r="F3600" s="156">
        <f>'Reported burning'!F3606</f>
        <v>0</v>
      </c>
      <c r="G3600" s="156">
        <f>'Reported burning'!G3606</f>
        <v>0</v>
      </c>
      <c r="H3600" s="156">
        <f>'Reported burning'!H3606</f>
        <v>0</v>
      </c>
      <c r="I3600" s="5"/>
    </row>
    <row r="3601" spans="1:9">
      <c r="A3601" s="156">
        <f>'Reported burning'!A3607</f>
        <v>0</v>
      </c>
      <c r="B3601" s="156">
        <f>'Reported burning'!B3607</f>
        <v>0</v>
      </c>
      <c r="C3601" s="156">
        <f>'Reported burning'!C3607</f>
        <v>0</v>
      </c>
      <c r="D3601" s="156">
        <f>'Reported burning'!D3607</f>
        <v>0</v>
      </c>
      <c r="E3601" s="156">
        <f>'Reported burning'!E3607</f>
        <v>0</v>
      </c>
      <c r="F3601" s="156">
        <f>'Reported burning'!F3607</f>
        <v>0</v>
      </c>
      <c r="G3601" s="156">
        <f>'Reported burning'!G3607</f>
        <v>0</v>
      </c>
      <c r="H3601" s="156">
        <f>'Reported burning'!H3607</f>
        <v>0</v>
      </c>
      <c r="I3601" s="5"/>
    </row>
    <row r="3602" spans="1:9">
      <c r="A3602" s="156">
        <f>'Reported burning'!A3608</f>
        <v>0</v>
      </c>
      <c r="B3602" s="156">
        <f>'Reported burning'!B3608</f>
        <v>0</v>
      </c>
      <c r="C3602" s="156">
        <f>'Reported burning'!C3608</f>
        <v>0</v>
      </c>
      <c r="D3602" s="156">
        <f>'Reported burning'!D3608</f>
        <v>0</v>
      </c>
      <c r="E3602" s="156">
        <f>'Reported burning'!E3608</f>
        <v>0</v>
      </c>
      <c r="F3602" s="156">
        <f>'Reported burning'!F3608</f>
        <v>0</v>
      </c>
      <c r="G3602" s="156">
        <f>'Reported burning'!G3608</f>
        <v>0</v>
      </c>
      <c r="H3602" s="156">
        <f>'Reported burning'!H3608</f>
        <v>0</v>
      </c>
      <c r="I3602" s="5"/>
    </row>
    <row r="3603" spans="1:9">
      <c r="A3603" s="156">
        <f>'Reported burning'!A3609</f>
        <v>0</v>
      </c>
      <c r="B3603" s="156">
        <f>'Reported burning'!B3609</f>
        <v>0</v>
      </c>
      <c r="C3603" s="156">
        <f>'Reported burning'!C3609</f>
        <v>0</v>
      </c>
      <c r="D3603" s="156">
        <f>'Reported burning'!D3609</f>
        <v>0</v>
      </c>
      <c r="E3603" s="156">
        <f>'Reported burning'!E3609</f>
        <v>0</v>
      </c>
      <c r="F3603" s="156">
        <f>'Reported burning'!F3609</f>
        <v>0</v>
      </c>
      <c r="G3603" s="156">
        <f>'Reported burning'!G3609</f>
        <v>0</v>
      </c>
      <c r="H3603" s="156">
        <f>'Reported burning'!H3609</f>
        <v>0</v>
      </c>
      <c r="I3603" s="5"/>
    </row>
    <row r="3604" spans="1:9">
      <c r="A3604" s="156">
        <f>'Reported burning'!A3610</f>
        <v>0</v>
      </c>
      <c r="B3604" s="156">
        <f>'Reported burning'!B3610</f>
        <v>0</v>
      </c>
      <c r="C3604" s="156">
        <f>'Reported burning'!C3610</f>
        <v>0</v>
      </c>
      <c r="D3604" s="156">
        <f>'Reported burning'!D3610</f>
        <v>0</v>
      </c>
      <c r="E3604" s="156">
        <f>'Reported burning'!E3610</f>
        <v>0</v>
      </c>
      <c r="F3604" s="156">
        <f>'Reported burning'!F3610</f>
        <v>0</v>
      </c>
      <c r="G3604" s="156">
        <f>'Reported burning'!G3610</f>
        <v>0</v>
      </c>
      <c r="H3604" s="156">
        <f>'Reported burning'!H3610</f>
        <v>0</v>
      </c>
      <c r="I3604" s="5"/>
    </row>
    <row r="3605" spans="1:9">
      <c r="A3605" s="156">
        <f>'Reported burning'!A3611</f>
        <v>0</v>
      </c>
      <c r="B3605" s="156">
        <f>'Reported burning'!B3611</f>
        <v>0</v>
      </c>
      <c r="C3605" s="156">
        <f>'Reported burning'!C3611</f>
        <v>0</v>
      </c>
      <c r="D3605" s="156">
        <f>'Reported burning'!D3611</f>
        <v>0</v>
      </c>
      <c r="E3605" s="156">
        <f>'Reported burning'!E3611</f>
        <v>0</v>
      </c>
      <c r="F3605" s="156">
        <f>'Reported burning'!F3611</f>
        <v>0</v>
      </c>
      <c r="G3605" s="156">
        <f>'Reported burning'!G3611</f>
        <v>0</v>
      </c>
      <c r="H3605" s="156">
        <f>'Reported burning'!H3611</f>
        <v>0</v>
      </c>
      <c r="I3605" s="5"/>
    </row>
    <row r="3606" spans="1:9">
      <c r="A3606" s="156">
        <f>'Reported burning'!A3612</f>
        <v>0</v>
      </c>
      <c r="B3606" s="156">
        <f>'Reported burning'!B3612</f>
        <v>0</v>
      </c>
      <c r="C3606" s="156">
        <f>'Reported burning'!C3612</f>
        <v>0</v>
      </c>
      <c r="D3606" s="156">
        <f>'Reported burning'!D3612</f>
        <v>0</v>
      </c>
      <c r="E3606" s="156">
        <f>'Reported burning'!E3612</f>
        <v>0</v>
      </c>
      <c r="F3606" s="156">
        <f>'Reported burning'!F3612</f>
        <v>0</v>
      </c>
      <c r="G3606" s="156">
        <f>'Reported burning'!G3612</f>
        <v>0</v>
      </c>
      <c r="H3606" s="156">
        <f>'Reported burning'!H3612</f>
        <v>0</v>
      </c>
      <c r="I3606" s="5"/>
    </row>
    <row r="3607" spans="1:9">
      <c r="A3607" s="156">
        <f>'Reported burning'!A3613</f>
        <v>0</v>
      </c>
      <c r="B3607" s="156">
        <f>'Reported burning'!B3613</f>
        <v>0</v>
      </c>
      <c r="C3607" s="156">
        <f>'Reported burning'!C3613</f>
        <v>0</v>
      </c>
      <c r="D3607" s="156">
        <f>'Reported burning'!D3613</f>
        <v>0</v>
      </c>
      <c r="E3607" s="156">
        <f>'Reported burning'!E3613</f>
        <v>0</v>
      </c>
      <c r="F3607" s="156">
        <f>'Reported burning'!F3613</f>
        <v>0</v>
      </c>
      <c r="G3607" s="156">
        <f>'Reported burning'!G3613</f>
        <v>0</v>
      </c>
      <c r="H3607" s="156">
        <f>'Reported burning'!H3613</f>
        <v>0</v>
      </c>
      <c r="I3607" s="5"/>
    </row>
    <row r="3608" spans="1:9">
      <c r="A3608" s="156">
        <f>'Reported burning'!A3614</f>
        <v>0</v>
      </c>
      <c r="B3608" s="156">
        <f>'Reported burning'!B3614</f>
        <v>0</v>
      </c>
      <c r="C3608" s="156">
        <f>'Reported burning'!C3614</f>
        <v>0</v>
      </c>
      <c r="D3608" s="156">
        <f>'Reported burning'!D3614</f>
        <v>0</v>
      </c>
      <c r="E3608" s="156">
        <f>'Reported burning'!E3614</f>
        <v>0</v>
      </c>
      <c r="F3608" s="156">
        <f>'Reported burning'!F3614</f>
        <v>0</v>
      </c>
      <c r="G3608" s="156">
        <f>'Reported burning'!G3614</f>
        <v>0</v>
      </c>
      <c r="H3608" s="156">
        <f>'Reported burning'!H3614</f>
        <v>0</v>
      </c>
      <c r="I3608" s="5"/>
    </row>
    <row r="3609" spans="1:9">
      <c r="A3609" s="156">
        <f>'Reported burning'!A3615</f>
        <v>0</v>
      </c>
      <c r="B3609" s="156">
        <f>'Reported burning'!B3615</f>
        <v>0</v>
      </c>
      <c r="C3609" s="156">
        <f>'Reported burning'!C3615</f>
        <v>0</v>
      </c>
      <c r="D3609" s="156">
        <f>'Reported burning'!D3615</f>
        <v>0</v>
      </c>
      <c r="E3609" s="156">
        <f>'Reported burning'!E3615</f>
        <v>0</v>
      </c>
      <c r="F3609" s="156">
        <f>'Reported burning'!F3615</f>
        <v>0</v>
      </c>
      <c r="G3609" s="156">
        <f>'Reported burning'!G3615</f>
        <v>0</v>
      </c>
      <c r="H3609" s="156">
        <f>'Reported burning'!H3615</f>
        <v>0</v>
      </c>
      <c r="I3609" s="5"/>
    </row>
    <row r="3610" spans="1:9">
      <c r="A3610" s="156">
        <f>'Reported burning'!A3616</f>
        <v>0</v>
      </c>
      <c r="B3610" s="156">
        <f>'Reported burning'!B3616</f>
        <v>0</v>
      </c>
      <c r="C3610" s="156">
        <f>'Reported burning'!C3616</f>
        <v>0</v>
      </c>
      <c r="D3610" s="156">
        <f>'Reported burning'!D3616</f>
        <v>0</v>
      </c>
      <c r="E3610" s="156">
        <f>'Reported burning'!E3616</f>
        <v>0</v>
      </c>
      <c r="F3610" s="156">
        <f>'Reported burning'!F3616</f>
        <v>0</v>
      </c>
      <c r="G3610" s="156">
        <f>'Reported burning'!G3616</f>
        <v>0</v>
      </c>
      <c r="H3610" s="156">
        <f>'Reported burning'!H3616</f>
        <v>0</v>
      </c>
      <c r="I3610" s="5"/>
    </row>
    <row r="3611" spans="1:9">
      <c r="A3611" s="156">
        <f>'Reported burning'!A3617</f>
        <v>0</v>
      </c>
      <c r="B3611" s="156">
        <f>'Reported burning'!B3617</f>
        <v>0</v>
      </c>
      <c r="C3611" s="156">
        <f>'Reported burning'!C3617</f>
        <v>0</v>
      </c>
      <c r="D3611" s="156">
        <f>'Reported burning'!D3617</f>
        <v>0</v>
      </c>
      <c r="E3611" s="156">
        <f>'Reported burning'!E3617</f>
        <v>0</v>
      </c>
      <c r="F3611" s="156">
        <f>'Reported burning'!F3617</f>
        <v>0</v>
      </c>
      <c r="G3611" s="156">
        <f>'Reported burning'!G3617</f>
        <v>0</v>
      </c>
      <c r="H3611" s="156">
        <f>'Reported burning'!H3617</f>
        <v>0</v>
      </c>
      <c r="I3611" s="5"/>
    </row>
    <row r="3612" spans="1:9">
      <c r="A3612" s="156">
        <f>'Reported burning'!A3618</f>
        <v>0</v>
      </c>
      <c r="B3612" s="156">
        <f>'Reported burning'!B3618</f>
        <v>0</v>
      </c>
      <c r="C3612" s="156">
        <f>'Reported burning'!C3618</f>
        <v>0</v>
      </c>
      <c r="D3612" s="156">
        <f>'Reported burning'!D3618</f>
        <v>0</v>
      </c>
      <c r="E3612" s="156">
        <f>'Reported burning'!E3618</f>
        <v>0</v>
      </c>
      <c r="F3612" s="156">
        <f>'Reported burning'!F3618</f>
        <v>0</v>
      </c>
      <c r="G3612" s="156">
        <f>'Reported burning'!G3618</f>
        <v>0</v>
      </c>
      <c r="H3612" s="156">
        <f>'Reported burning'!H3618</f>
        <v>0</v>
      </c>
      <c r="I3612" s="5"/>
    </row>
    <row r="3613" spans="1:9">
      <c r="A3613" s="156">
        <f>'Reported burning'!A3619</f>
        <v>0</v>
      </c>
      <c r="B3613" s="156">
        <f>'Reported burning'!B3619</f>
        <v>0</v>
      </c>
      <c r="C3613" s="156">
        <f>'Reported burning'!C3619</f>
        <v>0</v>
      </c>
      <c r="D3613" s="156">
        <f>'Reported burning'!D3619</f>
        <v>0</v>
      </c>
      <c r="E3613" s="156">
        <f>'Reported burning'!E3619</f>
        <v>0</v>
      </c>
      <c r="F3613" s="156">
        <f>'Reported burning'!F3619</f>
        <v>0</v>
      </c>
      <c r="G3613" s="156">
        <f>'Reported burning'!G3619</f>
        <v>0</v>
      </c>
      <c r="H3613" s="156">
        <f>'Reported burning'!H3619</f>
        <v>0</v>
      </c>
      <c r="I3613" s="5"/>
    </row>
    <row r="3614" spans="1:9">
      <c r="A3614" s="156">
        <f>'Reported burning'!A3620</f>
        <v>0</v>
      </c>
      <c r="B3614" s="156">
        <f>'Reported burning'!B3620</f>
        <v>0</v>
      </c>
      <c r="C3614" s="156">
        <f>'Reported burning'!C3620</f>
        <v>0</v>
      </c>
      <c r="D3614" s="156">
        <f>'Reported burning'!D3620</f>
        <v>0</v>
      </c>
      <c r="E3614" s="156">
        <f>'Reported burning'!E3620</f>
        <v>0</v>
      </c>
      <c r="F3614" s="156">
        <f>'Reported burning'!F3620</f>
        <v>0</v>
      </c>
      <c r="G3614" s="156">
        <f>'Reported burning'!G3620</f>
        <v>0</v>
      </c>
      <c r="H3614" s="156">
        <f>'Reported burning'!H3620</f>
        <v>0</v>
      </c>
      <c r="I3614" s="5"/>
    </row>
    <row r="3615" spans="1:9">
      <c r="A3615" s="156">
        <f>'Reported burning'!A3621</f>
        <v>0</v>
      </c>
      <c r="B3615" s="156">
        <f>'Reported burning'!B3621</f>
        <v>0</v>
      </c>
      <c r="C3615" s="156">
        <f>'Reported burning'!C3621</f>
        <v>0</v>
      </c>
      <c r="D3615" s="156">
        <f>'Reported burning'!D3621</f>
        <v>0</v>
      </c>
      <c r="E3615" s="156">
        <f>'Reported burning'!E3621</f>
        <v>0</v>
      </c>
      <c r="F3615" s="156">
        <f>'Reported burning'!F3621</f>
        <v>0</v>
      </c>
      <c r="G3615" s="156">
        <f>'Reported burning'!G3621</f>
        <v>0</v>
      </c>
      <c r="H3615" s="156">
        <f>'Reported burning'!H3621</f>
        <v>0</v>
      </c>
      <c r="I3615" s="5"/>
    </row>
    <row r="3616" spans="1:9">
      <c r="A3616" s="156">
        <f>'Reported burning'!A3622</f>
        <v>0</v>
      </c>
      <c r="B3616" s="156">
        <f>'Reported burning'!B3622</f>
        <v>0</v>
      </c>
      <c r="C3616" s="156">
        <f>'Reported burning'!C3622</f>
        <v>0</v>
      </c>
      <c r="D3616" s="156">
        <f>'Reported burning'!D3622</f>
        <v>0</v>
      </c>
      <c r="E3616" s="156">
        <f>'Reported burning'!E3622</f>
        <v>0</v>
      </c>
      <c r="F3616" s="156">
        <f>'Reported burning'!F3622</f>
        <v>0</v>
      </c>
      <c r="G3616" s="156">
        <f>'Reported burning'!G3622</f>
        <v>0</v>
      </c>
      <c r="H3616" s="156">
        <f>'Reported burning'!H3622</f>
        <v>0</v>
      </c>
      <c r="I3616" s="5"/>
    </row>
    <row r="3617" spans="1:9">
      <c r="A3617" s="156">
        <f>'Reported burning'!A3623</f>
        <v>0</v>
      </c>
      <c r="B3617" s="156">
        <f>'Reported burning'!B3623</f>
        <v>0</v>
      </c>
      <c r="C3617" s="156">
        <f>'Reported burning'!C3623</f>
        <v>0</v>
      </c>
      <c r="D3617" s="156">
        <f>'Reported burning'!D3623</f>
        <v>0</v>
      </c>
      <c r="E3617" s="156">
        <f>'Reported burning'!E3623</f>
        <v>0</v>
      </c>
      <c r="F3617" s="156">
        <f>'Reported burning'!F3623</f>
        <v>0</v>
      </c>
      <c r="G3617" s="156">
        <f>'Reported burning'!G3623</f>
        <v>0</v>
      </c>
      <c r="H3617" s="156">
        <f>'Reported burning'!H3623</f>
        <v>0</v>
      </c>
      <c r="I3617" s="5"/>
    </row>
    <row r="3618" spans="1:9">
      <c r="A3618" s="156">
        <f>'Reported burning'!A3624</f>
        <v>0</v>
      </c>
      <c r="B3618" s="156">
        <f>'Reported burning'!B3624</f>
        <v>0</v>
      </c>
      <c r="C3618" s="156">
        <f>'Reported burning'!C3624</f>
        <v>0</v>
      </c>
      <c r="D3618" s="156">
        <f>'Reported burning'!D3624</f>
        <v>0</v>
      </c>
      <c r="E3618" s="156">
        <f>'Reported burning'!E3624</f>
        <v>0</v>
      </c>
      <c r="F3618" s="156">
        <f>'Reported burning'!F3624</f>
        <v>0</v>
      </c>
      <c r="G3618" s="156">
        <f>'Reported burning'!G3624</f>
        <v>0</v>
      </c>
      <c r="H3618" s="156">
        <f>'Reported burning'!H3624</f>
        <v>0</v>
      </c>
      <c r="I3618" s="5"/>
    </row>
    <row r="3619" spans="1:9">
      <c r="A3619" s="156">
        <f>'Reported burning'!A3625</f>
        <v>0</v>
      </c>
      <c r="B3619" s="156">
        <f>'Reported burning'!B3625</f>
        <v>0</v>
      </c>
      <c r="C3619" s="156">
        <f>'Reported burning'!C3625</f>
        <v>0</v>
      </c>
      <c r="D3619" s="156">
        <f>'Reported burning'!D3625</f>
        <v>0</v>
      </c>
      <c r="E3619" s="156">
        <f>'Reported burning'!E3625</f>
        <v>0</v>
      </c>
      <c r="F3619" s="156">
        <f>'Reported burning'!F3625</f>
        <v>0</v>
      </c>
      <c r="G3619" s="156">
        <f>'Reported burning'!G3625</f>
        <v>0</v>
      </c>
      <c r="H3619" s="156">
        <f>'Reported burning'!H3625</f>
        <v>0</v>
      </c>
      <c r="I3619" s="5"/>
    </row>
    <row r="3620" spans="1:9">
      <c r="A3620" s="156">
        <f>'Reported burning'!A3626</f>
        <v>0</v>
      </c>
      <c r="B3620" s="156">
        <f>'Reported burning'!B3626</f>
        <v>0</v>
      </c>
      <c r="C3620" s="156">
        <f>'Reported burning'!C3626</f>
        <v>0</v>
      </c>
      <c r="D3620" s="156">
        <f>'Reported burning'!D3626</f>
        <v>0</v>
      </c>
      <c r="E3620" s="156">
        <f>'Reported burning'!E3626</f>
        <v>0</v>
      </c>
      <c r="F3620" s="156">
        <f>'Reported burning'!F3626</f>
        <v>0</v>
      </c>
      <c r="G3620" s="156">
        <f>'Reported burning'!G3626</f>
        <v>0</v>
      </c>
      <c r="H3620" s="156">
        <f>'Reported burning'!H3626</f>
        <v>0</v>
      </c>
      <c r="I3620" s="5"/>
    </row>
    <row r="3621" spans="1:9">
      <c r="A3621" s="156">
        <f>'Reported burning'!A3627</f>
        <v>0</v>
      </c>
      <c r="B3621" s="156">
        <f>'Reported burning'!B3627</f>
        <v>0</v>
      </c>
      <c r="C3621" s="156">
        <f>'Reported burning'!C3627</f>
        <v>0</v>
      </c>
      <c r="D3621" s="156">
        <f>'Reported burning'!D3627</f>
        <v>0</v>
      </c>
      <c r="E3621" s="156">
        <f>'Reported burning'!E3627</f>
        <v>0</v>
      </c>
      <c r="F3621" s="156">
        <f>'Reported burning'!F3627</f>
        <v>0</v>
      </c>
      <c r="G3621" s="156">
        <f>'Reported burning'!G3627</f>
        <v>0</v>
      </c>
      <c r="H3621" s="156">
        <f>'Reported burning'!H3627</f>
        <v>0</v>
      </c>
      <c r="I3621" s="5"/>
    </row>
    <row r="3622" spans="1:9">
      <c r="A3622" s="156">
        <f>'Reported burning'!A3628</f>
        <v>0</v>
      </c>
      <c r="B3622" s="156">
        <f>'Reported burning'!B3628</f>
        <v>0</v>
      </c>
      <c r="C3622" s="156">
        <f>'Reported burning'!C3628</f>
        <v>0</v>
      </c>
      <c r="D3622" s="156">
        <f>'Reported burning'!D3628</f>
        <v>0</v>
      </c>
      <c r="E3622" s="156">
        <f>'Reported burning'!E3628</f>
        <v>0</v>
      </c>
      <c r="F3622" s="156">
        <f>'Reported burning'!F3628</f>
        <v>0</v>
      </c>
      <c r="G3622" s="156">
        <f>'Reported burning'!G3628</f>
        <v>0</v>
      </c>
      <c r="H3622" s="156">
        <f>'Reported burning'!H3628</f>
        <v>0</v>
      </c>
      <c r="I3622" s="5"/>
    </row>
    <row r="3623" spans="1:9">
      <c r="A3623" s="156">
        <f>'Reported burning'!A3629</f>
        <v>0</v>
      </c>
      <c r="B3623" s="156">
        <f>'Reported burning'!B3629</f>
        <v>0</v>
      </c>
      <c r="C3623" s="156">
        <f>'Reported burning'!C3629</f>
        <v>0</v>
      </c>
      <c r="D3623" s="156">
        <f>'Reported burning'!D3629</f>
        <v>0</v>
      </c>
      <c r="E3623" s="156">
        <f>'Reported burning'!E3629</f>
        <v>0</v>
      </c>
      <c r="F3623" s="156">
        <f>'Reported burning'!F3629</f>
        <v>0</v>
      </c>
      <c r="G3623" s="156">
        <f>'Reported burning'!G3629</f>
        <v>0</v>
      </c>
      <c r="H3623" s="156">
        <f>'Reported burning'!H3629</f>
        <v>0</v>
      </c>
      <c r="I3623" s="5"/>
    </row>
    <row r="3624" spans="1:9">
      <c r="A3624" s="156">
        <f>'Reported burning'!A3630</f>
        <v>0</v>
      </c>
      <c r="B3624" s="156">
        <f>'Reported burning'!B3630</f>
        <v>0</v>
      </c>
      <c r="C3624" s="156">
        <f>'Reported burning'!C3630</f>
        <v>0</v>
      </c>
      <c r="D3624" s="156">
        <f>'Reported burning'!D3630</f>
        <v>0</v>
      </c>
      <c r="E3624" s="156">
        <f>'Reported burning'!E3630</f>
        <v>0</v>
      </c>
      <c r="F3624" s="156">
        <f>'Reported burning'!F3630</f>
        <v>0</v>
      </c>
      <c r="G3624" s="156">
        <f>'Reported burning'!G3630</f>
        <v>0</v>
      </c>
      <c r="H3624" s="156">
        <f>'Reported burning'!H3630</f>
        <v>0</v>
      </c>
      <c r="I3624" s="5"/>
    </row>
    <row r="3625" spans="1:9">
      <c r="A3625" s="156">
        <f>'Reported burning'!A3631</f>
        <v>0</v>
      </c>
      <c r="B3625" s="156">
        <f>'Reported burning'!B3631</f>
        <v>0</v>
      </c>
      <c r="C3625" s="156">
        <f>'Reported burning'!C3631</f>
        <v>0</v>
      </c>
      <c r="D3625" s="156">
        <f>'Reported burning'!D3631</f>
        <v>0</v>
      </c>
      <c r="E3625" s="156">
        <f>'Reported burning'!E3631</f>
        <v>0</v>
      </c>
      <c r="F3625" s="156">
        <f>'Reported burning'!F3631</f>
        <v>0</v>
      </c>
      <c r="G3625" s="156">
        <f>'Reported burning'!G3631</f>
        <v>0</v>
      </c>
      <c r="H3625" s="156">
        <f>'Reported burning'!H3631</f>
        <v>0</v>
      </c>
      <c r="I3625" s="5"/>
    </row>
    <row r="3626" spans="1:9">
      <c r="A3626" s="156">
        <f>'Reported burning'!A3632</f>
        <v>0</v>
      </c>
      <c r="B3626" s="156">
        <f>'Reported burning'!B3632</f>
        <v>0</v>
      </c>
      <c r="C3626" s="156">
        <f>'Reported burning'!C3632</f>
        <v>0</v>
      </c>
      <c r="D3626" s="156">
        <f>'Reported burning'!D3632</f>
        <v>0</v>
      </c>
      <c r="E3626" s="156">
        <f>'Reported burning'!E3632</f>
        <v>0</v>
      </c>
      <c r="F3626" s="156">
        <f>'Reported burning'!F3632</f>
        <v>0</v>
      </c>
      <c r="G3626" s="156">
        <f>'Reported burning'!G3632</f>
        <v>0</v>
      </c>
      <c r="H3626" s="156">
        <f>'Reported burning'!H3632</f>
        <v>0</v>
      </c>
      <c r="I3626" s="5"/>
    </row>
    <row r="3627" spans="1:9">
      <c r="A3627" s="156">
        <f>'Reported burning'!A3633</f>
        <v>0</v>
      </c>
      <c r="B3627" s="156">
        <f>'Reported burning'!B3633</f>
        <v>0</v>
      </c>
      <c r="C3627" s="156">
        <f>'Reported burning'!C3633</f>
        <v>0</v>
      </c>
      <c r="D3627" s="156">
        <f>'Reported burning'!D3633</f>
        <v>0</v>
      </c>
      <c r="E3627" s="156">
        <f>'Reported burning'!E3633</f>
        <v>0</v>
      </c>
      <c r="F3627" s="156">
        <f>'Reported burning'!F3633</f>
        <v>0</v>
      </c>
      <c r="G3627" s="156">
        <f>'Reported burning'!G3633</f>
        <v>0</v>
      </c>
      <c r="H3627" s="156">
        <f>'Reported burning'!H3633</f>
        <v>0</v>
      </c>
      <c r="I3627" s="5"/>
    </row>
    <row r="3628" spans="1:9">
      <c r="A3628" s="156">
        <f>'Reported burning'!A3634</f>
        <v>0</v>
      </c>
      <c r="B3628" s="156">
        <f>'Reported burning'!B3634</f>
        <v>0</v>
      </c>
      <c r="C3628" s="156">
        <f>'Reported burning'!C3634</f>
        <v>0</v>
      </c>
      <c r="D3628" s="156">
        <f>'Reported burning'!D3634</f>
        <v>0</v>
      </c>
      <c r="E3628" s="156">
        <f>'Reported burning'!E3634</f>
        <v>0</v>
      </c>
      <c r="F3628" s="156">
        <f>'Reported burning'!F3634</f>
        <v>0</v>
      </c>
      <c r="G3628" s="156">
        <f>'Reported burning'!G3634</f>
        <v>0</v>
      </c>
      <c r="H3628" s="156">
        <f>'Reported burning'!H3634</f>
        <v>0</v>
      </c>
      <c r="I3628" s="5"/>
    </row>
    <row r="3629" spans="1:9">
      <c r="A3629" s="156">
        <f>'Reported burning'!A3635</f>
        <v>0</v>
      </c>
      <c r="B3629" s="156">
        <f>'Reported burning'!B3635</f>
        <v>0</v>
      </c>
      <c r="C3629" s="156">
        <f>'Reported burning'!C3635</f>
        <v>0</v>
      </c>
      <c r="D3629" s="156">
        <f>'Reported burning'!D3635</f>
        <v>0</v>
      </c>
      <c r="E3629" s="156">
        <f>'Reported burning'!E3635</f>
        <v>0</v>
      </c>
      <c r="F3629" s="156">
        <f>'Reported burning'!F3635</f>
        <v>0</v>
      </c>
      <c r="G3629" s="156">
        <f>'Reported burning'!G3635</f>
        <v>0</v>
      </c>
      <c r="H3629" s="156">
        <f>'Reported burning'!H3635</f>
        <v>0</v>
      </c>
      <c r="I3629" s="5"/>
    </row>
    <row r="3630" spans="1:9">
      <c r="A3630" s="156">
        <f>'Reported burning'!A3636</f>
        <v>0</v>
      </c>
      <c r="B3630" s="156">
        <f>'Reported burning'!B3636</f>
        <v>0</v>
      </c>
      <c r="C3630" s="156">
        <f>'Reported burning'!C3636</f>
        <v>0</v>
      </c>
      <c r="D3630" s="156">
        <f>'Reported burning'!D3636</f>
        <v>0</v>
      </c>
      <c r="E3630" s="156">
        <f>'Reported burning'!E3636</f>
        <v>0</v>
      </c>
      <c r="F3630" s="156">
        <f>'Reported burning'!F3636</f>
        <v>0</v>
      </c>
      <c r="G3630" s="156">
        <f>'Reported burning'!G3636</f>
        <v>0</v>
      </c>
      <c r="H3630" s="156">
        <f>'Reported burning'!H3636</f>
        <v>0</v>
      </c>
      <c r="I3630" s="5"/>
    </row>
    <row r="3631" spans="1:9">
      <c r="A3631" s="156">
        <f>'Reported burning'!A3637</f>
        <v>0</v>
      </c>
      <c r="B3631" s="156">
        <f>'Reported burning'!B3637</f>
        <v>0</v>
      </c>
      <c r="C3631" s="156">
        <f>'Reported burning'!C3637</f>
        <v>0</v>
      </c>
      <c r="D3631" s="156">
        <f>'Reported burning'!D3637</f>
        <v>0</v>
      </c>
      <c r="E3631" s="156">
        <f>'Reported burning'!E3637</f>
        <v>0</v>
      </c>
      <c r="F3631" s="156">
        <f>'Reported burning'!F3637</f>
        <v>0</v>
      </c>
      <c r="G3631" s="156">
        <f>'Reported burning'!G3637</f>
        <v>0</v>
      </c>
      <c r="H3631" s="156">
        <f>'Reported burning'!H3637</f>
        <v>0</v>
      </c>
      <c r="I3631" s="5"/>
    </row>
    <row r="3632" spans="1:9">
      <c r="A3632" s="156">
        <f>'Reported burning'!A3638</f>
        <v>0</v>
      </c>
      <c r="B3632" s="156">
        <f>'Reported burning'!B3638</f>
        <v>0</v>
      </c>
      <c r="C3632" s="156">
        <f>'Reported burning'!C3638</f>
        <v>0</v>
      </c>
      <c r="D3632" s="156">
        <f>'Reported burning'!D3638</f>
        <v>0</v>
      </c>
      <c r="E3632" s="156">
        <f>'Reported burning'!E3638</f>
        <v>0</v>
      </c>
      <c r="F3632" s="156">
        <f>'Reported burning'!F3638</f>
        <v>0</v>
      </c>
      <c r="G3632" s="156">
        <f>'Reported burning'!G3638</f>
        <v>0</v>
      </c>
      <c r="H3632" s="156">
        <f>'Reported burning'!H3638</f>
        <v>0</v>
      </c>
      <c r="I3632" s="5"/>
    </row>
    <row r="3633" spans="1:9">
      <c r="A3633" s="156">
        <f>'Reported burning'!A3639</f>
        <v>0</v>
      </c>
      <c r="B3633" s="156">
        <f>'Reported burning'!B3639</f>
        <v>0</v>
      </c>
      <c r="C3633" s="156">
        <f>'Reported burning'!C3639</f>
        <v>0</v>
      </c>
      <c r="D3633" s="156">
        <f>'Reported burning'!D3639</f>
        <v>0</v>
      </c>
      <c r="E3633" s="156">
        <f>'Reported burning'!E3639</f>
        <v>0</v>
      </c>
      <c r="F3633" s="156">
        <f>'Reported burning'!F3639</f>
        <v>0</v>
      </c>
      <c r="G3633" s="156">
        <f>'Reported burning'!G3639</f>
        <v>0</v>
      </c>
      <c r="H3633" s="156">
        <f>'Reported burning'!H3639</f>
        <v>0</v>
      </c>
      <c r="I3633" s="5"/>
    </row>
    <row r="3634" spans="1:9">
      <c r="A3634" s="156">
        <f>'Reported burning'!A3640</f>
        <v>0</v>
      </c>
      <c r="B3634" s="156">
        <f>'Reported burning'!B3640</f>
        <v>0</v>
      </c>
      <c r="C3634" s="156">
        <f>'Reported burning'!C3640</f>
        <v>0</v>
      </c>
      <c r="D3634" s="156">
        <f>'Reported burning'!D3640</f>
        <v>0</v>
      </c>
      <c r="E3634" s="156">
        <f>'Reported burning'!E3640</f>
        <v>0</v>
      </c>
      <c r="F3634" s="156">
        <f>'Reported burning'!F3640</f>
        <v>0</v>
      </c>
      <c r="G3634" s="156">
        <f>'Reported burning'!G3640</f>
        <v>0</v>
      </c>
      <c r="H3634" s="156">
        <f>'Reported burning'!H3640</f>
        <v>0</v>
      </c>
      <c r="I3634" s="5"/>
    </row>
    <row r="3635" spans="1:9">
      <c r="A3635" s="156">
        <f>'Reported burning'!A3641</f>
        <v>0</v>
      </c>
      <c r="B3635" s="156">
        <f>'Reported burning'!B3641</f>
        <v>0</v>
      </c>
      <c r="C3635" s="156">
        <f>'Reported burning'!C3641</f>
        <v>0</v>
      </c>
      <c r="D3635" s="156">
        <f>'Reported burning'!D3641</f>
        <v>0</v>
      </c>
      <c r="E3635" s="156">
        <f>'Reported burning'!E3641</f>
        <v>0</v>
      </c>
      <c r="F3635" s="156">
        <f>'Reported burning'!F3641</f>
        <v>0</v>
      </c>
      <c r="G3635" s="156">
        <f>'Reported burning'!G3641</f>
        <v>0</v>
      </c>
      <c r="H3635" s="156">
        <f>'Reported burning'!H3641</f>
        <v>0</v>
      </c>
      <c r="I3635" s="5"/>
    </row>
    <row r="3636" spans="1:9">
      <c r="A3636" s="156">
        <f>'Reported burning'!A3642</f>
        <v>0</v>
      </c>
      <c r="B3636" s="156">
        <f>'Reported burning'!B3642</f>
        <v>0</v>
      </c>
      <c r="C3636" s="156">
        <f>'Reported burning'!C3642</f>
        <v>0</v>
      </c>
      <c r="D3636" s="156">
        <f>'Reported burning'!D3642</f>
        <v>0</v>
      </c>
      <c r="E3636" s="156">
        <f>'Reported burning'!E3642</f>
        <v>0</v>
      </c>
      <c r="F3636" s="156">
        <f>'Reported burning'!F3642</f>
        <v>0</v>
      </c>
      <c r="G3636" s="156">
        <f>'Reported burning'!G3642</f>
        <v>0</v>
      </c>
      <c r="H3636" s="156">
        <f>'Reported burning'!H3642</f>
        <v>0</v>
      </c>
      <c r="I3636" s="5"/>
    </row>
    <row r="3637" spans="1:9">
      <c r="A3637" s="156">
        <f>'Reported burning'!A3643</f>
        <v>0</v>
      </c>
      <c r="B3637" s="156">
        <f>'Reported burning'!B3643</f>
        <v>0</v>
      </c>
      <c r="C3637" s="156">
        <f>'Reported burning'!C3643</f>
        <v>0</v>
      </c>
      <c r="D3637" s="156">
        <f>'Reported burning'!D3643</f>
        <v>0</v>
      </c>
      <c r="E3637" s="156">
        <f>'Reported burning'!E3643</f>
        <v>0</v>
      </c>
      <c r="F3637" s="156">
        <f>'Reported burning'!F3643</f>
        <v>0</v>
      </c>
      <c r="G3637" s="156">
        <f>'Reported burning'!G3643</f>
        <v>0</v>
      </c>
      <c r="H3637" s="156">
        <f>'Reported burning'!H3643</f>
        <v>0</v>
      </c>
      <c r="I3637" s="5"/>
    </row>
    <row r="3638" spans="1:9">
      <c r="A3638" s="156">
        <f>'Reported burning'!A3644</f>
        <v>0</v>
      </c>
      <c r="B3638" s="156">
        <f>'Reported burning'!B3644</f>
        <v>0</v>
      </c>
      <c r="C3638" s="156">
        <f>'Reported burning'!C3644</f>
        <v>0</v>
      </c>
      <c r="D3638" s="156">
        <f>'Reported burning'!D3644</f>
        <v>0</v>
      </c>
      <c r="E3638" s="156">
        <f>'Reported burning'!E3644</f>
        <v>0</v>
      </c>
      <c r="F3638" s="156">
        <f>'Reported burning'!F3644</f>
        <v>0</v>
      </c>
      <c r="G3638" s="156">
        <f>'Reported burning'!G3644</f>
        <v>0</v>
      </c>
      <c r="H3638" s="156">
        <f>'Reported burning'!H3644</f>
        <v>0</v>
      </c>
      <c r="I3638" s="5"/>
    </row>
    <row r="3639" spans="1:9">
      <c r="A3639" s="156">
        <f>'Reported burning'!A3645</f>
        <v>0</v>
      </c>
      <c r="B3639" s="156">
        <f>'Reported burning'!B3645</f>
        <v>0</v>
      </c>
      <c r="C3639" s="156">
        <f>'Reported burning'!C3645</f>
        <v>0</v>
      </c>
      <c r="D3639" s="156">
        <f>'Reported burning'!D3645</f>
        <v>0</v>
      </c>
      <c r="E3639" s="156">
        <f>'Reported burning'!E3645</f>
        <v>0</v>
      </c>
      <c r="F3639" s="156">
        <f>'Reported burning'!F3645</f>
        <v>0</v>
      </c>
      <c r="G3639" s="156">
        <f>'Reported burning'!G3645</f>
        <v>0</v>
      </c>
      <c r="H3639" s="156">
        <f>'Reported burning'!H3645</f>
        <v>0</v>
      </c>
      <c r="I3639" s="5"/>
    </row>
    <row r="3640" spans="1:9">
      <c r="A3640" s="156">
        <f>'Reported burning'!A3646</f>
        <v>0</v>
      </c>
      <c r="B3640" s="156">
        <f>'Reported burning'!B3646</f>
        <v>0</v>
      </c>
      <c r="C3640" s="156">
        <f>'Reported burning'!C3646</f>
        <v>0</v>
      </c>
      <c r="D3640" s="156">
        <f>'Reported burning'!D3646</f>
        <v>0</v>
      </c>
      <c r="E3640" s="156">
        <f>'Reported burning'!E3646</f>
        <v>0</v>
      </c>
      <c r="F3640" s="156">
        <f>'Reported burning'!F3646</f>
        <v>0</v>
      </c>
      <c r="G3640" s="156">
        <f>'Reported burning'!G3646</f>
        <v>0</v>
      </c>
      <c r="H3640" s="156">
        <f>'Reported burning'!H3646</f>
        <v>0</v>
      </c>
      <c r="I3640" s="5"/>
    </row>
    <row r="3641" spans="1:9">
      <c r="A3641" s="156">
        <f>'Reported burning'!A3647</f>
        <v>0</v>
      </c>
      <c r="B3641" s="156">
        <f>'Reported burning'!B3647</f>
        <v>0</v>
      </c>
      <c r="C3641" s="156">
        <f>'Reported burning'!C3647</f>
        <v>0</v>
      </c>
      <c r="D3641" s="156">
        <f>'Reported burning'!D3647</f>
        <v>0</v>
      </c>
      <c r="E3641" s="156">
        <f>'Reported burning'!E3647</f>
        <v>0</v>
      </c>
      <c r="F3641" s="156">
        <f>'Reported burning'!F3647</f>
        <v>0</v>
      </c>
      <c r="G3641" s="156">
        <f>'Reported burning'!G3647</f>
        <v>0</v>
      </c>
      <c r="H3641" s="156">
        <f>'Reported burning'!H3647</f>
        <v>0</v>
      </c>
      <c r="I3641" s="5"/>
    </row>
    <row r="3642" spans="1:9">
      <c r="A3642" s="156">
        <f>'Reported burning'!A3648</f>
        <v>0</v>
      </c>
      <c r="B3642" s="156">
        <f>'Reported burning'!B3648</f>
        <v>0</v>
      </c>
      <c r="C3642" s="156">
        <f>'Reported burning'!C3648</f>
        <v>0</v>
      </c>
      <c r="D3642" s="156">
        <f>'Reported burning'!D3648</f>
        <v>0</v>
      </c>
      <c r="E3642" s="156">
        <f>'Reported burning'!E3648</f>
        <v>0</v>
      </c>
      <c r="F3642" s="156">
        <f>'Reported burning'!F3648</f>
        <v>0</v>
      </c>
      <c r="G3642" s="156">
        <f>'Reported burning'!G3648</f>
        <v>0</v>
      </c>
      <c r="H3642" s="156">
        <f>'Reported burning'!H3648</f>
        <v>0</v>
      </c>
      <c r="I3642" s="5"/>
    </row>
    <row r="3643" spans="1:9">
      <c r="A3643" s="156">
        <f>'Reported burning'!A3649</f>
        <v>0</v>
      </c>
      <c r="B3643" s="156">
        <f>'Reported burning'!B3649</f>
        <v>0</v>
      </c>
      <c r="C3643" s="156">
        <f>'Reported burning'!C3649</f>
        <v>0</v>
      </c>
      <c r="D3643" s="156">
        <f>'Reported burning'!D3649</f>
        <v>0</v>
      </c>
      <c r="E3643" s="156">
        <f>'Reported burning'!E3649</f>
        <v>0</v>
      </c>
      <c r="F3643" s="156">
        <f>'Reported burning'!F3649</f>
        <v>0</v>
      </c>
      <c r="G3643" s="156">
        <f>'Reported burning'!G3649</f>
        <v>0</v>
      </c>
      <c r="H3643" s="156">
        <f>'Reported burning'!H3649</f>
        <v>0</v>
      </c>
      <c r="I3643" s="5"/>
    </row>
    <row r="3644" spans="1:9">
      <c r="A3644" s="156">
        <f>'Reported burning'!A3650</f>
        <v>0</v>
      </c>
      <c r="B3644" s="156">
        <f>'Reported burning'!B3650</f>
        <v>0</v>
      </c>
      <c r="C3644" s="156">
        <f>'Reported burning'!C3650</f>
        <v>0</v>
      </c>
      <c r="D3644" s="156">
        <f>'Reported burning'!D3650</f>
        <v>0</v>
      </c>
      <c r="E3644" s="156">
        <f>'Reported burning'!E3650</f>
        <v>0</v>
      </c>
      <c r="F3644" s="156">
        <f>'Reported burning'!F3650</f>
        <v>0</v>
      </c>
      <c r="G3644" s="156">
        <f>'Reported burning'!G3650</f>
        <v>0</v>
      </c>
      <c r="H3644" s="156">
        <f>'Reported burning'!H3650</f>
        <v>0</v>
      </c>
      <c r="I3644" s="5"/>
    </row>
    <row r="3645" spans="1:9">
      <c r="A3645" s="156">
        <f>'Reported burning'!A3651</f>
        <v>0</v>
      </c>
      <c r="B3645" s="156">
        <f>'Reported burning'!B3651</f>
        <v>0</v>
      </c>
      <c r="C3645" s="156">
        <f>'Reported burning'!C3651</f>
        <v>0</v>
      </c>
      <c r="D3645" s="156">
        <f>'Reported burning'!D3651</f>
        <v>0</v>
      </c>
      <c r="E3645" s="156">
        <f>'Reported burning'!E3651</f>
        <v>0</v>
      </c>
      <c r="F3645" s="156">
        <f>'Reported burning'!F3651</f>
        <v>0</v>
      </c>
      <c r="G3645" s="156">
        <f>'Reported burning'!G3651</f>
        <v>0</v>
      </c>
      <c r="H3645" s="156">
        <f>'Reported burning'!H3651</f>
        <v>0</v>
      </c>
      <c r="I3645" s="5"/>
    </row>
    <row r="3646" spans="1:9">
      <c r="A3646" s="156">
        <f>'Reported burning'!A3652</f>
        <v>0</v>
      </c>
      <c r="B3646" s="156">
        <f>'Reported burning'!B3652</f>
        <v>0</v>
      </c>
      <c r="C3646" s="156">
        <f>'Reported burning'!C3652</f>
        <v>0</v>
      </c>
      <c r="D3646" s="156">
        <f>'Reported burning'!D3652</f>
        <v>0</v>
      </c>
      <c r="E3646" s="156">
        <f>'Reported burning'!E3652</f>
        <v>0</v>
      </c>
      <c r="F3646" s="156">
        <f>'Reported burning'!F3652</f>
        <v>0</v>
      </c>
      <c r="G3646" s="156">
        <f>'Reported burning'!G3652</f>
        <v>0</v>
      </c>
      <c r="H3646" s="156">
        <f>'Reported burning'!H3652</f>
        <v>0</v>
      </c>
      <c r="I3646" s="5"/>
    </row>
    <row r="3647" spans="1:9">
      <c r="A3647" s="156">
        <f>'Reported burning'!A3653</f>
        <v>0</v>
      </c>
      <c r="B3647" s="156">
        <f>'Reported burning'!B3653</f>
        <v>0</v>
      </c>
      <c r="C3647" s="156">
        <f>'Reported burning'!C3653</f>
        <v>0</v>
      </c>
      <c r="D3647" s="156">
        <f>'Reported burning'!D3653</f>
        <v>0</v>
      </c>
      <c r="E3647" s="156">
        <f>'Reported burning'!E3653</f>
        <v>0</v>
      </c>
      <c r="F3647" s="156">
        <f>'Reported burning'!F3653</f>
        <v>0</v>
      </c>
      <c r="G3647" s="156">
        <f>'Reported burning'!G3653</f>
        <v>0</v>
      </c>
      <c r="H3647" s="156">
        <f>'Reported burning'!H3653</f>
        <v>0</v>
      </c>
      <c r="I3647" s="5"/>
    </row>
    <row r="3648" spans="1:9">
      <c r="A3648" s="156">
        <f>'Reported burning'!A3654</f>
        <v>0</v>
      </c>
      <c r="B3648" s="156">
        <f>'Reported burning'!B3654</f>
        <v>0</v>
      </c>
      <c r="C3648" s="156">
        <f>'Reported burning'!C3654</f>
        <v>0</v>
      </c>
      <c r="D3648" s="156">
        <f>'Reported burning'!D3654</f>
        <v>0</v>
      </c>
      <c r="E3648" s="156">
        <f>'Reported burning'!E3654</f>
        <v>0</v>
      </c>
      <c r="F3648" s="156">
        <f>'Reported burning'!F3654</f>
        <v>0</v>
      </c>
      <c r="G3648" s="156">
        <f>'Reported burning'!G3654</f>
        <v>0</v>
      </c>
      <c r="H3648" s="156">
        <f>'Reported burning'!H3654</f>
        <v>0</v>
      </c>
      <c r="I3648" s="5"/>
    </row>
    <row r="3649" spans="1:9">
      <c r="A3649" s="156">
        <f>'Reported burning'!A3655</f>
        <v>0</v>
      </c>
      <c r="B3649" s="156">
        <f>'Reported burning'!B3655</f>
        <v>0</v>
      </c>
      <c r="C3649" s="156">
        <f>'Reported burning'!C3655</f>
        <v>0</v>
      </c>
      <c r="D3649" s="156">
        <f>'Reported burning'!D3655</f>
        <v>0</v>
      </c>
      <c r="E3649" s="156">
        <f>'Reported burning'!E3655</f>
        <v>0</v>
      </c>
      <c r="F3649" s="156">
        <f>'Reported burning'!F3655</f>
        <v>0</v>
      </c>
      <c r="G3649" s="156">
        <f>'Reported burning'!G3655</f>
        <v>0</v>
      </c>
      <c r="H3649" s="156">
        <f>'Reported burning'!H3655</f>
        <v>0</v>
      </c>
      <c r="I3649" s="5"/>
    </row>
    <row r="3650" spans="1:9">
      <c r="A3650" s="156">
        <f>'Reported burning'!A3656</f>
        <v>0</v>
      </c>
      <c r="B3650" s="156">
        <f>'Reported burning'!B3656</f>
        <v>0</v>
      </c>
      <c r="C3650" s="156">
        <f>'Reported burning'!C3656</f>
        <v>0</v>
      </c>
      <c r="D3650" s="156">
        <f>'Reported burning'!D3656</f>
        <v>0</v>
      </c>
      <c r="E3650" s="156">
        <f>'Reported burning'!E3656</f>
        <v>0</v>
      </c>
      <c r="F3650" s="156">
        <f>'Reported burning'!F3656</f>
        <v>0</v>
      </c>
      <c r="G3650" s="156">
        <f>'Reported burning'!G3656</f>
        <v>0</v>
      </c>
      <c r="H3650" s="156">
        <f>'Reported burning'!H3656</f>
        <v>0</v>
      </c>
      <c r="I3650" s="5"/>
    </row>
    <row r="3651" spans="1:9">
      <c r="A3651" s="156">
        <f>'Reported burning'!A3657</f>
        <v>0</v>
      </c>
      <c r="B3651" s="156">
        <f>'Reported burning'!B3657</f>
        <v>0</v>
      </c>
      <c r="C3651" s="156">
        <f>'Reported burning'!C3657</f>
        <v>0</v>
      </c>
      <c r="D3651" s="156">
        <f>'Reported burning'!D3657</f>
        <v>0</v>
      </c>
      <c r="E3651" s="156">
        <f>'Reported burning'!E3657</f>
        <v>0</v>
      </c>
      <c r="F3651" s="156">
        <f>'Reported burning'!F3657</f>
        <v>0</v>
      </c>
      <c r="G3651" s="156">
        <f>'Reported burning'!G3657</f>
        <v>0</v>
      </c>
      <c r="H3651" s="156">
        <f>'Reported burning'!H3657</f>
        <v>0</v>
      </c>
      <c r="I3651" s="5"/>
    </row>
    <row r="3652" spans="1:9">
      <c r="A3652" s="156">
        <f>'Reported burning'!A3658</f>
        <v>0</v>
      </c>
      <c r="B3652" s="156">
        <f>'Reported burning'!B3658</f>
        <v>0</v>
      </c>
      <c r="C3652" s="156">
        <f>'Reported burning'!C3658</f>
        <v>0</v>
      </c>
      <c r="D3652" s="156">
        <f>'Reported burning'!D3658</f>
        <v>0</v>
      </c>
      <c r="E3652" s="156">
        <f>'Reported burning'!E3658</f>
        <v>0</v>
      </c>
      <c r="F3652" s="156">
        <f>'Reported burning'!F3658</f>
        <v>0</v>
      </c>
      <c r="G3652" s="156">
        <f>'Reported burning'!G3658</f>
        <v>0</v>
      </c>
      <c r="H3652" s="156">
        <f>'Reported burning'!H3658</f>
        <v>0</v>
      </c>
      <c r="I3652" s="5"/>
    </row>
    <row r="3653" spans="1:9">
      <c r="A3653" s="156">
        <f>'Reported burning'!A3659</f>
        <v>0</v>
      </c>
      <c r="B3653" s="156">
        <f>'Reported burning'!B3659</f>
        <v>0</v>
      </c>
      <c r="C3653" s="156">
        <f>'Reported burning'!C3659</f>
        <v>0</v>
      </c>
      <c r="D3653" s="156">
        <f>'Reported burning'!D3659</f>
        <v>0</v>
      </c>
      <c r="E3653" s="156">
        <f>'Reported burning'!E3659</f>
        <v>0</v>
      </c>
      <c r="F3653" s="156">
        <f>'Reported burning'!F3659</f>
        <v>0</v>
      </c>
      <c r="G3653" s="156">
        <f>'Reported burning'!G3659</f>
        <v>0</v>
      </c>
      <c r="H3653" s="156">
        <f>'Reported burning'!H3659</f>
        <v>0</v>
      </c>
      <c r="I3653" s="5"/>
    </row>
    <row r="3654" spans="1:9">
      <c r="A3654" s="156">
        <f>'Reported burning'!A3660</f>
        <v>0</v>
      </c>
      <c r="B3654" s="156">
        <f>'Reported burning'!B3660</f>
        <v>0</v>
      </c>
      <c r="C3654" s="156">
        <f>'Reported burning'!C3660</f>
        <v>0</v>
      </c>
      <c r="D3654" s="156">
        <f>'Reported burning'!D3660</f>
        <v>0</v>
      </c>
      <c r="E3654" s="156">
        <f>'Reported burning'!E3660</f>
        <v>0</v>
      </c>
      <c r="F3654" s="156">
        <f>'Reported burning'!F3660</f>
        <v>0</v>
      </c>
      <c r="G3654" s="156">
        <f>'Reported burning'!G3660</f>
        <v>0</v>
      </c>
      <c r="H3654" s="156">
        <f>'Reported burning'!H3660</f>
        <v>0</v>
      </c>
      <c r="I3654" s="5"/>
    </row>
    <row r="3655" spans="1:9">
      <c r="A3655" s="156">
        <f>'Reported burning'!A3661</f>
        <v>0</v>
      </c>
      <c r="B3655" s="156">
        <f>'Reported burning'!B3661</f>
        <v>0</v>
      </c>
      <c r="C3655" s="156">
        <f>'Reported burning'!C3661</f>
        <v>0</v>
      </c>
      <c r="D3655" s="156">
        <f>'Reported burning'!D3661</f>
        <v>0</v>
      </c>
      <c r="E3655" s="156">
        <f>'Reported burning'!E3661</f>
        <v>0</v>
      </c>
      <c r="F3655" s="156">
        <f>'Reported burning'!F3661</f>
        <v>0</v>
      </c>
      <c r="G3655" s="156">
        <f>'Reported burning'!G3661</f>
        <v>0</v>
      </c>
      <c r="H3655" s="156">
        <f>'Reported burning'!H3661</f>
        <v>0</v>
      </c>
      <c r="I3655" s="5"/>
    </row>
    <row r="3656" spans="1:9">
      <c r="A3656" s="156">
        <f>'Reported burning'!A3662</f>
        <v>0</v>
      </c>
      <c r="B3656" s="156">
        <f>'Reported burning'!B3662</f>
        <v>0</v>
      </c>
      <c r="C3656" s="156">
        <f>'Reported burning'!C3662</f>
        <v>0</v>
      </c>
      <c r="D3656" s="156">
        <f>'Reported burning'!D3662</f>
        <v>0</v>
      </c>
      <c r="E3656" s="156">
        <f>'Reported burning'!E3662</f>
        <v>0</v>
      </c>
      <c r="F3656" s="156">
        <f>'Reported burning'!F3662</f>
        <v>0</v>
      </c>
      <c r="G3656" s="156">
        <f>'Reported burning'!G3662</f>
        <v>0</v>
      </c>
      <c r="H3656" s="156">
        <f>'Reported burning'!H3662</f>
        <v>0</v>
      </c>
      <c r="I3656" s="5"/>
    </row>
    <row r="3657" spans="1:9">
      <c r="A3657" s="156">
        <f>'Reported burning'!A3663</f>
        <v>0</v>
      </c>
      <c r="B3657" s="156">
        <f>'Reported burning'!B3663</f>
        <v>0</v>
      </c>
      <c r="C3657" s="156">
        <f>'Reported burning'!C3663</f>
        <v>0</v>
      </c>
      <c r="D3657" s="156">
        <f>'Reported burning'!D3663</f>
        <v>0</v>
      </c>
      <c r="E3657" s="156">
        <f>'Reported burning'!E3663</f>
        <v>0</v>
      </c>
      <c r="F3657" s="156">
        <f>'Reported burning'!F3663</f>
        <v>0</v>
      </c>
      <c r="G3657" s="156">
        <f>'Reported burning'!G3663</f>
        <v>0</v>
      </c>
      <c r="H3657" s="156">
        <f>'Reported burning'!H3663</f>
        <v>0</v>
      </c>
      <c r="I3657" s="5"/>
    </row>
    <row r="3658" spans="1:9">
      <c r="A3658" s="156">
        <f>'Reported burning'!A3664</f>
        <v>0</v>
      </c>
      <c r="B3658" s="156">
        <f>'Reported burning'!B3664</f>
        <v>0</v>
      </c>
      <c r="C3658" s="156">
        <f>'Reported burning'!C3664</f>
        <v>0</v>
      </c>
      <c r="D3658" s="156">
        <f>'Reported burning'!D3664</f>
        <v>0</v>
      </c>
      <c r="E3658" s="156">
        <f>'Reported burning'!E3664</f>
        <v>0</v>
      </c>
      <c r="F3658" s="156">
        <f>'Reported burning'!F3664</f>
        <v>0</v>
      </c>
      <c r="G3658" s="156">
        <f>'Reported burning'!G3664</f>
        <v>0</v>
      </c>
      <c r="H3658" s="156">
        <f>'Reported burning'!H3664</f>
        <v>0</v>
      </c>
      <c r="I3658" s="5"/>
    </row>
    <row r="3659" spans="1:9">
      <c r="A3659" s="156">
        <f>'Reported burning'!A3665</f>
        <v>0</v>
      </c>
      <c r="B3659" s="156">
        <f>'Reported burning'!B3665</f>
        <v>0</v>
      </c>
      <c r="C3659" s="156">
        <f>'Reported burning'!C3665</f>
        <v>0</v>
      </c>
      <c r="D3659" s="156">
        <f>'Reported burning'!D3665</f>
        <v>0</v>
      </c>
      <c r="E3659" s="156">
        <f>'Reported burning'!E3665</f>
        <v>0</v>
      </c>
      <c r="F3659" s="156">
        <f>'Reported burning'!F3665</f>
        <v>0</v>
      </c>
      <c r="G3659" s="156">
        <f>'Reported burning'!G3665</f>
        <v>0</v>
      </c>
      <c r="H3659" s="156">
        <f>'Reported burning'!H3665</f>
        <v>0</v>
      </c>
      <c r="I3659" s="5"/>
    </row>
    <row r="3660" spans="1:9">
      <c r="A3660" s="156">
        <f>'Reported burning'!A3666</f>
        <v>0</v>
      </c>
      <c r="B3660" s="156">
        <f>'Reported burning'!B3666</f>
        <v>0</v>
      </c>
      <c r="C3660" s="156">
        <f>'Reported burning'!C3666</f>
        <v>0</v>
      </c>
      <c r="D3660" s="156">
        <f>'Reported burning'!D3666</f>
        <v>0</v>
      </c>
      <c r="E3660" s="156">
        <f>'Reported burning'!E3666</f>
        <v>0</v>
      </c>
      <c r="F3660" s="156">
        <f>'Reported burning'!F3666</f>
        <v>0</v>
      </c>
      <c r="G3660" s="156">
        <f>'Reported burning'!G3666</f>
        <v>0</v>
      </c>
      <c r="H3660" s="156">
        <f>'Reported burning'!H3666</f>
        <v>0</v>
      </c>
      <c r="I3660" s="5"/>
    </row>
    <row r="3661" spans="1:9">
      <c r="A3661" s="156">
        <f>'Reported burning'!A3667</f>
        <v>0</v>
      </c>
      <c r="B3661" s="156">
        <f>'Reported burning'!B3667</f>
        <v>0</v>
      </c>
      <c r="C3661" s="156">
        <f>'Reported burning'!C3667</f>
        <v>0</v>
      </c>
      <c r="D3661" s="156">
        <f>'Reported burning'!D3667</f>
        <v>0</v>
      </c>
      <c r="E3661" s="156">
        <f>'Reported burning'!E3667</f>
        <v>0</v>
      </c>
      <c r="F3661" s="156">
        <f>'Reported burning'!F3667</f>
        <v>0</v>
      </c>
      <c r="G3661" s="156">
        <f>'Reported burning'!G3667</f>
        <v>0</v>
      </c>
      <c r="H3661" s="156">
        <f>'Reported burning'!H3667</f>
        <v>0</v>
      </c>
      <c r="I3661" s="5"/>
    </row>
    <row r="3662" spans="1:9">
      <c r="A3662" s="156">
        <f>'Reported burning'!A3668</f>
        <v>0</v>
      </c>
      <c r="B3662" s="156">
        <f>'Reported burning'!B3668</f>
        <v>0</v>
      </c>
      <c r="C3662" s="156">
        <f>'Reported burning'!C3668</f>
        <v>0</v>
      </c>
      <c r="D3662" s="156">
        <f>'Reported burning'!D3668</f>
        <v>0</v>
      </c>
      <c r="E3662" s="156">
        <f>'Reported burning'!E3668</f>
        <v>0</v>
      </c>
      <c r="F3662" s="156">
        <f>'Reported burning'!F3668</f>
        <v>0</v>
      </c>
      <c r="G3662" s="156">
        <f>'Reported burning'!G3668</f>
        <v>0</v>
      </c>
      <c r="H3662" s="156">
        <f>'Reported burning'!H3668</f>
        <v>0</v>
      </c>
      <c r="I3662" s="5"/>
    </row>
    <row r="3663" spans="1:9">
      <c r="A3663" s="156">
        <f>'Reported burning'!A3669</f>
        <v>0</v>
      </c>
      <c r="B3663" s="156">
        <f>'Reported burning'!B3669</f>
        <v>0</v>
      </c>
      <c r="C3663" s="156">
        <f>'Reported burning'!C3669</f>
        <v>0</v>
      </c>
      <c r="D3663" s="156">
        <f>'Reported burning'!D3669</f>
        <v>0</v>
      </c>
      <c r="E3663" s="156">
        <f>'Reported burning'!E3669</f>
        <v>0</v>
      </c>
      <c r="F3663" s="156">
        <f>'Reported burning'!F3669</f>
        <v>0</v>
      </c>
      <c r="G3663" s="156">
        <f>'Reported burning'!G3669</f>
        <v>0</v>
      </c>
      <c r="H3663" s="156">
        <f>'Reported burning'!H3669</f>
        <v>0</v>
      </c>
      <c r="I3663" s="5"/>
    </row>
    <row r="3664" spans="1:9">
      <c r="A3664" s="156">
        <f>'Reported burning'!A3670</f>
        <v>0</v>
      </c>
      <c r="B3664" s="156">
        <f>'Reported burning'!B3670</f>
        <v>0</v>
      </c>
      <c r="C3664" s="156">
        <f>'Reported burning'!C3670</f>
        <v>0</v>
      </c>
      <c r="D3664" s="156">
        <f>'Reported burning'!D3670</f>
        <v>0</v>
      </c>
      <c r="E3664" s="156">
        <f>'Reported burning'!E3670</f>
        <v>0</v>
      </c>
      <c r="F3664" s="156">
        <f>'Reported burning'!F3670</f>
        <v>0</v>
      </c>
      <c r="G3664" s="156">
        <f>'Reported burning'!G3670</f>
        <v>0</v>
      </c>
      <c r="H3664" s="156">
        <f>'Reported burning'!H3670</f>
        <v>0</v>
      </c>
      <c r="I3664" s="5"/>
    </row>
    <row r="3665" spans="1:9">
      <c r="A3665" s="156">
        <f>'Reported burning'!A3671</f>
        <v>0</v>
      </c>
      <c r="B3665" s="156">
        <f>'Reported burning'!B3671</f>
        <v>0</v>
      </c>
      <c r="C3665" s="156">
        <f>'Reported burning'!C3671</f>
        <v>0</v>
      </c>
      <c r="D3665" s="156">
        <f>'Reported burning'!D3671</f>
        <v>0</v>
      </c>
      <c r="E3665" s="156">
        <f>'Reported burning'!E3671</f>
        <v>0</v>
      </c>
      <c r="F3665" s="156">
        <f>'Reported burning'!F3671</f>
        <v>0</v>
      </c>
      <c r="G3665" s="156">
        <f>'Reported burning'!G3671</f>
        <v>0</v>
      </c>
      <c r="H3665" s="156">
        <f>'Reported burning'!H3671</f>
        <v>0</v>
      </c>
      <c r="I3665" s="5"/>
    </row>
    <row r="3666" spans="1:9">
      <c r="A3666" s="156">
        <f>'Reported burning'!A3672</f>
        <v>0</v>
      </c>
      <c r="B3666" s="156">
        <f>'Reported burning'!B3672</f>
        <v>0</v>
      </c>
      <c r="C3666" s="156">
        <f>'Reported burning'!C3672</f>
        <v>0</v>
      </c>
      <c r="D3666" s="156">
        <f>'Reported burning'!D3672</f>
        <v>0</v>
      </c>
      <c r="E3666" s="156">
        <f>'Reported burning'!E3672</f>
        <v>0</v>
      </c>
      <c r="F3666" s="156">
        <f>'Reported burning'!F3672</f>
        <v>0</v>
      </c>
      <c r="G3666" s="156">
        <f>'Reported burning'!G3672</f>
        <v>0</v>
      </c>
      <c r="H3666" s="156">
        <f>'Reported burning'!H3672</f>
        <v>0</v>
      </c>
      <c r="I3666" s="5"/>
    </row>
    <row r="3667" spans="1:9">
      <c r="A3667" s="156">
        <f>'Reported burning'!A3673</f>
        <v>0</v>
      </c>
      <c r="B3667" s="156">
        <f>'Reported burning'!B3673</f>
        <v>0</v>
      </c>
      <c r="C3667" s="156">
        <f>'Reported burning'!C3673</f>
        <v>0</v>
      </c>
      <c r="D3667" s="156">
        <f>'Reported burning'!D3673</f>
        <v>0</v>
      </c>
      <c r="E3667" s="156">
        <f>'Reported burning'!E3673</f>
        <v>0</v>
      </c>
      <c r="F3667" s="156">
        <f>'Reported burning'!F3673</f>
        <v>0</v>
      </c>
      <c r="G3667" s="156">
        <f>'Reported burning'!G3673</f>
        <v>0</v>
      </c>
      <c r="H3667" s="156">
        <f>'Reported burning'!H3673</f>
        <v>0</v>
      </c>
      <c r="I3667" s="5"/>
    </row>
    <row r="3668" spans="1:9">
      <c r="A3668" s="156">
        <f>'Reported burning'!A3674</f>
        <v>0</v>
      </c>
      <c r="B3668" s="156">
        <f>'Reported burning'!B3674</f>
        <v>0</v>
      </c>
      <c r="C3668" s="156">
        <f>'Reported burning'!C3674</f>
        <v>0</v>
      </c>
      <c r="D3668" s="156">
        <f>'Reported burning'!D3674</f>
        <v>0</v>
      </c>
      <c r="E3668" s="156">
        <f>'Reported burning'!E3674</f>
        <v>0</v>
      </c>
      <c r="F3668" s="156">
        <f>'Reported burning'!F3674</f>
        <v>0</v>
      </c>
      <c r="G3668" s="156">
        <f>'Reported burning'!G3674</f>
        <v>0</v>
      </c>
      <c r="H3668" s="156">
        <f>'Reported burning'!H3674</f>
        <v>0</v>
      </c>
      <c r="I3668" s="5"/>
    </row>
    <row r="3669" spans="1:9">
      <c r="A3669" s="156">
        <f>'Reported burning'!A3675</f>
        <v>0</v>
      </c>
      <c r="B3669" s="156">
        <f>'Reported burning'!B3675</f>
        <v>0</v>
      </c>
      <c r="C3669" s="156">
        <f>'Reported burning'!C3675</f>
        <v>0</v>
      </c>
      <c r="D3669" s="156">
        <f>'Reported burning'!D3675</f>
        <v>0</v>
      </c>
      <c r="E3669" s="156">
        <f>'Reported burning'!E3675</f>
        <v>0</v>
      </c>
      <c r="F3669" s="156">
        <f>'Reported burning'!F3675</f>
        <v>0</v>
      </c>
      <c r="G3669" s="156">
        <f>'Reported burning'!G3675</f>
        <v>0</v>
      </c>
      <c r="H3669" s="156">
        <f>'Reported burning'!H3675</f>
        <v>0</v>
      </c>
      <c r="I3669" s="5"/>
    </row>
    <row r="3670" spans="1:9">
      <c r="A3670" s="156">
        <f>'Reported burning'!A3676</f>
        <v>0</v>
      </c>
      <c r="B3670" s="156">
        <f>'Reported burning'!B3676</f>
        <v>0</v>
      </c>
      <c r="C3670" s="156">
        <f>'Reported burning'!C3676</f>
        <v>0</v>
      </c>
      <c r="D3670" s="156">
        <f>'Reported burning'!D3676</f>
        <v>0</v>
      </c>
      <c r="E3670" s="156">
        <f>'Reported burning'!E3676</f>
        <v>0</v>
      </c>
      <c r="F3670" s="156">
        <f>'Reported burning'!F3676</f>
        <v>0</v>
      </c>
      <c r="G3670" s="156">
        <f>'Reported burning'!G3676</f>
        <v>0</v>
      </c>
      <c r="H3670" s="156">
        <f>'Reported burning'!H3676</f>
        <v>0</v>
      </c>
      <c r="I3670" s="5"/>
    </row>
    <row r="3671" spans="1:9">
      <c r="A3671" s="156">
        <f>'Reported burning'!A3677</f>
        <v>0</v>
      </c>
      <c r="B3671" s="156">
        <f>'Reported burning'!B3677</f>
        <v>0</v>
      </c>
      <c r="C3671" s="156">
        <f>'Reported burning'!C3677</f>
        <v>0</v>
      </c>
      <c r="D3671" s="156">
        <f>'Reported burning'!D3677</f>
        <v>0</v>
      </c>
      <c r="E3671" s="156">
        <f>'Reported burning'!E3677</f>
        <v>0</v>
      </c>
      <c r="F3671" s="156">
        <f>'Reported burning'!F3677</f>
        <v>0</v>
      </c>
      <c r="G3671" s="156">
        <f>'Reported burning'!G3677</f>
        <v>0</v>
      </c>
      <c r="H3671" s="156">
        <f>'Reported burning'!H3677</f>
        <v>0</v>
      </c>
      <c r="I3671" s="5"/>
    </row>
    <row r="3672" spans="1:9">
      <c r="A3672" s="156">
        <f>'Reported burning'!A3678</f>
        <v>0</v>
      </c>
      <c r="B3672" s="156">
        <f>'Reported burning'!B3678</f>
        <v>0</v>
      </c>
      <c r="C3672" s="156">
        <f>'Reported burning'!C3678</f>
        <v>0</v>
      </c>
      <c r="D3672" s="156">
        <f>'Reported burning'!D3678</f>
        <v>0</v>
      </c>
      <c r="E3672" s="156">
        <f>'Reported burning'!E3678</f>
        <v>0</v>
      </c>
      <c r="F3672" s="156">
        <f>'Reported burning'!F3678</f>
        <v>0</v>
      </c>
      <c r="G3672" s="156">
        <f>'Reported burning'!G3678</f>
        <v>0</v>
      </c>
      <c r="H3672" s="156">
        <f>'Reported burning'!H3678</f>
        <v>0</v>
      </c>
      <c r="I3672" s="5"/>
    </row>
    <row r="3673" spans="1:9">
      <c r="A3673" s="156">
        <f>'Reported burning'!A3679</f>
        <v>0</v>
      </c>
      <c r="B3673" s="156">
        <f>'Reported burning'!B3679</f>
        <v>0</v>
      </c>
      <c r="C3673" s="156">
        <f>'Reported burning'!C3679</f>
        <v>0</v>
      </c>
      <c r="D3673" s="156">
        <f>'Reported burning'!D3679</f>
        <v>0</v>
      </c>
      <c r="E3673" s="156">
        <f>'Reported burning'!E3679</f>
        <v>0</v>
      </c>
      <c r="F3673" s="156">
        <f>'Reported burning'!F3679</f>
        <v>0</v>
      </c>
      <c r="G3673" s="156">
        <f>'Reported burning'!G3679</f>
        <v>0</v>
      </c>
      <c r="H3673" s="156">
        <f>'Reported burning'!H3679</f>
        <v>0</v>
      </c>
      <c r="I3673" s="5"/>
    </row>
    <row r="3674" spans="1:9">
      <c r="A3674" s="156">
        <f>'Reported burning'!A3680</f>
        <v>0</v>
      </c>
      <c r="B3674" s="156">
        <f>'Reported burning'!B3680</f>
        <v>0</v>
      </c>
      <c r="C3674" s="156">
        <f>'Reported burning'!C3680</f>
        <v>0</v>
      </c>
      <c r="D3674" s="156">
        <f>'Reported burning'!D3680</f>
        <v>0</v>
      </c>
      <c r="E3674" s="156">
        <f>'Reported burning'!E3680</f>
        <v>0</v>
      </c>
      <c r="F3674" s="156">
        <f>'Reported burning'!F3680</f>
        <v>0</v>
      </c>
      <c r="G3674" s="156">
        <f>'Reported burning'!G3680</f>
        <v>0</v>
      </c>
      <c r="H3674" s="156">
        <f>'Reported burning'!H3680</f>
        <v>0</v>
      </c>
      <c r="I3674" s="5"/>
    </row>
    <row r="3675" spans="1:9">
      <c r="A3675" s="156">
        <f>'Reported burning'!A3681</f>
        <v>0</v>
      </c>
      <c r="B3675" s="156">
        <f>'Reported burning'!B3681</f>
        <v>0</v>
      </c>
      <c r="C3675" s="156">
        <f>'Reported burning'!C3681</f>
        <v>0</v>
      </c>
      <c r="D3675" s="156">
        <f>'Reported burning'!D3681</f>
        <v>0</v>
      </c>
      <c r="E3675" s="156">
        <f>'Reported burning'!E3681</f>
        <v>0</v>
      </c>
      <c r="F3675" s="156">
        <f>'Reported burning'!F3681</f>
        <v>0</v>
      </c>
      <c r="G3675" s="156">
        <f>'Reported burning'!G3681</f>
        <v>0</v>
      </c>
      <c r="H3675" s="156">
        <f>'Reported burning'!H3681</f>
        <v>0</v>
      </c>
      <c r="I3675" s="5"/>
    </row>
    <row r="3676" spans="1:9">
      <c r="A3676" s="156">
        <f>'Reported burning'!A3682</f>
        <v>0</v>
      </c>
      <c r="B3676" s="156">
        <f>'Reported burning'!B3682</f>
        <v>0</v>
      </c>
      <c r="C3676" s="156">
        <f>'Reported burning'!C3682</f>
        <v>0</v>
      </c>
      <c r="D3676" s="156">
        <f>'Reported burning'!D3682</f>
        <v>0</v>
      </c>
      <c r="E3676" s="156">
        <f>'Reported burning'!E3682</f>
        <v>0</v>
      </c>
      <c r="F3676" s="156">
        <f>'Reported burning'!F3682</f>
        <v>0</v>
      </c>
      <c r="G3676" s="156">
        <f>'Reported burning'!G3682</f>
        <v>0</v>
      </c>
      <c r="H3676" s="156">
        <f>'Reported burning'!H3682</f>
        <v>0</v>
      </c>
      <c r="I3676" s="5"/>
    </row>
    <row r="3677" spans="1:9">
      <c r="A3677" s="156">
        <f>'Reported burning'!A3683</f>
        <v>0</v>
      </c>
      <c r="B3677" s="156">
        <f>'Reported burning'!B3683</f>
        <v>0</v>
      </c>
      <c r="C3677" s="156">
        <f>'Reported burning'!C3683</f>
        <v>0</v>
      </c>
      <c r="D3677" s="156">
        <f>'Reported burning'!D3683</f>
        <v>0</v>
      </c>
      <c r="E3677" s="156">
        <f>'Reported burning'!E3683</f>
        <v>0</v>
      </c>
      <c r="F3677" s="156">
        <f>'Reported burning'!F3683</f>
        <v>0</v>
      </c>
      <c r="G3677" s="156">
        <f>'Reported burning'!G3683</f>
        <v>0</v>
      </c>
      <c r="H3677" s="156">
        <f>'Reported burning'!H3683</f>
        <v>0</v>
      </c>
      <c r="I3677" s="5"/>
    </row>
    <row r="3678" spans="1:9">
      <c r="A3678" s="156">
        <f>'Reported burning'!A3684</f>
        <v>0</v>
      </c>
      <c r="B3678" s="156">
        <f>'Reported burning'!B3684</f>
        <v>0</v>
      </c>
      <c r="C3678" s="156">
        <f>'Reported burning'!C3684</f>
        <v>0</v>
      </c>
      <c r="D3678" s="156">
        <f>'Reported burning'!D3684</f>
        <v>0</v>
      </c>
      <c r="E3678" s="156">
        <f>'Reported burning'!E3684</f>
        <v>0</v>
      </c>
      <c r="F3678" s="156">
        <f>'Reported burning'!F3684</f>
        <v>0</v>
      </c>
      <c r="G3678" s="156">
        <f>'Reported burning'!G3684</f>
        <v>0</v>
      </c>
      <c r="H3678" s="156">
        <f>'Reported burning'!H3684</f>
        <v>0</v>
      </c>
      <c r="I3678" s="5"/>
    </row>
    <row r="3679" spans="1:9">
      <c r="A3679" s="156">
        <f>'Reported burning'!A3685</f>
        <v>0</v>
      </c>
      <c r="B3679" s="156">
        <f>'Reported burning'!B3685</f>
        <v>0</v>
      </c>
      <c r="C3679" s="156">
        <f>'Reported burning'!C3685</f>
        <v>0</v>
      </c>
      <c r="D3679" s="156">
        <f>'Reported burning'!D3685</f>
        <v>0</v>
      </c>
      <c r="E3679" s="156">
        <f>'Reported burning'!E3685</f>
        <v>0</v>
      </c>
      <c r="F3679" s="156">
        <f>'Reported burning'!F3685</f>
        <v>0</v>
      </c>
      <c r="G3679" s="156">
        <f>'Reported burning'!G3685</f>
        <v>0</v>
      </c>
      <c r="H3679" s="156">
        <f>'Reported burning'!H3685</f>
        <v>0</v>
      </c>
      <c r="I3679" s="5"/>
    </row>
    <row r="3680" spans="1:9">
      <c r="A3680" s="156">
        <f>'Reported burning'!A3686</f>
        <v>0</v>
      </c>
      <c r="B3680" s="156">
        <f>'Reported burning'!B3686</f>
        <v>0</v>
      </c>
      <c r="C3680" s="156">
        <f>'Reported burning'!C3686</f>
        <v>0</v>
      </c>
      <c r="D3680" s="156">
        <f>'Reported burning'!D3686</f>
        <v>0</v>
      </c>
      <c r="E3680" s="156">
        <f>'Reported burning'!E3686</f>
        <v>0</v>
      </c>
      <c r="F3680" s="156">
        <f>'Reported burning'!F3686</f>
        <v>0</v>
      </c>
      <c r="G3680" s="156">
        <f>'Reported burning'!G3686</f>
        <v>0</v>
      </c>
      <c r="H3680" s="156">
        <f>'Reported burning'!H3686</f>
        <v>0</v>
      </c>
      <c r="I3680" s="5"/>
    </row>
    <row r="3681" spans="1:9">
      <c r="A3681" s="156">
        <f>'Reported burning'!A3687</f>
        <v>0</v>
      </c>
      <c r="B3681" s="156">
        <f>'Reported burning'!B3687</f>
        <v>0</v>
      </c>
      <c r="C3681" s="156">
        <f>'Reported burning'!C3687</f>
        <v>0</v>
      </c>
      <c r="D3681" s="156">
        <f>'Reported burning'!D3687</f>
        <v>0</v>
      </c>
      <c r="E3681" s="156">
        <f>'Reported burning'!E3687</f>
        <v>0</v>
      </c>
      <c r="F3681" s="156">
        <f>'Reported burning'!F3687</f>
        <v>0</v>
      </c>
      <c r="G3681" s="156">
        <f>'Reported burning'!G3687</f>
        <v>0</v>
      </c>
      <c r="H3681" s="156">
        <f>'Reported burning'!H3687</f>
        <v>0</v>
      </c>
      <c r="I3681" s="5"/>
    </row>
    <row r="3682" spans="1:9">
      <c r="A3682" s="156">
        <f>'Reported burning'!A3688</f>
        <v>0</v>
      </c>
      <c r="B3682" s="156">
        <f>'Reported burning'!B3688</f>
        <v>0</v>
      </c>
      <c r="C3682" s="156">
        <f>'Reported burning'!C3688</f>
        <v>0</v>
      </c>
      <c r="D3682" s="156">
        <f>'Reported burning'!D3688</f>
        <v>0</v>
      </c>
      <c r="E3682" s="156">
        <f>'Reported burning'!E3688</f>
        <v>0</v>
      </c>
      <c r="F3682" s="156">
        <f>'Reported burning'!F3688</f>
        <v>0</v>
      </c>
      <c r="G3682" s="156">
        <f>'Reported burning'!G3688</f>
        <v>0</v>
      </c>
      <c r="H3682" s="156">
        <f>'Reported burning'!H3688</f>
        <v>0</v>
      </c>
      <c r="I3682" s="5"/>
    </row>
    <row r="3683" spans="1:9">
      <c r="A3683" s="156">
        <f>'Reported burning'!A3689</f>
        <v>0</v>
      </c>
      <c r="B3683" s="156">
        <f>'Reported burning'!B3689</f>
        <v>0</v>
      </c>
      <c r="C3683" s="156">
        <f>'Reported burning'!C3689</f>
        <v>0</v>
      </c>
      <c r="D3683" s="156">
        <f>'Reported burning'!D3689</f>
        <v>0</v>
      </c>
      <c r="E3683" s="156">
        <f>'Reported burning'!E3689</f>
        <v>0</v>
      </c>
      <c r="F3683" s="156">
        <f>'Reported burning'!F3689</f>
        <v>0</v>
      </c>
      <c r="G3683" s="156">
        <f>'Reported burning'!G3689</f>
        <v>0</v>
      </c>
      <c r="H3683" s="156">
        <f>'Reported burning'!H3689</f>
        <v>0</v>
      </c>
      <c r="I3683" s="5"/>
    </row>
    <row r="3684" spans="1:9">
      <c r="A3684" s="156">
        <f>'Reported burning'!A3690</f>
        <v>0</v>
      </c>
      <c r="B3684" s="156">
        <f>'Reported burning'!B3690</f>
        <v>0</v>
      </c>
      <c r="C3684" s="156">
        <f>'Reported burning'!C3690</f>
        <v>0</v>
      </c>
      <c r="D3684" s="156">
        <f>'Reported burning'!D3690</f>
        <v>0</v>
      </c>
      <c r="E3684" s="156">
        <f>'Reported burning'!E3690</f>
        <v>0</v>
      </c>
      <c r="F3684" s="156">
        <f>'Reported burning'!F3690</f>
        <v>0</v>
      </c>
      <c r="G3684" s="156">
        <f>'Reported burning'!G3690</f>
        <v>0</v>
      </c>
      <c r="H3684" s="156">
        <f>'Reported burning'!H3690</f>
        <v>0</v>
      </c>
      <c r="I3684" s="5"/>
    </row>
    <row r="3685" spans="1:9">
      <c r="A3685" s="156">
        <f>'Reported burning'!A3691</f>
        <v>0</v>
      </c>
      <c r="B3685" s="156">
        <f>'Reported burning'!B3691</f>
        <v>0</v>
      </c>
      <c r="C3685" s="156">
        <f>'Reported burning'!C3691</f>
        <v>0</v>
      </c>
      <c r="D3685" s="156">
        <f>'Reported burning'!D3691</f>
        <v>0</v>
      </c>
      <c r="E3685" s="156">
        <f>'Reported burning'!E3691</f>
        <v>0</v>
      </c>
      <c r="F3685" s="156">
        <f>'Reported burning'!F3691</f>
        <v>0</v>
      </c>
      <c r="G3685" s="156">
        <f>'Reported burning'!G3691</f>
        <v>0</v>
      </c>
      <c r="H3685" s="156">
        <f>'Reported burning'!H3691</f>
        <v>0</v>
      </c>
      <c r="I3685" s="5"/>
    </row>
    <row r="3686" spans="1:9">
      <c r="A3686" s="156">
        <f>'Reported burning'!A3692</f>
        <v>0</v>
      </c>
      <c r="B3686" s="156">
        <f>'Reported burning'!B3692</f>
        <v>0</v>
      </c>
      <c r="C3686" s="156">
        <f>'Reported burning'!C3692</f>
        <v>0</v>
      </c>
      <c r="D3686" s="156">
        <f>'Reported burning'!D3692</f>
        <v>0</v>
      </c>
      <c r="E3686" s="156">
        <f>'Reported burning'!E3692</f>
        <v>0</v>
      </c>
      <c r="F3686" s="156">
        <f>'Reported burning'!F3692</f>
        <v>0</v>
      </c>
      <c r="G3686" s="156">
        <f>'Reported burning'!G3692</f>
        <v>0</v>
      </c>
      <c r="H3686" s="156">
        <f>'Reported burning'!H3692</f>
        <v>0</v>
      </c>
      <c r="I3686" s="5"/>
    </row>
    <row r="3687" spans="1:9">
      <c r="A3687" s="156">
        <f>'Reported burning'!A3693</f>
        <v>0</v>
      </c>
      <c r="B3687" s="156">
        <f>'Reported burning'!B3693</f>
        <v>0</v>
      </c>
      <c r="C3687" s="156">
        <f>'Reported burning'!C3693</f>
        <v>0</v>
      </c>
      <c r="D3687" s="156">
        <f>'Reported burning'!D3693</f>
        <v>0</v>
      </c>
      <c r="E3687" s="156">
        <f>'Reported burning'!E3693</f>
        <v>0</v>
      </c>
      <c r="F3687" s="156">
        <f>'Reported burning'!F3693</f>
        <v>0</v>
      </c>
      <c r="G3687" s="156">
        <f>'Reported burning'!G3693</f>
        <v>0</v>
      </c>
      <c r="H3687" s="156">
        <f>'Reported burning'!H3693</f>
        <v>0</v>
      </c>
      <c r="I3687" s="5"/>
    </row>
    <row r="3688" spans="1:9">
      <c r="A3688" s="156">
        <f>'Reported burning'!A3694</f>
        <v>0</v>
      </c>
      <c r="B3688" s="156">
        <f>'Reported burning'!B3694</f>
        <v>0</v>
      </c>
      <c r="C3688" s="156">
        <f>'Reported burning'!C3694</f>
        <v>0</v>
      </c>
      <c r="D3688" s="156">
        <f>'Reported burning'!D3694</f>
        <v>0</v>
      </c>
      <c r="E3688" s="156">
        <f>'Reported burning'!E3694</f>
        <v>0</v>
      </c>
      <c r="F3688" s="156">
        <f>'Reported burning'!F3694</f>
        <v>0</v>
      </c>
      <c r="G3688" s="156">
        <f>'Reported burning'!G3694</f>
        <v>0</v>
      </c>
      <c r="H3688" s="156">
        <f>'Reported burning'!H3694</f>
        <v>0</v>
      </c>
      <c r="I3688" s="5"/>
    </row>
    <row r="3689" spans="1:9">
      <c r="A3689" s="156">
        <f>'Reported burning'!A3695</f>
        <v>0</v>
      </c>
      <c r="B3689" s="156">
        <f>'Reported burning'!B3695</f>
        <v>0</v>
      </c>
      <c r="C3689" s="156">
        <f>'Reported burning'!C3695</f>
        <v>0</v>
      </c>
      <c r="D3689" s="156">
        <f>'Reported burning'!D3695</f>
        <v>0</v>
      </c>
      <c r="E3689" s="156">
        <f>'Reported burning'!E3695</f>
        <v>0</v>
      </c>
      <c r="F3689" s="156">
        <f>'Reported burning'!F3695</f>
        <v>0</v>
      </c>
      <c r="G3689" s="156">
        <f>'Reported burning'!G3695</f>
        <v>0</v>
      </c>
      <c r="H3689" s="156">
        <f>'Reported burning'!H3695</f>
        <v>0</v>
      </c>
      <c r="I3689" s="5"/>
    </row>
    <row r="3690" spans="1:9">
      <c r="A3690" s="156">
        <f>'Reported burning'!A3696</f>
        <v>0</v>
      </c>
      <c r="B3690" s="156">
        <f>'Reported burning'!B3696</f>
        <v>0</v>
      </c>
      <c r="C3690" s="156">
        <f>'Reported burning'!C3696</f>
        <v>0</v>
      </c>
      <c r="D3690" s="156">
        <f>'Reported burning'!D3696</f>
        <v>0</v>
      </c>
      <c r="E3690" s="156">
        <f>'Reported burning'!E3696</f>
        <v>0</v>
      </c>
      <c r="F3690" s="156">
        <f>'Reported burning'!F3696</f>
        <v>0</v>
      </c>
      <c r="G3690" s="156">
        <f>'Reported burning'!G3696</f>
        <v>0</v>
      </c>
      <c r="H3690" s="156">
        <f>'Reported burning'!H3696</f>
        <v>0</v>
      </c>
      <c r="I3690" s="5"/>
    </row>
    <row r="3691" spans="1:9">
      <c r="A3691" s="156">
        <f>'Reported burning'!A3697</f>
        <v>0</v>
      </c>
      <c r="B3691" s="156">
        <f>'Reported burning'!B3697</f>
        <v>0</v>
      </c>
      <c r="C3691" s="156">
        <f>'Reported burning'!C3697</f>
        <v>0</v>
      </c>
      <c r="D3691" s="156">
        <f>'Reported burning'!D3697</f>
        <v>0</v>
      </c>
      <c r="E3691" s="156">
        <f>'Reported burning'!E3697</f>
        <v>0</v>
      </c>
      <c r="F3691" s="156">
        <f>'Reported burning'!F3697</f>
        <v>0</v>
      </c>
      <c r="G3691" s="156">
        <f>'Reported burning'!G3697</f>
        <v>0</v>
      </c>
      <c r="H3691" s="156">
        <f>'Reported burning'!H3697</f>
        <v>0</v>
      </c>
      <c r="I3691" s="5"/>
    </row>
    <row r="3692" spans="1:9">
      <c r="A3692" s="156">
        <f>'Reported burning'!A3698</f>
        <v>0</v>
      </c>
      <c r="B3692" s="156">
        <f>'Reported burning'!B3698</f>
        <v>0</v>
      </c>
      <c r="C3692" s="156">
        <f>'Reported burning'!C3698</f>
        <v>0</v>
      </c>
      <c r="D3692" s="156">
        <f>'Reported burning'!D3698</f>
        <v>0</v>
      </c>
      <c r="E3692" s="156">
        <f>'Reported burning'!E3698</f>
        <v>0</v>
      </c>
      <c r="F3692" s="156">
        <f>'Reported burning'!F3698</f>
        <v>0</v>
      </c>
      <c r="G3692" s="156">
        <f>'Reported burning'!G3698</f>
        <v>0</v>
      </c>
      <c r="H3692" s="156">
        <f>'Reported burning'!H3698</f>
        <v>0</v>
      </c>
      <c r="I3692" s="5"/>
    </row>
    <row r="3693" spans="1:9">
      <c r="A3693" s="156">
        <f>'Reported burning'!A3699</f>
        <v>0</v>
      </c>
      <c r="B3693" s="156">
        <f>'Reported burning'!B3699</f>
        <v>0</v>
      </c>
      <c r="C3693" s="156">
        <f>'Reported burning'!C3699</f>
        <v>0</v>
      </c>
      <c r="D3693" s="156">
        <f>'Reported burning'!D3699</f>
        <v>0</v>
      </c>
      <c r="E3693" s="156">
        <f>'Reported burning'!E3699</f>
        <v>0</v>
      </c>
      <c r="F3693" s="156">
        <f>'Reported burning'!F3699</f>
        <v>0</v>
      </c>
      <c r="G3693" s="156">
        <f>'Reported burning'!G3699</f>
        <v>0</v>
      </c>
      <c r="H3693" s="156">
        <f>'Reported burning'!H3699</f>
        <v>0</v>
      </c>
      <c r="I3693" s="5"/>
    </row>
    <row r="3694" spans="1:9">
      <c r="A3694" s="156">
        <f>'Reported burning'!A3700</f>
        <v>0</v>
      </c>
      <c r="B3694" s="156">
        <f>'Reported burning'!B3700</f>
        <v>0</v>
      </c>
      <c r="C3694" s="156">
        <f>'Reported burning'!C3700</f>
        <v>0</v>
      </c>
      <c r="D3694" s="156">
        <f>'Reported burning'!D3700</f>
        <v>0</v>
      </c>
      <c r="E3694" s="156">
        <f>'Reported burning'!E3700</f>
        <v>0</v>
      </c>
      <c r="F3694" s="156">
        <f>'Reported burning'!F3700</f>
        <v>0</v>
      </c>
      <c r="G3694" s="156">
        <f>'Reported burning'!G3700</f>
        <v>0</v>
      </c>
      <c r="H3694" s="156">
        <f>'Reported burning'!H3700</f>
        <v>0</v>
      </c>
      <c r="I3694" s="5"/>
    </row>
    <row r="3695" spans="1:9">
      <c r="A3695" s="156">
        <f>'Reported burning'!A3701</f>
        <v>0</v>
      </c>
      <c r="B3695" s="156">
        <f>'Reported burning'!B3701</f>
        <v>0</v>
      </c>
      <c r="C3695" s="156">
        <f>'Reported burning'!C3701</f>
        <v>0</v>
      </c>
      <c r="D3695" s="156">
        <f>'Reported burning'!D3701</f>
        <v>0</v>
      </c>
      <c r="E3695" s="156">
        <f>'Reported burning'!E3701</f>
        <v>0</v>
      </c>
      <c r="F3695" s="156">
        <f>'Reported burning'!F3701</f>
        <v>0</v>
      </c>
      <c r="G3695" s="156">
        <f>'Reported burning'!G3701</f>
        <v>0</v>
      </c>
      <c r="H3695" s="156">
        <f>'Reported burning'!H3701</f>
        <v>0</v>
      </c>
      <c r="I3695" s="5"/>
    </row>
    <row r="3696" spans="1:9">
      <c r="A3696" s="156">
        <f>'Reported burning'!A3702</f>
        <v>0</v>
      </c>
      <c r="B3696" s="156">
        <f>'Reported burning'!B3702</f>
        <v>0</v>
      </c>
      <c r="C3696" s="156">
        <f>'Reported burning'!C3702</f>
        <v>0</v>
      </c>
      <c r="D3696" s="156">
        <f>'Reported burning'!D3702</f>
        <v>0</v>
      </c>
      <c r="E3696" s="156">
        <f>'Reported burning'!E3702</f>
        <v>0</v>
      </c>
      <c r="F3696" s="156">
        <f>'Reported burning'!F3702</f>
        <v>0</v>
      </c>
      <c r="G3696" s="156">
        <f>'Reported burning'!G3702</f>
        <v>0</v>
      </c>
      <c r="H3696" s="156">
        <f>'Reported burning'!H3702</f>
        <v>0</v>
      </c>
      <c r="I3696" s="5"/>
    </row>
    <row r="3697" spans="1:9">
      <c r="A3697" s="156">
        <f>'Reported burning'!A3703</f>
        <v>0</v>
      </c>
      <c r="B3697" s="156">
        <f>'Reported burning'!B3703</f>
        <v>0</v>
      </c>
      <c r="C3697" s="156">
        <f>'Reported burning'!C3703</f>
        <v>0</v>
      </c>
      <c r="D3697" s="156">
        <f>'Reported burning'!D3703</f>
        <v>0</v>
      </c>
      <c r="E3697" s="156">
        <f>'Reported burning'!E3703</f>
        <v>0</v>
      </c>
      <c r="F3697" s="156">
        <f>'Reported burning'!F3703</f>
        <v>0</v>
      </c>
      <c r="G3697" s="156">
        <f>'Reported burning'!G3703</f>
        <v>0</v>
      </c>
      <c r="H3697" s="156">
        <f>'Reported burning'!H3703</f>
        <v>0</v>
      </c>
      <c r="I3697" s="5"/>
    </row>
    <row r="3698" spans="1:9">
      <c r="A3698" s="156">
        <f>'Reported burning'!A3704</f>
        <v>0</v>
      </c>
      <c r="B3698" s="156">
        <f>'Reported burning'!B3704</f>
        <v>0</v>
      </c>
      <c r="C3698" s="156">
        <f>'Reported burning'!C3704</f>
        <v>0</v>
      </c>
      <c r="D3698" s="156">
        <f>'Reported burning'!D3704</f>
        <v>0</v>
      </c>
      <c r="E3698" s="156">
        <f>'Reported burning'!E3704</f>
        <v>0</v>
      </c>
      <c r="F3698" s="156">
        <f>'Reported burning'!F3704</f>
        <v>0</v>
      </c>
      <c r="G3698" s="156">
        <f>'Reported burning'!G3704</f>
        <v>0</v>
      </c>
      <c r="H3698" s="156">
        <f>'Reported burning'!H3704</f>
        <v>0</v>
      </c>
      <c r="I3698" s="5"/>
    </row>
    <row r="3699" spans="1:9">
      <c r="A3699" s="156">
        <f>'Reported burning'!A3705</f>
        <v>0</v>
      </c>
      <c r="B3699" s="156">
        <f>'Reported burning'!B3705</f>
        <v>0</v>
      </c>
      <c r="C3699" s="156">
        <f>'Reported burning'!C3705</f>
        <v>0</v>
      </c>
      <c r="D3699" s="156">
        <f>'Reported burning'!D3705</f>
        <v>0</v>
      </c>
      <c r="E3699" s="156">
        <f>'Reported burning'!E3705</f>
        <v>0</v>
      </c>
      <c r="F3699" s="156">
        <f>'Reported burning'!F3705</f>
        <v>0</v>
      </c>
      <c r="G3699" s="156">
        <f>'Reported burning'!G3705</f>
        <v>0</v>
      </c>
      <c r="H3699" s="156">
        <f>'Reported burning'!H3705</f>
        <v>0</v>
      </c>
      <c r="I3699" s="5"/>
    </row>
    <row r="3700" spans="1:9">
      <c r="A3700" s="156">
        <f>'Reported burning'!A3706</f>
        <v>0</v>
      </c>
      <c r="B3700" s="156">
        <f>'Reported burning'!B3706</f>
        <v>0</v>
      </c>
      <c r="C3700" s="156">
        <f>'Reported burning'!C3706</f>
        <v>0</v>
      </c>
      <c r="D3700" s="156">
        <f>'Reported burning'!D3706</f>
        <v>0</v>
      </c>
      <c r="E3700" s="156">
        <f>'Reported burning'!E3706</f>
        <v>0</v>
      </c>
      <c r="F3700" s="156">
        <f>'Reported burning'!F3706</f>
        <v>0</v>
      </c>
      <c r="G3700" s="156">
        <f>'Reported burning'!G3706</f>
        <v>0</v>
      </c>
      <c r="H3700" s="156">
        <f>'Reported burning'!H3706</f>
        <v>0</v>
      </c>
      <c r="I3700" s="5"/>
    </row>
    <row r="3701" spans="1:9">
      <c r="A3701" s="156">
        <f>'Reported burning'!A3707</f>
        <v>0</v>
      </c>
      <c r="B3701" s="156">
        <f>'Reported burning'!B3707</f>
        <v>0</v>
      </c>
      <c r="C3701" s="156">
        <f>'Reported burning'!C3707</f>
        <v>0</v>
      </c>
      <c r="D3701" s="156">
        <f>'Reported burning'!D3707</f>
        <v>0</v>
      </c>
      <c r="E3701" s="156">
        <f>'Reported burning'!E3707</f>
        <v>0</v>
      </c>
      <c r="F3701" s="156">
        <f>'Reported burning'!F3707</f>
        <v>0</v>
      </c>
      <c r="G3701" s="156">
        <f>'Reported burning'!G3707</f>
        <v>0</v>
      </c>
      <c r="H3701" s="156">
        <f>'Reported burning'!H3707</f>
        <v>0</v>
      </c>
      <c r="I3701" s="5"/>
    </row>
    <row r="3702" spans="1:9">
      <c r="A3702" s="156">
        <f>'Reported burning'!A3708</f>
        <v>0</v>
      </c>
      <c r="B3702" s="156">
        <f>'Reported burning'!B3708</f>
        <v>0</v>
      </c>
      <c r="C3702" s="156">
        <f>'Reported burning'!C3708</f>
        <v>0</v>
      </c>
      <c r="D3702" s="156">
        <f>'Reported burning'!D3708</f>
        <v>0</v>
      </c>
      <c r="E3702" s="156">
        <f>'Reported burning'!E3708</f>
        <v>0</v>
      </c>
      <c r="F3702" s="156">
        <f>'Reported burning'!F3708</f>
        <v>0</v>
      </c>
      <c r="G3702" s="156">
        <f>'Reported burning'!G3708</f>
        <v>0</v>
      </c>
      <c r="H3702" s="156">
        <f>'Reported burning'!H3708</f>
        <v>0</v>
      </c>
      <c r="I3702" s="5"/>
    </row>
    <row r="3703" spans="1:9">
      <c r="A3703" s="156">
        <f>'Reported burning'!A3709</f>
        <v>0</v>
      </c>
      <c r="B3703" s="156">
        <f>'Reported burning'!B3709</f>
        <v>0</v>
      </c>
      <c r="C3703" s="156">
        <f>'Reported burning'!C3709</f>
        <v>0</v>
      </c>
      <c r="D3703" s="156">
        <f>'Reported burning'!D3709</f>
        <v>0</v>
      </c>
      <c r="E3703" s="156">
        <f>'Reported burning'!E3709</f>
        <v>0</v>
      </c>
      <c r="F3703" s="156">
        <f>'Reported burning'!F3709</f>
        <v>0</v>
      </c>
      <c r="G3703" s="156">
        <f>'Reported burning'!G3709</f>
        <v>0</v>
      </c>
      <c r="H3703" s="156">
        <f>'Reported burning'!H3709</f>
        <v>0</v>
      </c>
      <c r="I3703" s="5"/>
    </row>
    <row r="3704" spans="1:9">
      <c r="A3704" s="156">
        <f>'Reported burning'!A3710</f>
        <v>0</v>
      </c>
      <c r="B3704" s="156">
        <f>'Reported burning'!B3710</f>
        <v>0</v>
      </c>
      <c r="C3704" s="156">
        <f>'Reported burning'!C3710</f>
        <v>0</v>
      </c>
      <c r="D3704" s="156">
        <f>'Reported burning'!D3710</f>
        <v>0</v>
      </c>
      <c r="E3704" s="156">
        <f>'Reported burning'!E3710</f>
        <v>0</v>
      </c>
      <c r="F3704" s="156">
        <f>'Reported burning'!F3710</f>
        <v>0</v>
      </c>
      <c r="G3704" s="156">
        <f>'Reported burning'!G3710</f>
        <v>0</v>
      </c>
      <c r="H3704" s="156">
        <f>'Reported burning'!H3710</f>
        <v>0</v>
      </c>
      <c r="I3704" s="5"/>
    </row>
    <row r="3705" spans="1:9">
      <c r="A3705" s="156">
        <f>'Reported burning'!A3711</f>
        <v>0</v>
      </c>
      <c r="B3705" s="156">
        <f>'Reported burning'!B3711</f>
        <v>0</v>
      </c>
      <c r="C3705" s="156">
        <f>'Reported burning'!C3711</f>
        <v>0</v>
      </c>
      <c r="D3705" s="156">
        <f>'Reported burning'!D3711</f>
        <v>0</v>
      </c>
      <c r="E3705" s="156">
        <f>'Reported burning'!E3711</f>
        <v>0</v>
      </c>
      <c r="F3705" s="156">
        <f>'Reported burning'!F3711</f>
        <v>0</v>
      </c>
      <c r="G3705" s="156">
        <f>'Reported burning'!G3711</f>
        <v>0</v>
      </c>
      <c r="H3705" s="156">
        <f>'Reported burning'!H3711</f>
        <v>0</v>
      </c>
      <c r="I3705" s="5"/>
    </row>
    <row r="3706" spans="1:9">
      <c r="A3706" s="156">
        <f>'Reported burning'!A3712</f>
        <v>0</v>
      </c>
      <c r="B3706" s="156">
        <f>'Reported burning'!B3712</f>
        <v>0</v>
      </c>
      <c r="C3706" s="156">
        <f>'Reported burning'!C3712</f>
        <v>0</v>
      </c>
      <c r="D3706" s="156">
        <f>'Reported burning'!D3712</f>
        <v>0</v>
      </c>
      <c r="E3706" s="156">
        <f>'Reported burning'!E3712</f>
        <v>0</v>
      </c>
      <c r="F3706" s="156">
        <f>'Reported burning'!F3712</f>
        <v>0</v>
      </c>
      <c r="G3706" s="156">
        <f>'Reported burning'!G3712</f>
        <v>0</v>
      </c>
      <c r="H3706" s="156">
        <f>'Reported burning'!H3712</f>
        <v>0</v>
      </c>
      <c r="I3706" s="5"/>
    </row>
    <row r="3707" spans="1:9">
      <c r="A3707" s="156">
        <f>'Reported burning'!A3713</f>
        <v>0</v>
      </c>
      <c r="B3707" s="156">
        <f>'Reported burning'!B3713</f>
        <v>0</v>
      </c>
      <c r="C3707" s="156">
        <f>'Reported burning'!C3713</f>
        <v>0</v>
      </c>
      <c r="D3707" s="156">
        <f>'Reported burning'!D3713</f>
        <v>0</v>
      </c>
      <c r="E3707" s="156">
        <f>'Reported burning'!E3713</f>
        <v>0</v>
      </c>
      <c r="F3707" s="156">
        <f>'Reported burning'!F3713</f>
        <v>0</v>
      </c>
      <c r="G3707" s="156">
        <f>'Reported burning'!G3713</f>
        <v>0</v>
      </c>
      <c r="H3707" s="156">
        <f>'Reported burning'!H3713</f>
        <v>0</v>
      </c>
      <c r="I3707" s="5"/>
    </row>
    <row r="3708" spans="1:9">
      <c r="A3708" s="156">
        <f>'Reported burning'!A3714</f>
        <v>0</v>
      </c>
      <c r="B3708" s="156">
        <f>'Reported burning'!B3714</f>
        <v>0</v>
      </c>
      <c r="C3708" s="156">
        <f>'Reported burning'!C3714</f>
        <v>0</v>
      </c>
      <c r="D3708" s="156">
        <f>'Reported burning'!D3714</f>
        <v>0</v>
      </c>
      <c r="E3708" s="156">
        <f>'Reported burning'!E3714</f>
        <v>0</v>
      </c>
      <c r="F3708" s="156">
        <f>'Reported burning'!F3714</f>
        <v>0</v>
      </c>
      <c r="G3708" s="156">
        <f>'Reported burning'!G3714</f>
        <v>0</v>
      </c>
      <c r="H3708" s="156">
        <f>'Reported burning'!H3714</f>
        <v>0</v>
      </c>
      <c r="I3708" s="5"/>
    </row>
    <row r="3709" spans="1:9">
      <c r="A3709" s="156">
        <f>'Reported burning'!A3715</f>
        <v>0</v>
      </c>
      <c r="B3709" s="156">
        <f>'Reported burning'!B3715</f>
        <v>0</v>
      </c>
      <c r="C3709" s="156">
        <f>'Reported burning'!C3715</f>
        <v>0</v>
      </c>
      <c r="D3709" s="156">
        <f>'Reported burning'!D3715</f>
        <v>0</v>
      </c>
      <c r="E3709" s="156">
        <f>'Reported burning'!E3715</f>
        <v>0</v>
      </c>
      <c r="F3709" s="156">
        <f>'Reported burning'!F3715</f>
        <v>0</v>
      </c>
      <c r="G3709" s="156">
        <f>'Reported burning'!G3715</f>
        <v>0</v>
      </c>
      <c r="H3709" s="156">
        <f>'Reported burning'!H3715</f>
        <v>0</v>
      </c>
      <c r="I3709" s="5"/>
    </row>
    <row r="3710" spans="1:9">
      <c r="A3710" s="156">
        <f>'Reported burning'!A3716</f>
        <v>0</v>
      </c>
      <c r="B3710" s="156">
        <f>'Reported burning'!B3716</f>
        <v>0</v>
      </c>
      <c r="C3710" s="156">
        <f>'Reported burning'!C3716</f>
        <v>0</v>
      </c>
      <c r="D3710" s="156">
        <f>'Reported burning'!D3716</f>
        <v>0</v>
      </c>
      <c r="E3710" s="156">
        <f>'Reported burning'!E3716</f>
        <v>0</v>
      </c>
      <c r="F3710" s="156">
        <f>'Reported burning'!F3716</f>
        <v>0</v>
      </c>
      <c r="G3710" s="156">
        <f>'Reported burning'!G3716</f>
        <v>0</v>
      </c>
      <c r="H3710" s="156">
        <f>'Reported burning'!H3716</f>
        <v>0</v>
      </c>
      <c r="I3710" s="5"/>
    </row>
    <row r="3711" spans="1:9">
      <c r="A3711" s="156">
        <f>'Reported burning'!A3717</f>
        <v>0</v>
      </c>
      <c r="B3711" s="156">
        <f>'Reported burning'!B3717</f>
        <v>0</v>
      </c>
      <c r="C3711" s="156">
        <f>'Reported burning'!C3717</f>
        <v>0</v>
      </c>
      <c r="D3711" s="156">
        <f>'Reported burning'!D3717</f>
        <v>0</v>
      </c>
      <c r="E3711" s="156">
        <f>'Reported burning'!E3717</f>
        <v>0</v>
      </c>
      <c r="F3711" s="156">
        <f>'Reported burning'!F3717</f>
        <v>0</v>
      </c>
      <c r="G3711" s="156">
        <f>'Reported burning'!G3717</f>
        <v>0</v>
      </c>
      <c r="H3711" s="156">
        <f>'Reported burning'!H3717</f>
        <v>0</v>
      </c>
      <c r="I3711" s="5"/>
    </row>
    <row r="3712" spans="1:9">
      <c r="A3712" s="156">
        <f>'Reported burning'!A3718</f>
        <v>0</v>
      </c>
      <c r="B3712" s="156">
        <f>'Reported burning'!B3718</f>
        <v>0</v>
      </c>
      <c r="C3712" s="156">
        <f>'Reported burning'!C3718</f>
        <v>0</v>
      </c>
      <c r="D3712" s="156">
        <f>'Reported burning'!D3718</f>
        <v>0</v>
      </c>
      <c r="E3712" s="156">
        <f>'Reported burning'!E3718</f>
        <v>0</v>
      </c>
      <c r="F3712" s="156">
        <f>'Reported burning'!F3718</f>
        <v>0</v>
      </c>
      <c r="G3712" s="156">
        <f>'Reported burning'!G3718</f>
        <v>0</v>
      </c>
      <c r="H3712" s="156">
        <f>'Reported burning'!H3718</f>
        <v>0</v>
      </c>
      <c r="I3712" s="5"/>
    </row>
    <row r="3713" spans="1:9">
      <c r="A3713" s="156">
        <f>'Reported burning'!A3719</f>
        <v>0</v>
      </c>
      <c r="B3713" s="156">
        <f>'Reported burning'!B3719</f>
        <v>0</v>
      </c>
      <c r="C3713" s="156">
        <f>'Reported burning'!C3719</f>
        <v>0</v>
      </c>
      <c r="D3713" s="156">
        <f>'Reported burning'!D3719</f>
        <v>0</v>
      </c>
      <c r="E3713" s="156">
        <f>'Reported burning'!E3719</f>
        <v>0</v>
      </c>
      <c r="F3713" s="156">
        <f>'Reported burning'!F3719</f>
        <v>0</v>
      </c>
      <c r="G3713" s="156">
        <f>'Reported burning'!G3719</f>
        <v>0</v>
      </c>
      <c r="H3713" s="156">
        <f>'Reported burning'!H3719</f>
        <v>0</v>
      </c>
      <c r="I3713" s="5"/>
    </row>
    <row r="3714" spans="1:9">
      <c r="A3714" s="156">
        <f>'Reported burning'!A3720</f>
        <v>0</v>
      </c>
      <c r="B3714" s="156">
        <f>'Reported burning'!B3720</f>
        <v>0</v>
      </c>
      <c r="C3714" s="156">
        <f>'Reported burning'!C3720</f>
        <v>0</v>
      </c>
      <c r="D3714" s="156">
        <f>'Reported burning'!D3720</f>
        <v>0</v>
      </c>
      <c r="E3714" s="156">
        <f>'Reported burning'!E3720</f>
        <v>0</v>
      </c>
      <c r="F3714" s="156">
        <f>'Reported burning'!F3720</f>
        <v>0</v>
      </c>
      <c r="G3714" s="156">
        <f>'Reported burning'!G3720</f>
        <v>0</v>
      </c>
      <c r="H3714" s="156">
        <f>'Reported burning'!H3720</f>
        <v>0</v>
      </c>
      <c r="I3714" s="5"/>
    </row>
    <row r="3715" spans="1:9">
      <c r="A3715" s="156">
        <f>'Reported burning'!A3721</f>
        <v>0</v>
      </c>
      <c r="B3715" s="156">
        <f>'Reported burning'!B3721</f>
        <v>0</v>
      </c>
      <c r="C3715" s="156">
        <f>'Reported burning'!C3721</f>
        <v>0</v>
      </c>
      <c r="D3715" s="156">
        <f>'Reported burning'!D3721</f>
        <v>0</v>
      </c>
      <c r="E3715" s="156">
        <f>'Reported burning'!E3721</f>
        <v>0</v>
      </c>
      <c r="F3715" s="156">
        <f>'Reported burning'!F3721</f>
        <v>0</v>
      </c>
      <c r="G3715" s="156">
        <f>'Reported burning'!G3721</f>
        <v>0</v>
      </c>
      <c r="H3715" s="156">
        <f>'Reported burning'!H3721</f>
        <v>0</v>
      </c>
      <c r="I3715" s="5"/>
    </row>
    <row r="3716" spans="1:9">
      <c r="A3716" s="156">
        <f>'Reported burning'!A3722</f>
        <v>0</v>
      </c>
      <c r="B3716" s="156">
        <f>'Reported burning'!B3722</f>
        <v>0</v>
      </c>
      <c r="C3716" s="156">
        <f>'Reported burning'!C3722</f>
        <v>0</v>
      </c>
      <c r="D3716" s="156">
        <f>'Reported burning'!D3722</f>
        <v>0</v>
      </c>
      <c r="E3716" s="156">
        <f>'Reported burning'!E3722</f>
        <v>0</v>
      </c>
      <c r="F3716" s="156">
        <f>'Reported burning'!F3722</f>
        <v>0</v>
      </c>
      <c r="G3716" s="156">
        <f>'Reported burning'!G3722</f>
        <v>0</v>
      </c>
      <c r="H3716" s="156">
        <f>'Reported burning'!H3722</f>
        <v>0</v>
      </c>
      <c r="I3716" s="5"/>
    </row>
    <row r="3717" spans="1:9">
      <c r="A3717" s="156">
        <f>'Reported burning'!A3723</f>
        <v>0</v>
      </c>
      <c r="B3717" s="156">
        <f>'Reported burning'!B3723</f>
        <v>0</v>
      </c>
      <c r="C3717" s="156">
        <f>'Reported burning'!C3723</f>
        <v>0</v>
      </c>
      <c r="D3717" s="156">
        <f>'Reported burning'!D3723</f>
        <v>0</v>
      </c>
      <c r="E3717" s="156">
        <f>'Reported burning'!E3723</f>
        <v>0</v>
      </c>
      <c r="F3717" s="156">
        <f>'Reported burning'!F3723</f>
        <v>0</v>
      </c>
      <c r="G3717" s="156">
        <f>'Reported burning'!G3723</f>
        <v>0</v>
      </c>
      <c r="H3717" s="156">
        <f>'Reported burning'!H3723</f>
        <v>0</v>
      </c>
      <c r="I3717" s="5"/>
    </row>
    <row r="3718" spans="1:9">
      <c r="A3718" s="156">
        <f>'Reported burning'!A3724</f>
        <v>0</v>
      </c>
      <c r="B3718" s="156">
        <f>'Reported burning'!B3724</f>
        <v>0</v>
      </c>
      <c r="C3718" s="156">
        <f>'Reported burning'!C3724</f>
        <v>0</v>
      </c>
      <c r="D3718" s="156">
        <f>'Reported burning'!D3724</f>
        <v>0</v>
      </c>
      <c r="E3718" s="156">
        <f>'Reported burning'!E3724</f>
        <v>0</v>
      </c>
      <c r="F3718" s="156">
        <f>'Reported burning'!F3724</f>
        <v>0</v>
      </c>
      <c r="G3718" s="156">
        <f>'Reported burning'!G3724</f>
        <v>0</v>
      </c>
      <c r="H3718" s="156">
        <f>'Reported burning'!H3724</f>
        <v>0</v>
      </c>
      <c r="I3718" s="5"/>
    </row>
    <row r="3719" spans="1:9">
      <c r="A3719" s="156">
        <f>'Reported burning'!A3725</f>
        <v>0</v>
      </c>
      <c r="B3719" s="156">
        <f>'Reported burning'!B3725</f>
        <v>0</v>
      </c>
      <c r="C3719" s="156">
        <f>'Reported burning'!C3725</f>
        <v>0</v>
      </c>
      <c r="D3719" s="156">
        <f>'Reported burning'!D3725</f>
        <v>0</v>
      </c>
      <c r="E3719" s="156">
        <f>'Reported burning'!E3725</f>
        <v>0</v>
      </c>
      <c r="F3719" s="156">
        <f>'Reported burning'!F3725</f>
        <v>0</v>
      </c>
      <c r="G3719" s="156">
        <f>'Reported burning'!G3725</f>
        <v>0</v>
      </c>
      <c r="H3719" s="156">
        <f>'Reported burning'!H3725</f>
        <v>0</v>
      </c>
      <c r="I3719" s="5"/>
    </row>
    <row r="3720" spans="1:9">
      <c r="A3720" s="156">
        <f>'Reported burning'!A3726</f>
        <v>0</v>
      </c>
      <c r="B3720" s="156">
        <f>'Reported burning'!B3726</f>
        <v>0</v>
      </c>
      <c r="C3720" s="156">
        <f>'Reported burning'!C3726</f>
        <v>0</v>
      </c>
      <c r="D3720" s="156">
        <f>'Reported burning'!D3726</f>
        <v>0</v>
      </c>
      <c r="E3720" s="156">
        <f>'Reported burning'!E3726</f>
        <v>0</v>
      </c>
      <c r="F3720" s="156">
        <f>'Reported burning'!F3726</f>
        <v>0</v>
      </c>
      <c r="G3720" s="156">
        <f>'Reported burning'!G3726</f>
        <v>0</v>
      </c>
      <c r="H3720" s="156">
        <f>'Reported burning'!H3726</f>
        <v>0</v>
      </c>
      <c r="I3720" s="5"/>
    </row>
    <row r="3721" spans="1:9">
      <c r="A3721" s="156">
        <f>'Reported burning'!A3727</f>
        <v>0</v>
      </c>
      <c r="B3721" s="156">
        <f>'Reported burning'!B3727</f>
        <v>0</v>
      </c>
      <c r="C3721" s="156">
        <f>'Reported burning'!C3727</f>
        <v>0</v>
      </c>
      <c r="D3721" s="156">
        <f>'Reported burning'!D3727</f>
        <v>0</v>
      </c>
      <c r="E3721" s="156">
        <f>'Reported burning'!E3727</f>
        <v>0</v>
      </c>
      <c r="F3721" s="156">
        <f>'Reported burning'!F3727</f>
        <v>0</v>
      </c>
      <c r="G3721" s="156">
        <f>'Reported burning'!G3727</f>
        <v>0</v>
      </c>
      <c r="H3721" s="156">
        <f>'Reported burning'!H3727</f>
        <v>0</v>
      </c>
      <c r="I3721" s="5"/>
    </row>
    <row r="3722" spans="1:9">
      <c r="A3722" s="156">
        <f>'Reported burning'!A3728</f>
        <v>0</v>
      </c>
      <c r="B3722" s="156">
        <f>'Reported burning'!B3728</f>
        <v>0</v>
      </c>
      <c r="C3722" s="156">
        <f>'Reported burning'!C3728</f>
        <v>0</v>
      </c>
      <c r="D3722" s="156">
        <f>'Reported burning'!D3728</f>
        <v>0</v>
      </c>
      <c r="E3722" s="156">
        <f>'Reported burning'!E3728</f>
        <v>0</v>
      </c>
      <c r="F3722" s="156">
        <f>'Reported burning'!F3728</f>
        <v>0</v>
      </c>
      <c r="G3722" s="156">
        <f>'Reported burning'!G3728</f>
        <v>0</v>
      </c>
      <c r="H3722" s="156">
        <f>'Reported burning'!H3728</f>
        <v>0</v>
      </c>
      <c r="I3722" s="5"/>
    </row>
    <row r="3723" spans="1:9">
      <c r="A3723" s="156">
        <f>'Reported burning'!A3729</f>
        <v>0</v>
      </c>
      <c r="B3723" s="156">
        <f>'Reported burning'!B3729</f>
        <v>0</v>
      </c>
      <c r="C3723" s="156">
        <f>'Reported burning'!C3729</f>
        <v>0</v>
      </c>
      <c r="D3723" s="156">
        <f>'Reported burning'!D3729</f>
        <v>0</v>
      </c>
      <c r="E3723" s="156">
        <f>'Reported burning'!E3729</f>
        <v>0</v>
      </c>
      <c r="F3723" s="156">
        <f>'Reported burning'!F3729</f>
        <v>0</v>
      </c>
      <c r="G3723" s="156">
        <f>'Reported burning'!G3729</f>
        <v>0</v>
      </c>
      <c r="H3723" s="156">
        <f>'Reported burning'!H3729</f>
        <v>0</v>
      </c>
      <c r="I3723" s="5"/>
    </row>
    <row r="3724" spans="1:9">
      <c r="A3724" s="156">
        <f>'Reported burning'!A3730</f>
        <v>0</v>
      </c>
      <c r="B3724" s="156">
        <f>'Reported burning'!B3730</f>
        <v>0</v>
      </c>
      <c r="C3724" s="156">
        <f>'Reported burning'!C3730</f>
        <v>0</v>
      </c>
      <c r="D3724" s="156">
        <f>'Reported burning'!D3730</f>
        <v>0</v>
      </c>
      <c r="E3724" s="156">
        <f>'Reported burning'!E3730</f>
        <v>0</v>
      </c>
      <c r="F3724" s="156">
        <f>'Reported burning'!F3730</f>
        <v>0</v>
      </c>
      <c r="G3724" s="156">
        <f>'Reported burning'!G3730</f>
        <v>0</v>
      </c>
      <c r="H3724" s="156">
        <f>'Reported burning'!H3730</f>
        <v>0</v>
      </c>
      <c r="I3724" s="5"/>
    </row>
    <row r="3725" spans="1:9">
      <c r="A3725" s="156">
        <f>'Reported burning'!A3731</f>
        <v>0</v>
      </c>
      <c r="B3725" s="156">
        <f>'Reported burning'!B3731</f>
        <v>0</v>
      </c>
      <c r="C3725" s="156">
        <f>'Reported burning'!C3731</f>
        <v>0</v>
      </c>
      <c r="D3725" s="156">
        <f>'Reported burning'!D3731</f>
        <v>0</v>
      </c>
      <c r="E3725" s="156">
        <f>'Reported burning'!E3731</f>
        <v>0</v>
      </c>
      <c r="F3725" s="156">
        <f>'Reported burning'!F3731</f>
        <v>0</v>
      </c>
      <c r="G3725" s="156">
        <f>'Reported burning'!G3731</f>
        <v>0</v>
      </c>
      <c r="H3725" s="156">
        <f>'Reported burning'!H3731</f>
        <v>0</v>
      </c>
      <c r="I3725" s="5"/>
    </row>
    <row r="3726" spans="1:9">
      <c r="A3726" s="156">
        <f>'Reported burning'!A3732</f>
        <v>0</v>
      </c>
      <c r="B3726" s="156">
        <f>'Reported burning'!B3732</f>
        <v>0</v>
      </c>
      <c r="C3726" s="156">
        <f>'Reported burning'!C3732</f>
        <v>0</v>
      </c>
      <c r="D3726" s="156">
        <f>'Reported burning'!D3732</f>
        <v>0</v>
      </c>
      <c r="E3726" s="156">
        <f>'Reported burning'!E3732</f>
        <v>0</v>
      </c>
      <c r="F3726" s="156">
        <f>'Reported burning'!F3732</f>
        <v>0</v>
      </c>
      <c r="G3726" s="156">
        <f>'Reported burning'!G3732</f>
        <v>0</v>
      </c>
      <c r="H3726" s="156">
        <f>'Reported burning'!H3732</f>
        <v>0</v>
      </c>
      <c r="I3726" s="5"/>
    </row>
    <row r="3727" spans="1:9">
      <c r="A3727" s="156">
        <f>'Reported burning'!A3733</f>
        <v>0</v>
      </c>
      <c r="B3727" s="156">
        <f>'Reported burning'!B3733</f>
        <v>0</v>
      </c>
      <c r="C3727" s="156">
        <f>'Reported burning'!C3733</f>
        <v>0</v>
      </c>
      <c r="D3727" s="156">
        <f>'Reported burning'!D3733</f>
        <v>0</v>
      </c>
      <c r="E3727" s="156">
        <f>'Reported burning'!E3733</f>
        <v>0</v>
      </c>
      <c r="F3727" s="156">
        <f>'Reported burning'!F3733</f>
        <v>0</v>
      </c>
      <c r="G3727" s="156">
        <f>'Reported burning'!G3733</f>
        <v>0</v>
      </c>
      <c r="H3727" s="156">
        <f>'Reported burning'!H3733</f>
        <v>0</v>
      </c>
      <c r="I3727" s="5"/>
    </row>
    <row r="3728" spans="1:9">
      <c r="A3728" s="156">
        <f>'Reported burning'!A3734</f>
        <v>0</v>
      </c>
      <c r="B3728" s="156">
        <f>'Reported burning'!B3734</f>
        <v>0</v>
      </c>
      <c r="C3728" s="156">
        <f>'Reported burning'!C3734</f>
        <v>0</v>
      </c>
      <c r="D3728" s="156">
        <f>'Reported burning'!D3734</f>
        <v>0</v>
      </c>
      <c r="E3728" s="156">
        <f>'Reported burning'!E3734</f>
        <v>0</v>
      </c>
      <c r="F3728" s="156">
        <f>'Reported burning'!F3734</f>
        <v>0</v>
      </c>
      <c r="G3728" s="156">
        <f>'Reported burning'!G3734</f>
        <v>0</v>
      </c>
      <c r="H3728" s="156">
        <f>'Reported burning'!H3734</f>
        <v>0</v>
      </c>
      <c r="I3728" s="5"/>
    </row>
    <row r="3729" spans="1:9">
      <c r="A3729" s="156">
        <f>'Reported burning'!A3735</f>
        <v>0</v>
      </c>
      <c r="B3729" s="156">
        <f>'Reported burning'!B3735</f>
        <v>0</v>
      </c>
      <c r="C3729" s="156">
        <f>'Reported burning'!C3735</f>
        <v>0</v>
      </c>
      <c r="D3729" s="156">
        <f>'Reported burning'!D3735</f>
        <v>0</v>
      </c>
      <c r="E3729" s="156">
        <f>'Reported burning'!E3735</f>
        <v>0</v>
      </c>
      <c r="F3729" s="156">
        <f>'Reported burning'!F3735</f>
        <v>0</v>
      </c>
      <c r="G3729" s="156">
        <f>'Reported burning'!G3735</f>
        <v>0</v>
      </c>
      <c r="H3729" s="156">
        <f>'Reported burning'!H3735</f>
        <v>0</v>
      </c>
      <c r="I3729" s="5"/>
    </row>
    <row r="3730" spans="1:9">
      <c r="A3730" s="156">
        <f>'Reported burning'!A3736</f>
        <v>0</v>
      </c>
      <c r="B3730" s="156">
        <f>'Reported burning'!B3736</f>
        <v>0</v>
      </c>
      <c r="C3730" s="156">
        <f>'Reported burning'!C3736</f>
        <v>0</v>
      </c>
      <c r="D3730" s="156">
        <f>'Reported burning'!D3736</f>
        <v>0</v>
      </c>
      <c r="E3730" s="156">
        <f>'Reported burning'!E3736</f>
        <v>0</v>
      </c>
      <c r="F3730" s="156">
        <f>'Reported burning'!F3736</f>
        <v>0</v>
      </c>
      <c r="G3730" s="156">
        <f>'Reported burning'!G3736</f>
        <v>0</v>
      </c>
      <c r="H3730" s="156">
        <f>'Reported burning'!H3736</f>
        <v>0</v>
      </c>
      <c r="I3730" s="5"/>
    </row>
    <row r="3731" spans="1:9">
      <c r="A3731" s="156">
        <f>'Reported burning'!A3737</f>
        <v>0</v>
      </c>
      <c r="B3731" s="156">
        <f>'Reported burning'!B3737</f>
        <v>0</v>
      </c>
      <c r="C3731" s="156">
        <f>'Reported burning'!C3737</f>
        <v>0</v>
      </c>
      <c r="D3731" s="156">
        <f>'Reported burning'!D3737</f>
        <v>0</v>
      </c>
      <c r="E3731" s="156">
        <f>'Reported burning'!E3737</f>
        <v>0</v>
      </c>
      <c r="F3731" s="156">
        <f>'Reported burning'!F3737</f>
        <v>0</v>
      </c>
      <c r="G3731" s="156">
        <f>'Reported burning'!G3737</f>
        <v>0</v>
      </c>
      <c r="H3731" s="156">
        <f>'Reported burning'!H3737</f>
        <v>0</v>
      </c>
      <c r="I3731" s="5"/>
    </row>
    <row r="3732" spans="1:9">
      <c r="A3732" s="156">
        <f>'Reported burning'!A3738</f>
        <v>0</v>
      </c>
      <c r="B3732" s="156">
        <f>'Reported burning'!B3738</f>
        <v>0</v>
      </c>
      <c r="C3732" s="156">
        <f>'Reported burning'!C3738</f>
        <v>0</v>
      </c>
      <c r="D3732" s="156">
        <f>'Reported burning'!D3738</f>
        <v>0</v>
      </c>
      <c r="E3732" s="156">
        <f>'Reported burning'!E3738</f>
        <v>0</v>
      </c>
      <c r="F3732" s="156">
        <f>'Reported burning'!F3738</f>
        <v>0</v>
      </c>
      <c r="G3732" s="156">
        <f>'Reported burning'!G3738</f>
        <v>0</v>
      </c>
      <c r="H3732" s="156">
        <f>'Reported burning'!H3738</f>
        <v>0</v>
      </c>
      <c r="I3732" s="5"/>
    </row>
    <row r="3733" spans="1:9">
      <c r="A3733" s="156">
        <f>'Reported burning'!A3739</f>
        <v>0</v>
      </c>
      <c r="B3733" s="156">
        <f>'Reported burning'!B3739</f>
        <v>0</v>
      </c>
      <c r="C3733" s="156">
        <f>'Reported burning'!C3739</f>
        <v>0</v>
      </c>
      <c r="D3733" s="156">
        <f>'Reported burning'!D3739</f>
        <v>0</v>
      </c>
      <c r="E3733" s="156">
        <f>'Reported burning'!E3739</f>
        <v>0</v>
      </c>
      <c r="F3733" s="156">
        <f>'Reported burning'!F3739</f>
        <v>0</v>
      </c>
      <c r="G3733" s="156">
        <f>'Reported burning'!G3739</f>
        <v>0</v>
      </c>
      <c r="H3733" s="156">
        <f>'Reported burning'!H3739</f>
        <v>0</v>
      </c>
      <c r="I3733" s="5"/>
    </row>
    <row r="3734" spans="1:9">
      <c r="A3734" s="156">
        <f>'Reported burning'!A3740</f>
        <v>0</v>
      </c>
      <c r="B3734" s="156">
        <f>'Reported burning'!B3740</f>
        <v>0</v>
      </c>
      <c r="C3734" s="156">
        <f>'Reported burning'!C3740</f>
        <v>0</v>
      </c>
      <c r="D3734" s="156">
        <f>'Reported burning'!D3740</f>
        <v>0</v>
      </c>
      <c r="E3734" s="156">
        <f>'Reported burning'!E3740</f>
        <v>0</v>
      </c>
      <c r="F3734" s="156">
        <f>'Reported burning'!F3740</f>
        <v>0</v>
      </c>
      <c r="G3734" s="156">
        <f>'Reported burning'!G3740</f>
        <v>0</v>
      </c>
      <c r="H3734" s="156">
        <f>'Reported burning'!H3740</f>
        <v>0</v>
      </c>
      <c r="I3734" s="5"/>
    </row>
    <row r="3735" spans="1:9">
      <c r="A3735" s="156">
        <f>'Reported burning'!A3741</f>
        <v>0</v>
      </c>
      <c r="B3735" s="156">
        <f>'Reported burning'!B3741</f>
        <v>0</v>
      </c>
      <c r="C3735" s="156">
        <f>'Reported burning'!C3741</f>
        <v>0</v>
      </c>
      <c r="D3735" s="156">
        <f>'Reported burning'!D3741</f>
        <v>0</v>
      </c>
      <c r="E3735" s="156">
        <f>'Reported burning'!E3741</f>
        <v>0</v>
      </c>
      <c r="F3735" s="156">
        <f>'Reported burning'!F3741</f>
        <v>0</v>
      </c>
      <c r="G3735" s="156">
        <f>'Reported burning'!G3741</f>
        <v>0</v>
      </c>
      <c r="H3735" s="156">
        <f>'Reported burning'!H3741</f>
        <v>0</v>
      </c>
      <c r="I3735" s="5"/>
    </row>
    <row r="3736" spans="1:9">
      <c r="A3736" s="156">
        <f>'Reported burning'!A3742</f>
        <v>0</v>
      </c>
      <c r="B3736" s="156">
        <f>'Reported burning'!B3742</f>
        <v>0</v>
      </c>
      <c r="C3736" s="156">
        <f>'Reported burning'!C3742</f>
        <v>0</v>
      </c>
      <c r="D3736" s="156">
        <f>'Reported burning'!D3742</f>
        <v>0</v>
      </c>
      <c r="E3736" s="156">
        <f>'Reported burning'!E3742</f>
        <v>0</v>
      </c>
      <c r="F3736" s="156">
        <f>'Reported burning'!F3742</f>
        <v>0</v>
      </c>
      <c r="G3736" s="156">
        <f>'Reported burning'!G3742</f>
        <v>0</v>
      </c>
      <c r="H3736" s="156">
        <f>'Reported burning'!H3742</f>
        <v>0</v>
      </c>
      <c r="I3736" s="5"/>
    </row>
    <row r="3737" spans="1:9">
      <c r="A3737" s="156">
        <f>'Reported burning'!A3743</f>
        <v>0</v>
      </c>
      <c r="B3737" s="156">
        <f>'Reported burning'!B3743</f>
        <v>0</v>
      </c>
      <c r="C3737" s="156">
        <f>'Reported burning'!C3743</f>
        <v>0</v>
      </c>
      <c r="D3737" s="156">
        <f>'Reported burning'!D3743</f>
        <v>0</v>
      </c>
      <c r="E3737" s="156">
        <f>'Reported burning'!E3743</f>
        <v>0</v>
      </c>
      <c r="F3737" s="156">
        <f>'Reported burning'!F3743</f>
        <v>0</v>
      </c>
      <c r="G3737" s="156">
        <f>'Reported burning'!G3743</f>
        <v>0</v>
      </c>
      <c r="H3737" s="156">
        <f>'Reported burning'!H3743</f>
        <v>0</v>
      </c>
      <c r="I3737" s="5"/>
    </row>
    <row r="3738" spans="1:9">
      <c r="A3738" s="156">
        <f>'Reported burning'!A3744</f>
        <v>0</v>
      </c>
      <c r="B3738" s="156">
        <f>'Reported burning'!B3744</f>
        <v>0</v>
      </c>
      <c r="C3738" s="156">
        <f>'Reported burning'!C3744</f>
        <v>0</v>
      </c>
      <c r="D3738" s="156">
        <f>'Reported burning'!D3744</f>
        <v>0</v>
      </c>
      <c r="E3738" s="156">
        <f>'Reported burning'!E3744</f>
        <v>0</v>
      </c>
      <c r="F3738" s="156">
        <f>'Reported burning'!F3744</f>
        <v>0</v>
      </c>
      <c r="G3738" s="156">
        <f>'Reported burning'!G3744</f>
        <v>0</v>
      </c>
      <c r="H3738" s="156">
        <f>'Reported burning'!H3744</f>
        <v>0</v>
      </c>
      <c r="I3738" s="5"/>
    </row>
    <row r="3739" spans="1:9">
      <c r="A3739" s="156">
        <f>'Reported burning'!A3745</f>
        <v>0</v>
      </c>
      <c r="B3739" s="156">
        <f>'Reported burning'!B3745</f>
        <v>0</v>
      </c>
      <c r="C3739" s="156">
        <f>'Reported burning'!C3745</f>
        <v>0</v>
      </c>
      <c r="D3739" s="156">
        <f>'Reported burning'!D3745</f>
        <v>0</v>
      </c>
      <c r="E3739" s="156">
        <f>'Reported burning'!E3745</f>
        <v>0</v>
      </c>
      <c r="F3739" s="156">
        <f>'Reported burning'!F3745</f>
        <v>0</v>
      </c>
      <c r="G3739" s="156">
        <f>'Reported burning'!G3745</f>
        <v>0</v>
      </c>
      <c r="H3739" s="156">
        <f>'Reported burning'!H3745</f>
        <v>0</v>
      </c>
      <c r="I3739" s="5"/>
    </row>
    <row r="3740" spans="1:9">
      <c r="A3740" s="156">
        <f>'Reported burning'!A3746</f>
        <v>0</v>
      </c>
      <c r="B3740" s="156">
        <f>'Reported burning'!B3746</f>
        <v>0</v>
      </c>
      <c r="C3740" s="156">
        <f>'Reported burning'!C3746</f>
        <v>0</v>
      </c>
      <c r="D3740" s="156">
        <f>'Reported burning'!D3746</f>
        <v>0</v>
      </c>
      <c r="E3740" s="156">
        <f>'Reported burning'!E3746</f>
        <v>0</v>
      </c>
      <c r="F3740" s="156">
        <f>'Reported burning'!F3746</f>
        <v>0</v>
      </c>
      <c r="G3740" s="156">
        <f>'Reported burning'!G3746</f>
        <v>0</v>
      </c>
      <c r="H3740" s="156">
        <f>'Reported burning'!H3746</f>
        <v>0</v>
      </c>
      <c r="I3740" s="5"/>
    </row>
    <row r="3741" spans="1:9">
      <c r="A3741" s="156">
        <f>'Reported burning'!A3747</f>
        <v>0</v>
      </c>
      <c r="B3741" s="156">
        <f>'Reported burning'!B3747</f>
        <v>0</v>
      </c>
      <c r="C3741" s="156">
        <f>'Reported burning'!C3747</f>
        <v>0</v>
      </c>
      <c r="D3741" s="156">
        <f>'Reported burning'!D3747</f>
        <v>0</v>
      </c>
      <c r="E3741" s="156">
        <f>'Reported burning'!E3747</f>
        <v>0</v>
      </c>
      <c r="F3741" s="156">
        <f>'Reported burning'!F3747</f>
        <v>0</v>
      </c>
      <c r="G3741" s="156">
        <f>'Reported burning'!G3747</f>
        <v>0</v>
      </c>
      <c r="H3741" s="156">
        <f>'Reported burning'!H3747</f>
        <v>0</v>
      </c>
      <c r="I3741" s="5"/>
    </row>
    <row r="3742" spans="1:9">
      <c r="A3742" s="156">
        <f>'Reported burning'!A3748</f>
        <v>0</v>
      </c>
      <c r="B3742" s="156">
        <f>'Reported burning'!B3748</f>
        <v>0</v>
      </c>
      <c r="C3742" s="156">
        <f>'Reported burning'!C3748</f>
        <v>0</v>
      </c>
      <c r="D3742" s="156">
        <f>'Reported burning'!D3748</f>
        <v>0</v>
      </c>
      <c r="E3742" s="156">
        <f>'Reported burning'!E3748</f>
        <v>0</v>
      </c>
      <c r="F3742" s="156">
        <f>'Reported burning'!F3748</f>
        <v>0</v>
      </c>
      <c r="G3742" s="156">
        <f>'Reported burning'!G3748</f>
        <v>0</v>
      </c>
      <c r="H3742" s="156">
        <f>'Reported burning'!H3748</f>
        <v>0</v>
      </c>
      <c r="I3742" s="5"/>
    </row>
    <row r="3743" spans="1:9">
      <c r="A3743" s="156">
        <f>'Reported burning'!A3749</f>
        <v>0</v>
      </c>
      <c r="B3743" s="156">
        <f>'Reported burning'!B3749</f>
        <v>0</v>
      </c>
      <c r="C3743" s="156">
        <f>'Reported burning'!C3749</f>
        <v>0</v>
      </c>
      <c r="D3743" s="156">
        <f>'Reported burning'!D3749</f>
        <v>0</v>
      </c>
      <c r="E3743" s="156">
        <f>'Reported burning'!E3749</f>
        <v>0</v>
      </c>
      <c r="F3743" s="156">
        <f>'Reported burning'!F3749</f>
        <v>0</v>
      </c>
      <c r="G3743" s="156">
        <f>'Reported burning'!G3749</f>
        <v>0</v>
      </c>
      <c r="H3743" s="156">
        <f>'Reported burning'!H3749</f>
        <v>0</v>
      </c>
      <c r="I3743" s="5"/>
    </row>
    <row r="3744" spans="1:9">
      <c r="A3744" s="156">
        <f>'Reported burning'!A3750</f>
        <v>0</v>
      </c>
      <c r="B3744" s="156">
        <f>'Reported burning'!B3750</f>
        <v>0</v>
      </c>
      <c r="C3744" s="156">
        <f>'Reported burning'!C3750</f>
        <v>0</v>
      </c>
      <c r="D3744" s="156">
        <f>'Reported burning'!D3750</f>
        <v>0</v>
      </c>
      <c r="E3744" s="156">
        <f>'Reported burning'!E3750</f>
        <v>0</v>
      </c>
      <c r="F3744" s="156">
        <f>'Reported burning'!F3750</f>
        <v>0</v>
      </c>
      <c r="G3744" s="156">
        <f>'Reported burning'!G3750</f>
        <v>0</v>
      </c>
      <c r="H3744" s="156">
        <f>'Reported burning'!H3750</f>
        <v>0</v>
      </c>
      <c r="I3744" s="5"/>
    </row>
    <row r="3745" spans="1:9">
      <c r="A3745" s="156">
        <f>'Reported burning'!A3751</f>
        <v>0</v>
      </c>
      <c r="B3745" s="156">
        <f>'Reported burning'!B3751</f>
        <v>0</v>
      </c>
      <c r="C3745" s="156">
        <f>'Reported burning'!C3751</f>
        <v>0</v>
      </c>
      <c r="D3745" s="156">
        <f>'Reported burning'!D3751</f>
        <v>0</v>
      </c>
      <c r="E3745" s="156">
        <f>'Reported burning'!E3751</f>
        <v>0</v>
      </c>
      <c r="F3745" s="156">
        <f>'Reported burning'!F3751</f>
        <v>0</v>
      </c>
      <c r="G3745" s="156">
        <f>'Reported burning'!G3751</f>
        <v>0</v>
      </c>
      <c r="H3745" s="156">
        <f>'Reported burning'!H3751</f>
        <v>0</v>
      </c>
      <c r="I3745" s="5"/>
    </row>
    <row r="3746" spans="1:9">
      <c r="A3746" s="156">
        <f>'Reported burning'!A3752</f>
        <v>0</v>
      </c>
      <c r="B3746" s="156">
        <f>'Reported burning'!B3752</f>
        <v>0</v>
      </c>
      <c r="C3746" s="156">
        <f>'Reported burning'!C3752</f>
        <v>0</v>
      </c>
      <c r="D3746" s="156">
        <f>'Reported burning'!D3752</f>
        <v>0</v>
      </c>
      <c r="E3746" s="156">
        <f>'Reported burning'!E3752</f>
        <v>0</v>
      </c>
      <c r="F3746" s="156">
        <f>'Reported burning'!F3752</f>
        <v>0</v>
      </c>
      <c r="G3746" s="156">
        <f>'Reported burning'!G3752</f>
        <v>0</v>
      </c>
      <c r="H3746" s="156">
        <f>'Reported burning'!H3752</f>
        <v>0</v>
      </c>
      <c r="I3746" s="5"/>
    </row>
    <row r="3747" spans="1:9">
      <c r="A3747" s="156">
        <f>'Reported burning'!A3753</f>
        <v>0</v>
      </c>
      <c r="B3747" s="156">
        <f>'Reported burning'!B3753</f>
        <v>0</v>
      </c>
      <c r="C3747" s="156">
        <f>'Reported burning'!C3753</f>
        <v>0</v>
      </c>
      <c r="D3747" s="156">
        <f>'Reported burning'!D3753</f>
        <v>0</v>
      </c>
      <c r="E3747" s="156">
        <f>'Reported burning'!E3753</f>
        <v>0</v>
      </c>
      <c r="F3747" s="156">
        <f>'Reported burning'!F3753</f>
        <v>0</v>
      </c>
      <c r="G3747" s="156">
        <f>'Reported burning'!G3753</f>
        <v>0</v>
      </c>
      <c r="H3747" s="156">
        <f>'Reported burning'!H3753</f>
        <v>0</v>
      </c>
      <c r="I3747" s="5"/>
    </row>
    <row r="3748" spans="1:9">
      <c r="A3748" s="156">
        <f>'Reported burning'!A3754</f>
        <v>0</v>
      </c>
      <c r="B3748" s="156">
        <f>'Reported burning'!B3754</f>
        <v>0</v>
      </c>
      <c r="C3748" s="156">
        <f>'Reported burning'!C3754</f>
        <v>0</v>
      </c>
      <c r="D3748" s="156">
        <f>'Reported burning'!D3754</f>
        <v>0</v>
      </c>
      <c r="E3748" s="156">
        <f>'Reported burning'!E3754</f>
        <v>0</v>
      </c>
      <c r="F3748" s="156">
        <f>'Reported burning'!F3754</f>
        <v>0</v>
      </c>
      <c r="G3748" s="156">
        <f>'Reported burning'!G3754</f>
        <v>0</v>
      </c>
      <c r="H3748" s="156">
        <f>'Reported burning'!H3754</f>
        <v>0</v>
      </c>
      <c r="I3748" s="5"/>
    </row>
    <row r="3749" spans="1:9">
      <c r="A3749" s="156">
        <f>'Reported burning'!A3755</f>
        <v>0</v>
      </c>
      <c r="B3749" s="156">
        <f>'Reported burning'!B3755</f>
        <v>0</v>
      </c>
      <c r="C3749" s="156">
        <f>'Reported burning'!C3755</f>
        <v>0</v>
      </c>
      <c r="D3749" s="156">
        <f>'Reported burning'!D3755</f>
        <v>0</v>
      </c>
      <c r="E3749" s="156">
        <f>'Reported burning'!E3755</f>
        <v>0</v>
      </c>
      <c r="F3749" s="156">
        <f>'Reported burning'!F3755</f>
        <v>0</v>
      </c>
      <c r="G3749" s="156">
        <f>'Reported burning'!G3755</f>
        <v>0</v>
      </c>
      <c r="H3749" s="156">
        <f>'Reported burning'!H3755</f>
        <v>0</v>
      </c>
      <c r="I3749" s="5"/>
    </row>
    <row r="3750" spans="1:9">
      <c r="A3750" s="156">
        <f>'Reported burning'!A3756</f>
        <v>0</v>
      </c>
      <c r="B3750" s="156">
        <f>'Reported burning'!B3756</f>
        <v>0</v>
      </c>
      <c r="C3750" s="156">
        <f>'Reported burning'!C3756</f>
        <v>0</v>
      </c>
      <c r="D3750" s="156">
        <f>'Reported burning'!D3756</f>
        <v>0</v>
      </c>
      <c r="E3750" s="156">
        <f>'Reported burning'!E3756</f>
        <v>0</v>
      </c>
      <c r="F3750" s="156">
        <f>'Reported burning'!F3756</f>
        <v>0</v>
      </c>
      <c r="G3750" s="156">
        <f>'Reported burning'!G3756</f>
        <v>0</v>
      </c>
      <c r="H3750" s="156">
        <f>'Reported burning'!H3756</f>
        <v>0</v>
      </c>
      <c r="I3750" s="5"/>
    </row>
    <row r="3751" spans="1:9">
      <c r="A3751" s="156">
        <f>'Reported burning'!A3757</f>
        <v>0</v>
      </c>
      <c r="B3751" s="156">
        <f>'Reported burning'!B3757</f>
        <v>0</v>
      </c>
      <c r="C3751" s="156">
        <f>'Reported burning'!C3757</f>
        <v>0</v>
      </c>
      <c r="D3751" s="156">
        <f>'Reported burning'!D3757</f>
        <v>0</v>
      </c>
      <c r="E3751" s="156">
        <f>'Reported burning'!E3757</f>
        <v>0</v>
      </c>
      <c r="F3751" s="156">
        <f>'Reported burning'!F3757</f>
        <v>0</v>
      </c>
      <c r="G3751" s="156">
        <f>'Reported burning'!G3757</f>
        <v>0</v>
      </c>
      <c r="H3751" s="156">
        <f>'Reported burning'!H3757</f>
        <v>0</v>
      </c>
      <c r="I3751" s="5"/>
    </row>
    <row r="3752" spans="1:9">
      <c r="A3752" s="156">
        <f>'Reported burning'!A3758</f>
        <v>0</v>
      </c>
      <c r="B3752" s="156">
        <f>'Reported burning'!B3758</f>
        <v>0</v>
      </c>
      <c r="C3752" s="156">
        <f>'Reported burning'!C3758</f>
        <v>0</v>
      </c>
      <c r="D3752" s="156">
        <f>'Reported burning'!D3758</f>
        <v>0</v>
      </c>
      <c r="E3752" s="156">
        <f>'Reported burning'!E3758</f>
        <v>0</v>
      </c>
      <c r="F3752" s="156">
        <f>'Reported burning'!F3758</f>
        <v>0</v>
      </c>
      <c r="G3752" s="156">
        <f>'Reported burning'!G3758</f>
        <v>0</v>
      </c>
      <c r="H3752" s="156">
        <f>'Reported burning'!H3758</f>
        <v>0</v>
      </c>
      <c r="I3752" s="5"/>
    </row>
    <row r="3753" spans="1:9">
      <c r="A3753" s="156">
        <f>'Reported burning'!A3759</f>
        <v>0</v>
      </c>
      <c r="B3753" s="156">
        <f>'Reported burning'!B3759</f>
        <v>0</v>
      </c>
      <c r="C3753" s="156">
        <f>'Reported burning'!C3759</f>
        <v>0</v>
      </c>
      <c r="D3753" s="156">
        <f>'Reported burning'!D3759</f>
        <v>0</v>
      </c>
      <c r="E3753" s="156">
        <f>'Reported burning'!E3759</f>
        <v>0</v>
      </c>
      <c r="F3753" s="156">
        <f>'Reported burning'!F3759</f>
        <v>0</v>
      </c>
      <c r="G3753" s="156">
        <f>'Reported burning'!G3759</f>
        <v>0</v>
      </c>
      <c r="H3753" s="156">
        <f>'Reported burning'!H3759</f>
        <v>0</v>
      </c>
      <c r="I3753" s="5"/>
    </row>
    <row r="3754" spans="1:9">
      <c r="A3754" s="156">
        <f>'Reported burning'!A3760</f>
        <v>0</v>
      </c>
      <c r="B3754" s="156">
        <f>'Reported burning'!B3760</f>
        <v>0</v>
      </c>
      <c r="C3754" s="156">
        <f>'Reported burning'!C3760</f>
        <v>0</v>
      </c>
      <c r="D3754" s="156">
        <f>'Reported burning'!D3760</f>
        <v>0</v>
      </c>
      <c r="E3754" s="156">
        <f>'Reported burning'!E3760</f>
        <v>0</v>
      </c>
      <c r="F3754" s="156">
        <f>'Reported burning'!F3760</f>
        <v>0</v>
      </c>
      <c r="G3754" s="156">
        <f>'Reported burning'!G3760</f>
        <v>0</v>
      </c>
      <c r="H3754" s="156">
        <f>'Reported burning'!H3760</f>
        <v>0</v>
      </c>
      <c r="I3754" s="5"/>
    </row>
    <row r="3755" spans="1:9">
      <c r="A3755" s="156">
        <f>'Reported burning'!A3761</f>
        <v>0</v>
      </c>
      <c r="B3755" s="156">
        <f>'Reported burning'!B3761</f>
        <v>0</v>
      </c>
      <c r="C3755" s="156">
        <f>'Reported burning'!C3761</f>
        <v>0</v>
      </c>
      <c r="D3755" s="156">
        <f>'Reported burning'!D3761</f>
        <v>0</v>
      </c>
      <c r="E3755" s="156">
        <f>'Reported burning'!E3761</f>
        <v>0</v>
      </c>
      <c r="F3755" s="156">
        <f>'Reported burning'!F3761</f>
        <v>0</v>
      </c>
      <c r="G3755" s="156">
        <f>'Reported burning'!G3761</f>
        <v>0</v>
      </c>
      <c r="H3755" s="156">
        <f>'Reported burning'!H3761</f>
        <v>0</v>
      </c>
      <c r="I3755" s="5"/>
    </row>
    <row r="3756" spans="1:9">
      <c r="A3756" s="156">
        <f>'Reported burning'!A3762</f>
        <v>0</v>
      </c>
      <c r="B3756" s="156">
        <f>'Reported burning'!B3762</f>
        <v>0</v>
      </c>
      <c r="C3756" s="156">
        <f>'Reported burning'!C3762</f>
        <v>0</v>
      </c>
      <c r="D3756" s="156">
        <f>'Reported burning'!D3762</f>
        <v>0</v>
      </c>
      <c r="E3756" s="156">
        <f>'Reported burning'!E3762</f>
        <v>0</v>
      </c>
      <c r="F3756" s="156">
        <f>'Reported burning'!F3762</f>
        <v>0</v>
      </c>
      <c r="G3756" s="156">
        <f>'Reported burning'!G3762</f>
        <v>0</v>
      </c>
      <c r="H3756" s="156">
        <f>'Reported burning'!H3762</f>
        <v>0</v>
      </c>
      <c r="I3756" s="5"/>
    </row>
    <row r="3757" spans="1:9">
      <c r="A3757" s="156">
        <f>'Reported burning'!A3763</f>
        <v>0</v>
      </c>
      <c r="B3757" s="156">
        <f>'Reported burning'!B3763</f>
        <v>0</v>
      </c>
      <c r="C3757" s="156">
        <f>'Reported burning'!C3763</f>
        <v>0</v>
      </c>
      <c r="D3757" s="156">
        <f>'Reported burning'!D3763</f>
        <v>0</v>
      </c>
      <c r="E3757" s="156">
        <f>'Reported burning'!E3763</f>
        <v>0</v>
      </c>
      <c r="F3757" s="156">
        <f>'Reported burning'!F3763</f>
        <v>0</v>
      </c>
      <c r="G3757" s="156">
        <f>'Reported burning'!G3763</f>
        <v>0</v>
      </c>
      <c r="H3757" s="156">
        <f>'Reported burning'!H3763</f>
        <v>0</v>
      </c>
      <c r="I3757" s="5"/>
    </row>
    <row r="3758" spans="1:9">
      <c r="A3758" s="156">
        <f>'Reported burning'!A3764</f>
        <v>0</v>
      </c>
      <c r="B3758" s="156">
        <f>'Reported burning'!B3764</f>
        <v>0</v>
      </c>
      <c r="C3758" s="156">
        <f>'Reported burning'!C3764</f>
        <v>0</v>
      </c>
      <c r="D3758" s="156">
        <f>'Reported burning'!D3764</f>
        <v>0</v>
      </c>
      <c r="E3758" s="156">
        <f>'Reported burning'!E3764</f>
        <v>0</v>
      </c>
      <c r="F3758" s="156">
        <f>'Reported burning'!F3764</f>
        <v>0</v>
      </c>
      <c r="G3758" s="156">
        <f>'Reported burning'!G3764</f>
        <v>0</v>
      </c>
      <c r="H3758" s="156">
        <f>'Reported burning'!H3764</f>
        <v>0</v>
      </c>
      <c r="I3758" s="5"/>
    </row>
    <row r="3759" spans="1:9">
      <c r="A3759" s="156">
        <f>'Reported burning'!A3765</f>
        <v>0</v>
      </c>
      <c r="B3759" s="156">
        <f>'Reported burning'!B3765</f>
        <v>0</v>
      </c>
      <c r="C3759" s="156">
        <f>'Reported burning'!C3765</f>
        <v>0</v>
      </c>
      <c r="D3759" s="156">
        <f>'Reported burning'!D3765</f>
        <v>0</v>
      </c>
      <c r="E3759" s="156">
        <f>'Reported burning'!E3765</f>
        <v>0</v>
      </c>
      <c r="F3759" s="156">
        <f>'Reported burning'!F3765</f>
        <v>0</v>
      </c>
      <c r="G3759" s="156">
        <f>'Reported burning'!G3765</f>
        <v>0</v>
      </c>
      <c r="H3759" s="156">
        <f>'Reported burning'!H3765</f>
        <v>0</v>
      </c>
      <c r="I3759" s="5"/>
    </row>
    <row r="3760" spans="1:9">
      <c r="A3760" s="156">
        <f>'Reported burning'!A3766</f>
        <v>0</v>
      </c>
      <c r="B3760" s="156">
        <f>'Reported burning'!B3766</f>
        <v>0</v>
      </c>
      <c r="C3760" s="156">
        <f>'Reported burning'!C3766</f>
        <v>0</v>
      </c>
      <c r="D3760" s="156">
        <f>'Reported burning'!D3766</f>
        <v>0</v>
      </c>
      <c r="E3760" s="156">
        <f>'Reported burning'!E3766</f>
        <v>0</v>
      </c>
      <c r="F3760" s="156">
        <f>'Reported burning'!F3766</f>
        <v>0</v>
      </c>
      <c r="G3760" s="156">
        <f>'Reported burning'!G3766</f>
        <v>0</v>
      </c>
      <c r="H3760" s="156">
        <f>'Reported burning'!H3766</f>
        <v>0</v>
      </c>
      <c r="I3760" s="5"/>
    </row>
    <row r="3761" spans="1:9">
      <c r="A3761" s="156">
        <f>'Reported burning'!A3767</f>
        <v>0</v>
      </c>
      <c r="B3761" s="156">
        <f>'Reported burning'!B3767</f>
        <v>0</v>
      </c>
      <c r="C3761" s="156">
        <f>'Reported burning'!C3767</f>
        <v>0</v>
      </c>
      <c r="D3761" s="156">
        <f>'Reported burning'!D3767</f>
        <v>0</v>
      </c>
      <c r="E3761" s="156">
        <f>'Reported burning'!E3767</f>
        <v>0</v>
      </c>
      <c r="F3761" s="156">
        <f>'Reported burning'!F3767</f>
        <v>0</v>
      </c>
      <c r="G3761" s="156">
        <f>'Reported burning'!G3767</f>
        <v>0</v>
      </c>
      <c r="H3761" s="156">
        <f>'Reported burning'!H3767</f>
        <v>0</v>
      </c>
      <c r="I3761" s="5"/>
    </row>
    <row r="3762" spans="1:9">
      <c r="A3762" s="156">
        <f>'Reported burning'!A3768</f>
        <v>0</v>
      </c>
      <c r="B3762" s="156">
        <f>'Reported burning'!B3768</f>
        <v>0</v>
      </c>
      <c r="C3762" s="156">
        <f>'Reported burning'!C3768</f>
        <v>0</v>
      </c>
      <c r="D3762" s="156">
        <f>'Reported burning'!D3768</f>
        <v>0</v>
      </c>
      <c r="E3762" s="156">
        <f>'Reported burning'!E3768</f>
        <v>0</v>
      </c>
      <c r="F3762" s="156">
        <f>'Reported burning'!F3768</f>
        <v>0</v>
      </c>
      <c r="G3762" s="156">
        <f>'Reported burning'!G3768</f>
        <v>0</v>
      </c>
      <c r="H3762" s="156">
        <f>'Reported burning'!H3768</f>
        <v>0</v>
      </c>
      <c r="I3762" s="5"/>
    </row>
    <row r="3763" spans="1:9">
      <c r="A3763" s="156">
        <f>'Reported burning'!A3769</f>
        <v>0</v>
      </c>
      <c r="B3763" s="156">
        <f>'Reported burning'!B3769</f>
        <v>0</v>
      </c>
      <c r="C3763" s="156">
        <f>'Reported burning'!C3769</f>
        <v>0</v>
      </c>
      <c r="D3763" s="156">
        <f>'Reported burning'!D3769</f>
        <v>0</v>
      </c>
      <c r="E3763" s="156">
        <f>'Reported burning'!E3769</f>
        <v>0</v>
      </c>
      <c r="F3763" s="156">
        <f>'Reported burning'!F3769</f>
        <v>0</v>
      </c>
      <c r="G3763" s="156">
        <f>'Reported burning'!G3769</f>
        <v>0</v>
      </c>
      <c r="H3763" s="156">
        <f>'Reported burning'!H3769</f>
        <v>0</v>
      </c>
      <c r="I3763" s="5"/>
    </row>
    <row r="3764" spans="1:9">
      <c r="A3764" s="156">
        <f>'Reported burning'!A3770</f>
        <v>0</v>
      </c>
      <c r="B3764" s="156">
        <f>'Reported burning'!B3770</f>
        <v>0</v>
      </c>
      <c r="C3764" s="156">
        <f>'Reported burning'!C3770</f>
        <v>0</v>
      </c>
      <c r="D3764" s="156">
        <f>'Reported burning'!D3770</f>
        <v>0</v>
      </c>
      <c r="E3764" s="156">
        <f>'Reported burning'!E3770</f>
        <v>0</v>
      </c>
      <c r="F3764" s="156">
        <f>'Reported burning'!F3770</f>
        <v>0</v>
      </c>
      <c r="G3764" s="156">
        <f>'Reported burning'!G3770</f>
        <v>0</v>
      </c>
      <c r="H3764" s="156">
        <f>'Reported burning'!H3770</f>
        <v>0</v>
      </c>
      <c r="I3764" s="5"/>
    </row>
    <row r="3765" spans="1:9">
      <c r="A3765" s="156">
        <f>'Reported burning'!A3771</f>
        <v>0</v>
      </c>
      <c r="B3765" s="156">
        <f>'Reported burning'!B3771</f>
        <v>0</v>
      </c>
      <c r="C3765" s="156">
        <f>'Reported burning'!C3771</f>
        <v>0</v>
      </c>
      <c r="D3765" s="156">
        <f>'Reported burning'!D3771</f>
        <v>0</v>
      </c>
      <c r="E3765" s="156">
        <f>'Reported burning'!E3771</f>
        <v>0</v>
      </c>
      <c r="F3765" s="156">
        <f>'Reported burning'!F3771</f>
        <v>0</v>
      </c>
      <c r="G3765" s="156">
        <f>'Reported burning'!G3771</f>
        <v>0</v>
      </c>
      <c r="H3765" s="156">
        <f>'Reported burning'!H3771</f>
        <v>0</v>
      </c>
      <c r="I3765" s="5"/>
    </row>
    <row r="3766" spans="1:9">
      <c r="A3766" s="156">
        <f>'Reported burning'!A3772</f>
        <v>0</v>
      </c>
      <c r="B3766" s="156">
        <f>'Reported burning'!B3772</f>
        <v>0</v>
      </c>
      <c r="C3766" s="156">
        <f>'Reported burning'!C3772</f>
        <v>0</v>
      </c>
      <c r="D3766" s="156">
        <f>'Reported burning'!D3772</f>
        <v>0</v>
      </c>
      <c r="E3766" s="156">
        <f>'Reported burning'!E3772</f>
        <v>0</v>
      </c>
      <c r="F3766" s="156">
        <f>'Reported burning'!F3772</f>
        <v>0</v>
      </c>
      <c r="G3766" s="156">
        <f>'Reported burning'!G3772</f>
        <v>0</v>
      </c>
      <c r="H3766" s="156">
        <f>'Reported burning'!H3772</f>
        <v>0</v>
      </c>
      <c r="I3766" s="5"/>
    </row>
    <row r="3767" spans="1:9">
      <c r="A3767" s="156">
        <f>'Reported burning'!A3773</f>
        <v>0</v>
      </c>
      <c r="B3767" s="156">
        <f>'Reported burning'!B3773</f>
        <v>0</v>
      </c>
      <c r="C3767" s="156">
        <f>'Reported burning'!C3773</f>
        <v>0</v>
      </c>
      <c r="D3767" s="156">
        <f>'Reported burning'!D3773</f>
        <v>0</v>
      </c>
      <c r="E3767" s="156">
        <f>'Reported burning'!E3773</f>
        <v>0</v>
      </c>
      <c r="F3767" s="156">
        <f>'Reported burning'!F3773</f>
        <v>0</v>
      </c>
      <c r="G3767" s="156">
        <f>'Reported burning'!G3773</f>
        <v>0</v>
      </c>
      <c r="H3767" s="156">
        <f>'Reported burning'!H3773</f>
        <v>0</v>
      </c>
      <c r="I3767" s="5"/>
    </row>
    <row r="3768" spans="1:9">
      <c r="A3768" s="156">
        <f>'Reported burning'!A3774</f>
        <v>0</v>
      </c>
      <c r="B3768" s="156">
        <f>'Reported burning'!B3774</f>
        <v>0</v>
      </c>
      <c r="C3768" s="156">
        <f>'Reported burning'!C3774</f>
        <v>0</v>
      </c>
      <c r="D3768" s="156">
        <f>'Reported burning'!D3774</f>
        <v>0</v>
      </c>
      <c r="E3768" s="156">
        <f>'Reported burning'!E3774</f>
        <v>0</v>
      </c>
      <c r="F3768" s="156">
        <f>'Reported burning'!F3774</f>
        <v>0</v>
      </c>
      <c r="G3768" s="156">
        <f>'Reported burning'!G3774</f>
        <v>0</v>
      </c>
      <c r="H3768" s="156">
        <f>'Reported burning'!H3774</f>
        <v>0</v>
      </c>
      <c r="I3768" s="5"/>
    </row>
    <row r="3769" spans="1:9">
      <c r="A3769" s="156">
        <f>'Reported burning'!A3775</f>
        <v>0</v>
      </c>
      <c r="B3769" s="156">
        <f>'Reported burning'!B3775</f>
        <v>0</v>
      </c>
      <c r="C3769" s="156">
        <f>'Reported burning'!C3775</f>
        <v>0</v>
      </c>
      <c r="D3769" s="156">
        <f>'Reported burning'!D3775</f>
        <v>0</v>
      </c>
      <c r="E3769" s="156">
        <f>'Reported burning'!E3775</f>
        <v>0</v>
      </c>
      <c r="F3769" s="156">
        <f>'Reported burning'!F3775</f>
        <v>0</v>
      </c>
      <c r="G3769" s="156">
        <f>'Reported burning'!G3775</f>
        <v>0</v>
      </c>
      <c r="H3769" s="156">
        <f>'Reported burning'!H3775</f>
        <v>0</v>
      </c>
      <c r="I3769" s="5"/>
    </row>
    <row r="3770" spans="1:9">
      <c r="A3770" s="156">
        <f>'Reported burning'!A3776</f>
        <v>0</v>
      </c>
      <c r="B3770" s="156">
        <f>'Reported burning'!B3776</f>
        <v>0</v>
      </c>
      <c r="C3770" s="156">
        <f>'Reported burning'!C3776</f>
        <v>0</v>
      </c>
      <c r="D3770" s="156">
        <f>'Reported burning'!D3776</f>
        <v>0</v>
      </c>
      <c r="E3770" s="156">
        <f>'Reported burning'!E3776</f>
        <v>0</v>
      </c>
      <c r="F3770" s="156">
        <f>'Reported burning'!F3776</f>
        <v>0</v>
      </c>
      <c r="G3770" s="156">
        <f>'Reported burning'!G3776</f>
        <v>0</v>
      </c>
      <c r="H3770" s="156">
        <f>'Reported burning'!H3776</f>
        <v>0</v>
      </c>
      <c r="I3770" s="5"/>
    </row>
    <row r="3771" spans="1:9">
      <c r="A3771" s="156">
        <f>'Reported burning'!A3777</f>
        <v>0</v>
      </c>
      <c r="B3771" s="156">
        <f>'Reported burning'!B3777</f>
        <v>0</v>
      </c>
      <c r="C3771" s="156">
        <f>'Reported burning'!C3777</f>
        <v>0</v>
      </c>
      <c r="D3771" s="156">
        <f>'Reported burning'!D3777</f>
        <v>0</v>
      </c>
      <c r="E3771" s="156">
        <f>'Reported burning'!E3777</f>
        <v>0</v>
      </c>
      <c r="F3771" s="156">
        <f>'Reported burning'!F3777</f>
        <v>0</v>
      </c>
      <c r="G3771" s="156">
        <f>'Reported burning'!G3777</f>
        <v>0</v>
      </c>
      <c r="H3771" s="156">
        <f>'Reported burning'!H3777</f>
        <v>0</v>
      </c>
      <c r="I3771" s="5"/>
    </row>
    <row r="3772" spans="1:9">
      <c r="A3772" s="156">
        <f>'Reported burning'!A3778</f>
        <v>0</v>
      </c>
      <c r="B3772" s="156">
        <f>'Reported burning'!B3778</f>
        <v>0</v>
      </c>
      <c r="C3772" s="156">
        <f>'Reported burning'!C3778</f>
        <v>0</v>
      </c>
      <c r="D3772" s="156">
        <f>'Reported burning'!D3778</f>
        <v>0</v>
      </c>
      <c r="E3772" s="156">
        <f>'Reported burning'!E3778</f>
        <v>0</v>
      </c>
      <c r="F3772" s="156">
        <f>'Reported burning'!F3778</f>
        <v>0</v>
      </c>
      <c r="G3772" s="156">
        <f>'Reported burning'!G3778</f>
        <v>0</v>
      </c>
      <c r="H3772" s="156">
        <f>'Reported burning'!H3778</f>
        <v>0</v>
      </c>
      <c r="I3772" s="5"/>
    </row>
    <row r="3773" spans="1:9">
      <c r="A3773" s="156">
        <f>'Reported burning'!A3779</f>
        <v>0</v>
      </c>
      <c r="B3773" s="156">
        <f>'Reported burning'!B3779</f>
        <v>0</v>
      </c>
      <c r="C3773" s="156">
        <f>'Reported burning'!C3779</f>
        <v>0</v>
      </c>
      <c r="D3773" s="156">
        <f>'Reported burning'!D3779</f>
        <v>0</v>
      </c>
      <c r="E3773" s="156">
        <f>'Reported burning'!E3779</f>
        <v>0</v>
      </c>
      <c r="F3773" s="156">
        <f>'Reported burning'!F3779</f>
        <v>0</v>
      </c>
      <c r="G3773" s="156">
        <f>'Reported burning'!G3779</f>
        <v>0</v>
      </c>
      <c r="H3773" s="156">
        <f>'Reported burning'!H3779</f>
        <v>0</v>
      </c>
      <c r="I3773" s="5"/>
    </row>
    <row r="3774" spans="1:9">
      <c r="A3774" s="156">
        <f>'Reported burning'!A3780</f>
        <v>0</v>
      </c>
      <c r="B3774" s="156">
        <f>'Reported burning'!B3780</f>
        <v>0</v>
      </c>
      <c r="C3774" s="156">
        <f>'Reported burning'!C3780</f>
        <v>0</v>
      </c>
      <c r="D3774" s="156">
        <f>'Reported burning'!D3780</f>
        <v>0</v>
      </c>
      <c r="E3774" s="156">
        <f>'Reported burning'!E3780</f>
        <v>0</v>
      </c>
      <c r="F3774" s="156">
        <f>'Reported burning'!F3780</f>
        <v>0</v>
      </c>
      <c r="G3774" s="156">
        <f>'Reported burning'!G3780</f>
        <v>0</v>
      </c>
      <c r="H3774" s="156">
        <f>'Reported burning'!H3780</f>
        <v>0</v>
      </c>
      <c r="I3774" s="5"/>
    </row>
    <row r="3775" spans="1:9">
      <c r="A3775" s="156">
        <f>'Reported burning'!A3781</f>
        <v>0</v>
      </c>
      <c r="B3775" s="156">
        <f>'Reported burning'!B3781</f>
        <v>0</v>
      </c>
      <c r="C3775" s="156">
        <f>'Reported burning'!C3781</f>
        <v>0</v>
      </c>
      <c r="D3775" s="156">
        <f>'Reported burning'!D3781</f>
        <v>0</v>
      </c>
      <c r="E3775" s="156">
        <f>'Reported burning'!E3781</f>
        <v>0</v>
      </c>
      <c r="F3775" s="156">
        <f>'Reported burning'!F3781</f>
        <v>0</v>
      </c>
      <c r="G3775" s="156">
        <f>'Reported burning'!G3781</f>
        <v>0</v>
      </c>
      <c r="H3775" s="156">
        <f>'Reported burning'!H3781</f>
        <v>0</v>
      </c>
      <c r="I3775" s="5"/>
    </row>
    <row r="3776" spans="1:9">
      <c r="A3776" s="156">
        <f>'Reported burning'!A3782</f>
        <v>0</v>
      </c>
      <c r="B3776" s="156">
        <f>'Reported burning'!B3782</f>
        <v>0</v>
      </c>
      <c r="C3776" s="156">
        <f>'Reported burning'!C3782</f>
        <v>0</v>
      </c>
      <c r="D3776" s="156">
        <f>'Reported burning'!D3782</f>
        <v>0</v>
      </c>
      <c r="E3776" s="156">
        <f>'Reported burning'!E3782</f>
        <v>0</v>
      </c>
      <c r="F3776" s="156">
        <f>'Reported burning'!F3782</f>
        <v>0</v>
      </c>
      <c r="G3776" s="156">
        <f>'Reported burning'!G3782</f>
        <v>0</v>
      </c>
      <c r="H3776" s="156">
        <f>'Reported burning'!H3782</f>
        <v>0</v>
      </c>
      <c r="I3776" s="5"/>
    </row>
    <row r="3777" spans="1:9">
      <c r="A3777" s="156">
        <f>'Reported burning'!A3783</f>
        <v>0</v>
      </c>
      <c r="B3777" s="156">
        <f>'Reported burning'!B3783</f>
        <v>0</v>
      </c>
      <c r="C3777" s="156">
        <f>'Reported burning'!C3783</f>
        <v>0</v>
      </c>
      <c r="D3777" s="156">
        <f>'Reported burning'!D3783</f>
        <v>0</v>
      </c>
      <c r="E3777" s="156">
        <f>'Reported burning'!E3783</f>
        <v>0</v>
      </c>
      <c r="F3777" s="156">
        <f>'Reported burning'!F3783</f>
        <v>0</v>
      </c>
      <c r="G3777" s="156">
        <f>'Reported burning'!G3783</f>
        <v>0</v>
      </c>
      <c r="H3777" s="156">
        <f>'Reported burning'!H3783</f>
        <v>0</v>
      </c>
      <c r="I3777" s="5"/>
    </row>
    <row r="3778" spans="1:9">
      <c r="A3778" s="156">
        <f>'Reported burning'!A3784</f>
        <v>0</v>
      </c>
      <c r="B3778" s="156">
        <f>'Reported burning'!B3784</f>
        <v>0</v>
      </c>
      <c r="C3778" s="156">
        <f>'Reported burning'!C3784</f>
        <v>0</v>
      </c>
      <c r="D3778" s="156">
        <f>'Reported burning'!D3784</f>
        <v>0</v>
      </c>
      <c r="E3778" s="156">
        <f>'Reported burning'!E3784</f>
        <v>0</v>
      </c>
      <c r="F3778" s="156">
        <f>'Reported burning'!F3784</f>
        <v>0</v>
      </c>
      <c r="G3778" s="156">
        <f>'Reported burning'!G3784</f>
        <v>0</v>
      </c>
      <c r="H3778" s="156">
        <f>'Reported burning'!H3784</f>
        <v>0</v>
      </c>
      <c r="I3778" s="5"/>
    </row>
    <row r="3779" spans="1:9">
      <c r="A3779" s="156">
        <f>'Reported burning'!A3785</f>
        <v>0</v>
      </c>
      <c r="B3779" s="156">
        <f>'Reported burning'!B3785</f>
        <v>0</v>
      </c>
      <c r="C3779" s="156">
        <f>'Reported burning'!C3785</f>
        <v>0</v>
      </c>
      <c r="D3779" s="156">
        <f>'Reported burning'!D3785</f>
        <v>0</v>
      </c>
      <c r="E3779" s="156">
        <f>'Reported burning'!E3785</f>
        <v>0</v>
      </c>
      <c r="F3779" s="156">
        <f>'Reported burning'!F3785</f>
        <v>0</v>
      </c>
      <c r="G3779" s="156">
        <f>'Reported burning'!G3785</f>
        <v>0</v>
      </c>
      <c r="H3779" s="156">
        <f>'Reported burning'!H3785</f>
        <v>0</v>
      </c>
      <c r="I3779" s="5"/>
    </row>
    <row r="3780" spans="1:9">
      <c r="A3780" s="156">
        <f>'Reported burning'!A3786</f>
        <v>0</v>
      </c>
      <c r="B3780" s="156">
        <f>'Reported burning'!B3786</f>
        <v>0</v>
      </c>
      <c r="C3780" s="156">
        <f>'Reported burning'!C3786</f>
        <v>0</v>
      </c>
      <c r="D3780" s="156">
        <f>'Reported burning'!D3786</f>
        <v>0</v>
      </c>
      <c r="E3780" s="156">
        <f>'Reported burning'!E3786</f>
        <v>0</v>
      </c>
      <c r="F3780" s="156">
        <f>'Reported burning'!F3786</f>
        <v>0</v>
      </c>
      <c r="G3780" s="156">
        <f>'Reported burning'!G3786</f>
        <v>0</v>
      </c>
      <c r="H3780" s="156">
        <f>'Reported burning'!H3786</f>
        <v>0</v>
      </c>
      <c r="I3780" s="5"/>
    </row>
    <row r="3781" spans="1:9">
      <c r="A3781" s="156">
        <f>'Reported burning'!A3787</f>
        <v>0</v>
      </c>
      <c r="B3781" s="156">
        <f>'Reported burning'!B3787</f>
        <v>0</v>
      </c>
      <c r="C3781" s="156">
        <f>'Reported burning'!C3787</f>
        <v>0</v>
      </c>
      <c r="D3781" s="156">
        <f>'Reported burning'!D3787</f>
        <v>0</v>
      </c>
      <c r="E3781" s="156">
        <f>'Reported burning'!E3787</f>
        <v>0</v>
      </c>
      <c r="F3781" s="156">
        <f>'Reported burning'!F3787</f>
        <v>0</v>
      </c>
      <c r="G3781" s="156">
        <f>'Reported burning'!G3787</f>
        <v>0</v>
      </c>
      <c r="H3781" s="156">
        <f>'Reported burning'!H3787</f>
        <v>0</v>
      </c>
      <c r="I3781" s="5"/>
    </row>
    <row r="3782" spans="1:9">
      <c r="A3782" s="156">
        <f>'Reported burning'!A3788</f>
        <v>0</v>
      </c>
      <c r="B3782" s="156">
        <f>'Reported burning'!B3788</f>
        <v>0</v>
      </c>
      <c r="C3782" s="156">
        <f>'Reported burning'!C3788</f>
        <v>0</v>
      </c>
      <c r="D3782" s="156">
        <f>'Reported burning'!D3788</f>
        <v>0</v>
      </c>
      <c r="E3782" s="156">
        <f>'Reported burning'!E3788</f>
        <v>0</v>
      </c>
      <c r="F3782" s="156">
        <f>'Reported burning'!F3788</f>
        <v>0</v>
      </c>
      <c r="G3782" s="156">
        <f>'Reported burning'!G3788</f>
        <v>0</v>
      </c>
      <c r="H3782" s="156">
        <f>'Reported burning'!H3788</f>
        <v>0</v>
      </c>
      <c r="I3782" s="5"/>
    </row>
    <row r="3783" spans="1:9">
      <c r="A3783" s="156">
        <f>'Reported burning'!A3789</f>
        <v>0</v>
      </c>
      <c r="B3783" s="156">
        <f>'Reported burning'!B3789</f>
        <v>0</v>
      </c>
      <c r="C3783" s="156">
        <f>'Reported burning'!C3789</f>
        <v>0</v>
      </c>
      <c r="D3783" s="156">
        <f>'Reported burning'!D3789</f>
        <v>0</v>
      </c>
      <c r="E3783" s="156">
        <f>'Reported burning'!E3789</f>
        <v>0</v>
      </c>
      <c r="F3783" s="156">
        <f>'Reported burning'!F3789</f>
        <v>0</v>
      </c>
      <c r="G3783" s="156">
        <f>'Reported burning'!G3789</f>
        <v>0</v>
      </c>
      <c r="H3783" s="156">
        <f>'Reported burning'!H3789</f>
        <v>0</v>
      </c>
      <c r="I3783" s="5"/>
    </row>
    <row r="3784" spans="1:9">
      <c r="A3784" s="156">
        <f>'Reported burning'!A3790</f>
        <v>0</v>
      </c>
      <c r="B3784" s="156">
        <f>'Reported burning'!B3790</f>
        <v>0</v>
      </c>
      <c r="C3784" s="156">
        <f>'Reported burning'!C3790</f>
        <v>0</v>
      </c>
      <c r="D3784" s="156">
        <f>'Reported burning'!D3790</f>
        <v>0</v>
      </c>
      <c r="E3784" s="156">
        <f>'Reported burning'!E3790</f>
        <v>0</v>
      </c>
      <c r="F3784" s="156">
        <f>'Reported burning'!F3790</f>
        <v>0</v>
      </c>
      <c r="G3784" s="156">
        <f>'Reported burning'!G3790</f>
        <v>0</v>
      </c>
      <c r="H3784" s="156">
        <f>'Reported burning'!H3790</f>
        <v>0</v>
      </c>
      <c r="I3784" s="5"/>
    </row>
    <row r="3785" spans="1:9">
      <c r="A3785" s="156">
        <f>'Reported burning'!A3791</f>
        <v>0</v>
      </c>
      <c r="B3785" s="156">
        <f>'Reported burning'!B3791</f>
        <v>0</v>
      </c>
      <c r="C3785" s="156">
        <f>'Reported burning'!C3791</f>
        <v>0</v>
      </c>
      <c r="D3785" s="156">
        <f>'Reported burning'!D3791</f>
        <v>0</v>
      </c>
      <c r="E3785" s="156">
        <f>'Reported burning'!E3791</f>
        <v>0</v>
      </c>
      <c r="F3785" s="156">
        <f>'Reported burning'!F3791</f>
        <v>0</v>
      </c>
      <c r="G3785" s="156">
        <f>'Reported burning'!G3791</f>
        <v>0</v>
      </c>
      <c r="H3785" s="156">
        <f>'Reported burning'!H3791</f>
        <v>0</v>
      </c>
      <c r="I3785" s="5"/>
    </row>
    <row r="3786" spans="1:9">
      <c r="A3786" s="156">
        <f>'Reported burning'!A3792</f>
        <v>0</v>
      </c>
      <c r="B3786" s="156">
        <f>'Reported burning'!B3792</f>
        <v>0</v>
      </c>
      <c r="C3786" s="156">
        <f>'Reported burning'!C3792</f>
        <v>0</v>
      </c>
      <c r="D3786" s="156">
        <f>'Reported burning'!D3792</f>
        <v>0</v>
      </c>
      <c r="E3786" s="156">
        <f>'Reported burning'!E3792</f>
        <v>0</v>
      </c>
      <c r="F3786" s="156">
        <f>'Reported burning'!F3792</f>
        <v>0</v>
      </c>
      <c r="G3786" s="156">
        <f>'Reported burning'!G3792</f>
        <v>0</v>
      </c>
      <c r="H3786" s="156">
        <f>'Reported burning'!H3792</f>
        <v>0</v>
      </c>
      <c r="I3786" s="5"/>
    </row>
    <row r="3787" spans="1:9">
      <c r="A3787" s="156">
        <f>'Reported burning'!A3793</f>
        <v>0</v>
      </c>
      <c r="B3787" s="156">
        <f>'Reported burning'!B3793</f>
        <v>0</v>
      </c>
      <c r="C3787" s="156">
        <f>'Reported burning'!C3793</f>
        <v>0</v>
      </c>
      <c r="D3787" s="156">
        <f>'Reported burning'!D3793</f>
        <v>0</v>
      </c>
      <c r="E3787" s="156">
        <f>'Reported burning'!E3793</f>
        <v>0</v>
      </c>
      <c r="F3787" s="156">
        <f>'Reported burning'!F3793</f>
        <v>0</v>
      </c>
      <c r="G3787" s="156">
        <f>'Reported burning'!G3793</f>
        <v>0</v>
      </c>
      <c r="H3787" s="156">
        <f>'Reported burning'!H3793</f>
        <v>0</v>
      </c>
      <c r="I3787" s="5"/>
    </row>
    <row r="3788" spans="1:9">
      <c r="A3788" s="156">
        <f>'Reported burning'!A3794</f>
        <v>0</v>
      </c>
      <c r="B3788" s="156">
        <f>'Reported burning'!B3794</f>
        <v>0</v>
      </c>
      <c r="C3788" s="156">
        <f>'Reported burning'!C3794</f>
        <v>0</v>
      </c>
      <c r="D3788" s="156">
        <f>'Reported burning'!D3794</f>
        <v>0</v>
      </c>
      <c r="E3788" s="156">
        <f>'Reported burning'!E3794</f>
        <v>0</v>
      </c>
      <c r="F3788" s="156">
        <f>'Reported burning'!F3794</f>
        <v>0</v>
      </c>
      <c r="G3788" s="156">
        <f>'Reported burning'!G3794</f>
        <v>0</v>
      </c>
      <c r="H3788" s="156">
        <f>'Reported burning'!H3794</f>
        <v>0</v>
      </c>
      <c r="I3788" s="5"/>
    </row>
    <row r="3789" spans="1:9">
      <c r="A3789" s="156">
        <f>'Reported burning'!A3795</f>
        <v>0</v>
      </c>
      <c r="B3789" s="156">
        <f>'Reported burning'!B3795</f>
        <v>0</v>
      </c>
      <c r="C3789" s="156">
        <f>'Reported burning'!C3795</f>
        <v>0</v>
      </c>
      <c r="D3789" s="156">
        <f>'Reported burning'!D3795</f>
        <v>0</v>
      </c>
      <c r="E3789" s="156">
        <f>'Reported burning'!E3795</f>
        <v>0</v>
      </c>
      <c r="F3789" s="156">
        <f>'Reported burning'!F3795</f>
        <v>0</v>
      </c>
      <c r="G3789" s="156">
        <f>'Reported burning'!G3795</f>
        <v>0</v>
      </c>
      <c r="H3789" s="156">
        <f>'Reported burning'!H3795</f>
        <v>0</v>
      </c>
      <c r="I3789" s="5"/>
    </row>
    <row r="3790" spans="1:9">
      <c r="A3790" s="156">
        <f>'Reported burning'!A3796</f>
        <v>0</v>
      </c>
      <c r="B3790" s="156">
        <f>'Reported burning'!B3796</f>
        <v>0</v>
      </c>
      <c r="C3790" s="156">
        <f>'Reported burning'!C3796</f>
        <v>0</v>
      </c>
      <c r="D3790" s="156">
        <f>'Reported burning'!D3796</f>
        <v>0</v>
      </c>
      <c r="E3790" s="156">
        <f>'Reported burning'!E3796</f>
        <v>0</v>
      </c>
      <c r="F3790" s="156">
        <f>'Reported burning'!F3796</f>
        <v>0</v>
      </c>
      <c r="G3790" s="156">
        <f>'Reported burning'!G3796</f>
        <v>0</v>
      </c>
      <c r="H3790" s="156">
        <f>'Reported burning'!H3796</f>
        <v>0</v>
      </c>
      <c r="I3790" s="5"/>
    </row>
    <row r="3791" spans="1:9">
      <c r="A3791" s="156">
        <f>'Reported burning'!A3797</f>
        <v>0</v>
      </c>
      <c r="B3791" s="156">
        <f>'Reported burning'!B3797</f>
        <v>0</v>
      </c>
      <c r="C3791" s="156">
        <f>'Reported burning'!C3797</f>
        <v>0</v>
      </c>
      <c r="D3791" s="156">
        <f>'Reported burning'!D3797</f>
        <v>0</v>
      </c>
      <c r="E3791" s="156">
        <f>'Reported burning'!E3797</f>
        <v>0</v>
      </c>
      <c r="F3791" s="156">
        <f>'Reported burning'!F3797</f>
        <v>0</v>
      </c>
      <c r="G3791" s="156">
        <f>'Reported burning'!G3797</f>
        <v>0</v>
      </c>
      <c r="H3791" s="156">
        <f>'Reported burning'!H3797</f>
        <v>0</v>
      </c>
      <c r="I3791" s="5"/>
    </row>
    <row r="3792" spans="1:9">
      <c r="A3792" s="156">
        <f>'Reported burning'!A3798</f>
        <v>0</v>
      </c>
      <c r="B3792" s="156">
        <f>'Reported burning'!B3798</f>
        <v>0</v>
      </c>
      <c r="C3792" s="156">
        <f>'Reported burning'!C3798</f>
        <v>0</v>
      </c>
      <c r="D3792" s="156">
        <f>'Reported burning'!D3798</f>
        <v>0</v>
      </c>
      <c r="E3792" s="156">
        <f>'Reported burning'!E3798</f>
        <v>0</v>
      </c>
      <c r="F3792" s="156">
        <f>'Reported burning'!F3798</f>
        <v>0</v>
      </c>
      <c r="G3792" s="156">
        <f>'Reported burning'!G3798</f>
        <v>0</v>
      </c>
      <c r="H3792" s="156">
        <f>'Reported burning'!H3798</f>
        <v>0</v>
      </c>
      <c r="I3792" s="5"/>
    </row>
    <row r="3793" spans="1:9">
      <c r="A3793" s="156">
        <f>'Reported burning'!A3799</f>
        <v>0</v>
      </c>
      <c r="B3793" s="156">
        <f>'Reported burning'!B3799</f>
        <v>0</v>
      </c>
      <c r="C3793" s="156">
        <f>'Reported burning'!C3799</f>
        <v>0</v>
      </c>
      <c r="D3793" s="156">
        <f>'Reported burning'!D3799</f>
        <v>0</v>
      </c>
      <c r="E3793" s="156">
        <f>'Reported burning'!E3799</f>
        <v>0</v>
      </c>
      <c r="F3793" s="156">
        <f>'Reported burning'!F3799</f>
        <v>0</v>
      </c>
      <c r="G3793" s="156">
        <f>'Reported burning'!G3799</f>
        <v>0</v>
      </c>
      <c r="H3793" s="156">
        <f>'Reported burning'!H3799</f>
        <v>0</v>
      </c>
      <c r="I3793" s="5"/>
    </row>
    <row r="3794" spans="1:9">
      <c r="A3794" s="156">
        <f>'Reported burning'!A3800</f>
        <v>0</v>
      </c>
      <c r="B3794" s="156">
        <f>'Reported burning'!B3800</f>
        <v>0</v>
      </c>
      <c r="C3794" s="156">
        <f>'Reported burning'!C3800</f>
        <v>0</v>
      </c>
      <c r="D3794" s="156">
        <f>'Reported burning'!D3800</f>
        <v>0</v>
      </c>
      <c r="E3794" s="156">
        <f>'Reported burning'!E3800</f>
        <v>0</v>
      </c>
      <c r="F3794" s="156">
        <f>'Reported burning'!F3800</f>
        <v>0</v>
      </c>
      <c r="G3794" s="156">
        <f>'Reported burning'!G3800</f>
        <v>0</v>
      </c>
      <c r="H3794" s="156">
        <f>'Reported burning'!H3800</f>
        <v>0</v>
      </c>
      <c r="I3794" s="5"/>
    </row>
    <row r="3795" spans="1:9">
      <c r="A3795" s="156">
        <f>'Reported burning'!A3801</f>
        <v>0</v>
      </c>
      <c r="B3795" s="156">
        <f>'Reported burning'!B3801</f>
        <v>0</v>
      </c>
      <c r="C3795" s="156">
        <f>'Reported burning'!C3801</f>
        <v>0</v>
      </c>
      <c r="D3795" s="156">
        <f>'Reported burning'!D3801</f>
        <v>0</v>
      </c>
      <c r="E3795" s="156">
        <f>'Reported burning'!E3801</f>
        <v>0</v>
      </c>
      <c r="F3795" s="156">
        <f>'Reported burning'!F3801</f>
        <v>0</v>
      </c>
      <c r="G3795" s="156">
        <f>'Reported burning'!G3801</f>
        <v>0</v>
      </c>
      <c r="H3795" s="156">
        <f>'Reported burning'!H3801</f>
        <v>0</v>
      </c>
      <c r="I3795" s="5"/>
    </row>
    <row r="3796" spans="1:9">
      <c r="A3796" s="156">
        <f>'Reported burning'!A3802</f>
        <v>0</v>
      </c>
      <c r="B3796" s="156">
        <f>'Reported burning'!B3802</f>
        <v>0</v>
      </c>
      <c r="C3796" s="156">
        <f>'Reported burning'!C3802</f>
        <v>0</v>
      </c>
      <c r="D3796" s="156">
        <f>'Reported burning'!D3802</f>
        <v>0</v>
      </c>
      <c r="E3796" s="156">
        <f>'Reported burning'!E3802</f>
        <v>0</v>
      </c>
      <c r="F3796" s="156">
        <f>'Reported burning'!F3802</f>
        <v>0</v>
      </c>
      <c r="G3796" s="156">
        <f>'Reported burning'!G3802</f>
        <v>0</v>
      </c>
      <c r="H3796" s="156">
        <f>'Reported burning'!H3802</f>
        <v>0</v>
      </c>
      <c r="I3796" s="5"/>
    </row>
    <row r="3797" spans="1:9">
      <c r="A3797" s="156">
        <f>'Reported burning'!A3803</f>
        <v>0</v>
      </c>
      <c r="B3797" s="156">
        <f>'Reported burning'!B3803</f>
        <v>0</v>
      </c>
      <c r="C3797" s="156">
        <f>'Reported burning'!C3803</f>
        <v>0</v>
      </c>
      <c r="D3797" s="156">
        <f>'Reported burning'!D3803</f>
        <v>0</v>
      </c>
      <c r="E3797" s="156">
        <f>'Reported burning'!E3803</f>
        <v>0</v>
      </c>
      <c r="F3797" s="156">
        <f>'Reported burning'!F3803</f>
        <v>0</v>
      </c>
      <c r="G3797" s="156">
        <f>'Reported burning'!G3803</f>
        <v>0</v>
      </c>
      <c r="H3797" s="156">
        <f>'Reported burning'!H3803</f>
        <v>0</v>
      </c>
      <c r="I3797" s="5"/>
    </row>
    <row r="3798" spans="1:9">
      <c r="A3798" s="156">
        <f>'Reported burning'!A3804</f>
        <v>0</v>
      </c>
      <c r="B3798" s="156">
        <f>'Reported burning'!B3804</f>
        <v>0</v>
      </c>
      <c r="C3798" s="156">
        <f>'Reported burning'!C3804</f>
        <v>0</v>
      </c>
      <c r="D3798" s="156">
        <f>'Reported burning'!D3804</f>
        <v>0</v>
      </c>
      <c r="E3798" s="156">
        <f>'Reported burning'!E3804</f>
        <v>0</v>
      </c>
      <c r="F3798" s="156">
        <f>'Reported burning'!F3804</f>
        <v>0</v>
      </c>
      <c r="G3798" s="156">
        <f>'Reported burning'!G3804</f>
        <v>0</v>
      </c>
      <c r="H3798" s="156">
        <f>'Reported burning'!H3804</f>
        <v>0</v>
      </c>
      <c r="I3798" s="5"/>
    </row>
    <row r="3799" spans="1:9">
      <c r="A3799" s="156">
        <f>'Reported burning'!A3805</f>
        <v>0</v>
      </c>
      <c r="B3799" s="156">
        <f>'Reported burning'!B3805</f>
        <v>0</v>
      </c>
      <c r="C3799" s="156">
        <f>'Reported burning'!C3805</f>
        <v>0</v>
      </c>
      <c r="D3799" s="156">
        <f>'Reported burning'!D3805</f>
        <v>0</v>
      </c>
      <c r="E3799" s="156">
        <f>'Reported burning'!E3805</f>
        <v>0</v>
      </c>
      <c r="F3799" s="156">
        <f>'Reported burning'!F3805</f>
        <v>0</v>
      </c>
      <c r="G3799" s="156">
        <f>'Reported burning'!G3805</f>
        <v>0</v>
      </c>
      <c r="H3799" s="156">
        <f>'Reported burning'!H3805</f>
        <v>0</v>
      </c>
      <c r="I3799" s="5"/>
    </row>
    <row r="3800" spans="1:9">
      <c r="A3800" s="156">
        <f>'Reported burning'!A3806</f>
        <v>0</v>
      </c>
      <c r="B3800" s="156">
        <f>'Reported burning'!B3806</f>
        <v>0</v>
      </c>
      <c r="C3800" s="156">
        <f>'Reported burning'!C3806</f>
        <v>0</v>
      </c>
      <c r="D3800" s="156">
        <f>'Reported burning'!D3806</f>
        <v>0</v>
      </c>
      <c r="E3800" s="156">
        <f>'Reported burning'!E3806</f>
        <v>0</v>
      </c>
      <c r="F3800" s="156">
        <f>'Reported burning'!F3806</f>
        <v>0</v>
      </c>
      <c r="G3800" s="156">
        <f>'Reported burning'!G3806</f>
        <v>0</v>
      </c>
      <c r="H3800" s="156">
        <f>'Reported burning'!H3806</f>
        <v>0</v>
      </c>
      <c r="I3800" s="5"/>
    </row>
    <row r="3801" spans="1:9">
      <c r="A3801" s="156">
        <f>'Reported burning'!A3807</f>
        <v>0</v>
      </c>
      <c r="B3801" s="156">
        <f>'Reported burning'!B3807</f>
        <v>0</v>
      </c>
      <c r="C3801" s="156">
        <f>'Reported burning'!C3807</f>
        <v>0</v>
      </c>
      <c r="D3801" s="156">
        <f>'Reported burning'!D3807</f>
        <v>0</v>
      </c>
      <c r="E3801" s="156">
        <f>'Reported burning'!E3807</f>
        <v>0</v>
      </c>
      <c r="F3801" s="156">
        <f>'Reported burning'!F3807</f>
        <v>0</v>
      </c>
      <c r="G3801" s="156">
        <f>'Reported burning'!G3807</f>
        <v>0</v>
      </c>
      <c r="H3801" s="156">
        <f>'Reported burning'!H3807</f>
        <v>0</v>
      </c>
      <c r="I3801" s="5"/>
    </row>
    <row r="3802" spans="1:9">
      <c r="A3802" s="156">
        <f>'Reported burning'!A3808</f>
        <v>0</v>
      </c>
      <c r="B3802" s="156">
        <f>'Reported burning'!B3808</f>
        <v>0</v>
      </c>
      <c r="C3802" s="156">
        <f>'Reported burning'!C3808</f>
        <v>0</v>
      </c>
      <c r="D3802" s="156">
        <f>'Reported burning'!D3808</f>
        <v>0</v>
      </c>
      <c r="E3802" s="156">
        <f>'Reported burning'!E3808</f>
        <v>0</v>
      </c>
      <c r="F3802" s="156">
        <f>'Reported burning'!F3808</f>
        <v>0</v>
      </c>
      <c r="G3802" s="156">
        <f>'Reported burning'!G3808</f>
        <v>0</v>
      </c>
      <c r="H3802" s="156">
        <f>'Reported burning'!H3808</f>
        <v>0</v>
      </c>
      <c r="I3802" s="5"/>
    </row>
    <row r="3803" spans="1:9">
      <c r="A3803" s="156">
        <f>'Reported burning'!A3809</f>
        <v>0</v>
      </c>
      <c r="B3803" s="156">
        <f>'Reported burning'!B3809</f>
        <v>0</v>
      </c>
      <c r="C3803" s="156">
        <f>'Reported burning'!C3809</f>
        <v>0</v>
      </c>
      <c r="D3803" s="156">
        <f>'Reported burning'!D3809</f>
        <v>0</v>
      </c>
      <c r="E3803" s="156">
        <f>'Reported burning'!E3809</f>
        <v>0</v>
      </c>
      <c r="F3803" s="156">
        <f>'Reported burning'!F3809</f>
        <v>0</v>
      </c>
      <c r="G3803" s="156">
        <f>'Reported burning'!G3809</f>
        <v>0</v>
      </c>
      <c r="H3803" s="156">
        <f>'Reported burning'!H3809</f>
        <v>0</v>
      </c>
      <c r="I3803" s="5"/>
    </row>
    <row r="3804" spans="1:9">
      <c r="A3804" s="156">
        <f>'Reported burning'!A3810</f>
        <v>0</v>
      </c>
      <c r="B3804" s="156">
        <f>'Reported burning'!B3810</f>
        <v>0</v>
      </c>
      <c r="C3804" s="156">
        <f>'Reported burning'!C3810</f>
        <v>0</v>
      </c>
      <c r="D3804" s="156">
        <f>'Reported burning'!D3810</f>
        <v>0</v>
      </c>
      <c r="E3804" s="156">
        <f>'Reported burning'!E3810</f>
        <v>0</v>
      </c>
      <c r="F3804" s="156">
        <f>'Reported burning'!F3810</f>
        <v>0</v>
      </c>
      <c r="G3804" s="156">
        <f>'Reported burning'!G3810</f>
        <v>0</v>
      </c>
      <c r="H3804" s="156">
        <f>'Reported burning'!H3810</f>
        <v>0</v>
      </c>
      <c r="I3804" s="5"/>
    </row>
    <row r="3805" spans="1:9">
      <c r="A3805" s="156">
        <f>'Reported burning'!A3811</f>
        <v>0</v>
      </c>
      <c r="B3805" s="156">
        <f>'Reported burning'!B3811</f>
        <v>0</v>
      </c>
      <c r="C3805" s="156">
        <f>'Reported burning'!C3811</f>
        <v>0</v>
      </c>
      <c r="D3805" s="156">
        <f>'Reported burning'!D3811</f>
        <v>0</v>
      </c>
      <c r="E3805" s="156">
        <f>'Reported burning'!E3811</f>
        <v>0</v>
      </c>
      <c r="F3805" s="156">
        <f>'Reported burning'!F3811</f>
        <v>0</v>
      </c>
      <c r="G3805" s="156">
        <f>'Reported burning'!G3811</f>
        <v>0</v>
      </c>
      <c r="H3805" s="156">
        <f>'Reported burning'!H3811</f>
        <v>0</v>
      </c>
      <c r="I3805" s="5"/>
    </row>
    <row r="3806" spans="1:9">
      <c r="A3806" s="156">
        <f>'Reported burning'!A3812</f>
        <v>0</v>
      </c>
      <c r="B3806" s="156">
        <f>'Reported burning'!B3812</f>
        <v>0</v>
      </c>
      <c r="C3806" s="156">
        <f>'Reported burning'!C3812</f>
        <v>0</v>
      </c>
      <c r="D3806" s="156">
        <f>'Reported burning'!D3812</f>
        <v>0</v>
      </c>
      <c r="E3806" s="156">
        <f>'Reported burning'!E3812</f>
        <v>0</v>
      </c>
      <c r="F3806" s="156">
        <f>'Reported burning'!F3812</f>
        <v>0</v>
      </c>
      <c r="G3806" s="156">
        <f>'Reported burning'!G3812</f>
        <v>0</v>
      </c>
      <c r="H3806" s="156">
        <f>'Reported burning'!H3812</f>
        <v>0</v>
      </c>
      <c r="I3806" s="5"/>
    </row>
    <row r="3807" spans="1:9">
      <c r="A3807" s="156">
        <f>'Reported burning'!A3813</f>
        <v>0</v>
      </c>
      <c r="B3807" s="156">
        <f>'Reported burning'!B3813</f>
        <v>0</v>
      </c>
      <c r="C3807" s="156">
        <f>'Reported burning'!C3813</f>
        <v>0</v>
      </c>
      <c r="D3807" s="156">
        <f>'Reported burning'!D3813</f>
        <v>0</v>
      </c>
      <c r="E3807" s="156">
        <f>'Reported burning'!E3813</f>
        <v>0</v>
      </c>
      <c r="F3807" s="156">
        <f>'Reported burning'!F3813</f>
        <v>0</v>
      </c>
      <c r="G3807" s="156">
        <f>'Reported burning'!G3813</f>
        <v>0</v>
      </c>
      <c r="H3807" s="156">
        <f>'Reported burning'!H3813</f>
        <v>0</v>
      </c>
      <c r="I3807" s="5"/>
    </row>
    <row r="3808" spans="1:9">
      <c r="A3808" s="156">
        <f>'Reported burning'!A3814</f>
        <v>0</v>
      </c>
      <c r="B3808" s="156">
        <f>'Reported burning'!B3814</f>
        <v>0</v>
      </c>
      <c r="C3808" s="156">
        <f>'Reported burning'!C3814</f>
        <v>0</v>
      </c>
      <c r="D3808" s="156">
        <f>'Reported burning'!D3814</f>
        <v>0</v>
      </c>
      <c r="E3808" s="156">
        <f>'Reported burning'!E3814</f>
        <v>0</v>
      </c>
      <c r="F3808" s="156">
        <f>'Reported burning'!F3814</f>
        <v>0</v>
      </c>
      <c r="G3808" s="156">
        <f>'Reported burning'!G3814</f>
        <v>0</v>
      </c>
      <c r="H3808" s="156">
        <f>'Reported burning'!H3814</f>
        <v>0</v>
      </c>
      <c r="I3808" s="5"/>
    </row>
    <row r="3809" spans="1:9">
      <c r="A3809" s="156">
        <f>'Reported burning'!A3815</f>
        <v>0</v>
      </c>
      <c r="B3809" s="156">
        <f>'Reported burning'!B3815</f>
        <v>0</v>
      </c>
      <c r="C3809" s="156">
        <f>'Reported burning'!C3815</f>
        <v>0</v>
      </c>
      <c r="D3809" s="156">
        <f>'Reported burning'!D3815</f>
        <v>0</v>
      </c>
      <c r="E3809" s="156">
        <f>'Reported burning'!E3815</f>
        <v>0</v>
      </c>
      <c r="F3809" s="156">
        <f>'Reported burning'!F3815</f>
        <v>0</v>
      </c>
      <c r="G3809" s="156">
        <f>'Reported burning'!G3815</f>
        <v>0</v>
      </c>
      <c r="H3809" s="156">
        <f>'Reported burning'!H3815</f>
        <v>0</v>
      </c>
      <c r="I3809" s="5"/>
    </row>
    <row r="3810" spans="1:9">
      <c r="A3810" s="156">
        <f>'Reported burning'!A3816</f>
        <v>0</v>
      </c>
      <c r="B3810" s="156">
        <f>'Reported burning'!B3816</f>
        <v>0</v>
      </c>
      <c r="C3810" s="156">
        <f>'Reported burning'!C3816</f>
        <v>0</v>
      </c>
      <c r="D3810" s="156">
        <f>'Reported burning'!D3816</f>
        <v>0</v>
      </c>
      <c r="E3810" s="156">
        <f>'Reported burning'!E3816</f>
        <v>0</v>
      </c>
      <c r="F3810" s="156">
        <f>'Reported burning'!F3816</f>
        <v>0</v>
      </c>
      <c r="G3810" s="156">
        <f>'Reported burning'!G3816</f>
        <v>0</v>
      </c>
      <c r="H3810" s="156">
        <f>'Reported burning'!H3816</f>
        <v>0</v>
      </c>
      <c r="I3810" s="5"/>
    </row>
    <row r="3811" spans="1:9">
      <c r="A3811" s="156">
        <f>'Reported burning'!A3817</f>
        <v>0</v>
      </c>
      <c r="B3811" s="156">
        <f>'Reported burning'!B3817</f>
        <v>0</v>
      </c>
      <c r="C3811" s="156">
        <f>'Reported burning'!C3817</f>
        <v>0</v>
      </c>
      <c r="D3811" s="156">
        <f>'Reported burning'!D3817</f>
        <v>0</v>
      </c>
      <c r="E3811" s="156">
        <f>'Reported burning'!E3817</f>
        <v>0</v>
      </c>
      <c r="F3811" s="156">
        <f>'Reported burning'!F3817</f>
        <v>0</v>
      </c>
      <c r="G3811" s="156">
        <f>'Reported burning'!G3817</f>
        <v>0</v>
      </c>
      <c r="H3811" s="156">
        <f>'Reported burning'!H3817</f>
        <v>0</v>
      </c>
      <c r="I3811" s="5"/>
    </row>
    <row r="3812" spans="1:9">
      <c r="A3812" s="156">
        <f>'Reported burning'!A3818</f>
        <v>0</v>
      </c>
      <c r="B3812" s="156">
        <f>'Reported burning'!B3818</f>
        <v>0</v>
      </c>
      <c r="C3812" s="156">
        <f>'Reported burning'!C3818</f>
        <v>0</v>
      </c>
      <c r="D3812" s="156">
        <f>'Reported burning'!D3818</f>
        <v>0</v>
      </c>
      <c r="E3812" s="156">
        <f>'Reported burning'!E3818</f>
        <v>0</v>
      </c>
      <c r="F3812" s="156">
        <f>'Reported burning'!F3818</f>
        <v>0</v>
      </c>
      <c r="G3812" s="156">
        <f>'Reported burning'!G3818</f>
        <v>0</v>
      </c>
      <c r="H3812" s="156">
        <f>'Reported burning'!H3818</f>
        <v>0</v>
      </c>
      <c r="I3812" s="5"/>
    </row>
    <row r="3813" spans="1:9">
      <c r="A3813" s="156">
        <f>'Reported burning'!A3819</f>
        <v>0</v>
      </c>
      <c r="B3813" s="156">
        <f>'Reported burning'!B3819</f>
        <v>0</v>
      </c>
      <c r="C3813" s="156">
        <f>'Reported burning'!C3819</f>
        <v>0</v>
      </c>
      <c r="D3813" s="156">
        <f>'Reported burning'!D3819</f>
        <v>0</v>
      </c>
      <c r="E3813" s="156">
        <f>'Reported burning'!E3819</f>
        <v>0</v>
      </c>
      <c r="F3813" s="156">
        <f>'Reported burning'!F3819</f>
        <v>0</v>
      </c>
      <c r="G3813" s="156">
        <f>'Reported burning'!G3819</f>
        <v>0</v>
      </c>
      <c r="H3813" s="156">
        <f>'Reported burning'!H3819</f>
        <v>0</v>
      </c>
      <c r="I3813" s="5"/>
    </row>
    <row r="3814" spans="1:9">
      <c r="A3814" s="156">
        <f>'Reported burning'!A3820</f>
        <v>0</v>
      </c>
      <c r="B3814" s="156">
        <f>'Reported burning'!B3820</f>
        <v>0</v>
      </c>
      <c r="C3814" s="156">
        <f>'Reported burning'!C3820</f>
        <v>0</v>
      </c>
      <c r="D3814" s="156">
        <f>'Reported burning'!D3820</f>
        <v>0</v>
      </c>
      <c r="E3814" s="156">
        <f>'Reported burning'!E3820</f>
        <v>0</v>
      </c>
      <c r="F3814" s="156">
        <f>'Reported burning'!F3820</f>
        <v>0</v>
      </c>
      <c r="G3814" s="156">
        <f>'Reported burning'!G3820</f>
        <v>0</v>
      </c>
      <c r="H3814" s="156">
        <f>'Reported burning'!H3820</f>
        <v>0</v>
      </c>
      <c r="I3814" s="5"/>
    </row>
    <row r="3815" spans="1:9">
      <c r="A3815" s="156">
        <f>'Reported burning'!A3821</f>
        <v>0</v>
      </c>
      <c r="B3815" s="156">
        <f>'Reported burning'!B3821</f>
        <v>0</v>
      </c>
      <c r="C3815" s="156">
        <f>'Reported burning'!C3821</f>
        <v>0</v>
      </c>
      <c r="D3815" s="156">
        <f>'Reported burning'!D3821</f>
        <v>0</v>
      </c>
      <c r="E3815" s="156">
        <f>'Reported burning'!E3821</f>
        <v>0</v>
      </c>
      <c r="F3815" s="156">
        <f>'Reported burning'!F3821</f>
        <v>0</v>
      </c>
      <c r="G3815" s="156">
        <f>'Reported burning'!G3821</f>
        <v>0</v>
      </c>
      <c r="H3815" s="156">
        <f>'Reported burning'!H3821</f>
        <v>0</v>
      </c>
      <c r="I3815" s="5"/>
    </row>
    <row r="3816" spans="1:9">
      <c r="A3816" s="156">
        <f>'Reported burning'!A3822</f>
        <v>0</v>
      </c>
      <c r="B3816" s="156">
        <f>'Reported burning'!B3822</f>
        <v>0</v>
      </c>
      <c r="C3816" s="156">
        <f>'Reported burning'!C3822</f>
        <v>0</v>
      </c>
      <c r="D3816" s="156">
        <f>'Reported burning'!D3822</f>
        <v>0</v>
      </c>
      <c r="E3816" s="156">
        <f>'Reported burning'!E3822</f>
        <v>0</v>
      </c>
      <c r="F3816" s="156">
        <f>'Reported burning'!F3822</f>
        <v>0</v>
      </c>
      <c r="G3816" s="156">
        <f>'Reported burning'!G3822</f>
        <v>0</v>
      </c>
      <c r="H3816" s="156">
        <f>'Reported burning'!H3822</f>
        <v>0</v>
      </c>
      <c r="I3816" s="5"/>
    </row>
    <row r="3817" spans="1:9">
      <c r="A3817" s="156">
        <f>'Reported burning'!A3823</f>
        <v>0</v>
      </c>
      <c r="B3817" s="156">
        <f>'Reported burning'!B3823</f>
        <v>0</v>
      </c>
      <c r="C3817" s="156">
        <f>'Reported burning'!C3823</f>
        <v>0</v>
      </c>
      <c r="D3817" s="156">
        <f>'Reported burning'!D3823</f>
        <v>0</v>
      </c>
      <c r="E3817" s="156">
        <f>'Reported burning'!E3823</f>
        <v>0</v>
      </c>
      <c r="F3817" s="156">
        <f>'Reported burning'!F3823</f>
        <v>0</v>
      </c>
      <c r="G3817" s="156">
        <f>'Reported burning'!G3823</f>
        <v>0</v>
      </c>
      <c r="H3817" s="156">
        <f>'Reported burning'!H3823</f>
        <v>0</v>
      </c>
      <c r="I3817" s="5"/>
    </row>
    <row r="3818" spans="1:9">
      <c r="A3818" s="156">
        <f>'Reported burning'!A3824</f>
        <v>0</v>
      </c>
      <c r="B3818" s="156">
        <f>'Reported burning'!B3824</f>
        <v>0</v>
      </c>
      <c r="C3818" s="156">
        <f>'Reported burning'!C3824</f>
        <v>0</v>
      </c>
      <c r="D3818" s="156">
        <f>'Reported burning'!D3824</f>
        <v>0</v>
      </c>
      <c r="E3818" s="156">
        <f>'Reported burning'!E3824</f>
        <v>0</v>
      </c>
      <c r="F3818" s="156">
        <f>'Reported burning'!F3824</f>
        <v>0</v>
      </c>
      <c r="G3818" s="156">
        <f>'Reported burning'!G3824</f>
        <v>0</v>
      </c>
      <c r="H3818" s="156">
        <f>'Reported burning'!H3824</f>
        <v>0</v>
      </c>
      <c r="I3818" s="5"/>
    </row>
    <row r="3819" spans="1:9">
      <c r="A3819" s="156">
        <f>'Reported burning'!A3825</f>
        <v>0</v>
      </c>
      <c r="B3819" s="156">
        <f>'Reported burning'!B3825</f>
        <v>0</v>
      </c>
      <c r="C3819" s="156">
        <f>'Reported burning'!C3825</f>
        <v>0</v>
      </c>
      <c r="D3819" s="156">
        <f>'Reported burning'!D3825</f>
        <v>0</v>
      </c>
      <c r="E3819" s="156">
        <f>'Reported burning'!E3825</f>
        <v>0</v>
      </c>
      <c r="F3819" s="156">
        <f>'Reported burning'!F3825</f>
        <v>0</v>
      </c>
      <c r="G3819" s="156">
        <f>'Reported burning'!G3825</f>
        <v>0</v>
      </c>
      <c r="H3819" s="156">
        <f>'Reported burning'!H3825</f>
        <v>0</v>
      </c>
      <c r="I3819" s="5"/>
    </row>
    <row r="3820" spans="1:9">
      <c r="A3820" s="156">
        <f>'Reported burning'!A3826</f>
        <v>0</v>
      </c>
      <c r="B3820" s="156">
        <f>'Reported burning'!B3826</f>
        <v>0</v>
      </c>
      <c r="C3820" s="156">
        <f>'Reported burning'!C3826</f>
        <v>0</v>
      </c>
      <c r="D3820" s="156">
        <f>'Reported burning'!D3826</f>
        <v>0</v>
      </c>
      <c r="E3820" s="156">
        <f>'Reported burning'!E3826</f>
        <v>0</v>
      </c>
      <c r="F3820" s="156">
        <f>'Reported burning'!F3826</f>
        <v>0</v>
      </c>
      <c r="G3820" s="156">
        <f>'Reported burning'!G3826</f>
        <v>0</v>
      </c>
      <c r="H3820" s="156">
        <f>'Reported burning'!H3826</f>
        <v>0</v>
      </c>
      <c r="I3820" s="5"/>
    </row>
    <row r="3821" spans="1:9">
      <c r="A3821" s="156">
        <f>'Reported burning'!A3827</f>
        <v>0</v>
      </c>
      <c r="B3821" s="156">
        <f>'Reported burning'!B3827</f>
        <v>0</v>
      </c>
      <c r="C3821" s="156">
        <f>'Reported burning'!C3827</f>
        <v>0</v>
      </c>
      <c r="D3821" s="156">
        <f>'Reported burning'!D3827</f>
        <v>0</v>
      </c>
      <c r="E3821" s="156">
        <f>'Reported burning'!E3827</f>
        <v>0</v>
      </c>
      <c r="F3821" s="156">
        <f>'Reported burning'!F3827</f>
        <v>0</v>
      </c>
      <c r="G3821" s="156">
        <f>'Reported burning'!G3827</f>
        <v>0</v>
      </c>
      <c r="H3821" s="156">
        <f>'Reported burning'!H3827</f>
        <v>0</v>
      </c>
      <c r="I3821" s="5"/>
    </row>
    <row r="3822" spans="1:9">
      <c r="A3822" s="156">
        <f>'Reported burning'!A3828</f>
        <v>0</v>
      </c>
      <c r="B3822" s="156">
        <f>'Reported burning'!B3828</f>
        <v>0</v>
      </c>
      <c r="C3822" s="156">
        <f>'Reported burning'!C3828</f>
        <v>0</v>
      </c>
      <c r="D3822" s="156">
        <f>'Reported burning'!D3828</f>
        <v>0</v>
      </c>
      <c r="E3822" s="156">
        <f>'Reported burning'!E3828</f>
        <v>0</v>
      </c>
      <c r="F3822" s="156">
        <f>'Reported burning'!F3828</f>
        <v>0</v>
      </c>
      <c r="G3822" s="156">
        <f>'Reported burning'!G3828</f>
        <v>0</v>
      </c>
      <c r="H3822" s="156">
        <f>'Reported burning'!H3828</f>
        <v>0</v>
      </c>
      <c r="I3822" s="5"/>
    </row>
    <row r="3823" spans="1:9">
      <c r="A3823" s="156">
        <f>'Reported burning'!A3829</f>
        <v>0</v>
      </c>
      <c r="B3823" s="156">
        <f>'Reported burning'!B3829</f>
        <v>0</v>
      </c>
      <c r="C3823" s="156">
        <f>'Reported burning'!C3829</f>
        <v>0</v>
      </c>
      <c r="D3823" s="156">
        <f>'Reported burning'!D3829</f>
        <v>0</v>
      </c>
      <c r="E3823" s="156">
        <f>'Reported burning'!E3829</f>
        <v>0</v>
      </c>
      <c r="F3823" s="156">
        <f>'Reported burning'!F3829</f>
        <v>0</v>
      </c>
      <c r="G3823" s="156">
        <f>'Reported burning'!G3829</f>
        <v>0</v>
      </c>
      <c r="H3823" s="156">
        <f>'Reported burning'!H3829</f>
        <v>0</v>
      </c>
      <c r="I3823" s="5"/>
    </row>
    <row r="3824" spans="1:9">
      <c r="A3824" s="156">
        <f>'Reported burning'!A3830</f>
        <v>0</v>
      </c>
      <c r="B3824" s="156">
        <f>'Reported burning'!B3830</f>
        <v>0</v>
      </c>
      <c r="C3824" s="156">
        <f>'Reported burning'!C3830</f>
        <v>0</v>
      </c>
      <c r="D3824" s="156">
        <f>'Reported burning'!D3830</f>
        <v>0</v>
      </c>
      <c r="E3824" s="156">
        <f>'Reported burning'!E3830</f>
        <v>0</v>
      </c>
      <c r="F3824" s="156">
        <f>'Reported burning'!F3830</f>
        <v>0</v>
      </c>
      <c r="G3824" s="156">
        <f>'Reported burning'!G3830</f>
        <v>0</v>
      </c>
      <c r="H3824" s="156">
        <f>'Reported burning'!H3830</f>
        <v>0</v>
      </c>
      <c r="I3824" s="5"/>
    </row>
    <row r="3825" spans="1:9">
      <c r="A3825" s="156">
        <f>'Reported burning'!A3831</f>
        <v>0</v>
      </c>
      <c r="B3825" s="156">
        <f>'Reported burning'!B3831</f>
        <v>0</v>
      </c>
      <c r="C3825" s="156">
        <f>'Reported burning'!C3831</f>
        <v>0</v>
      </c>
      <c r="D3825" s="156">
        <f>'Reported burning'!D3831</f>
        <v>0</v>
      </c>
      <c r="E3825" s="156">
        <f>'Reported burning'!E3831</f>
        <v>0</v>
      </c>
      <c r="F3825" s="156">
        <f>'Reported burning'!F3831</f>
        <v>0</v>
      </c>
      <c r="G3825" s="156">
        <f>'Reported burning'!G3831</f>
        <v>0</v>
      </c>
      <c r="H3825" s="156">
        <f>'Reported burning'!H3831</f>
        <v>0</v>
      </c>
      <c r="I3825" s="5"/>
    </row>
    <row r="3826" spans="1:9">
      <c r="A3826" s="156">
        <f>'Reported burning'!A3832</f>
        <v>0</v>
      </c>
      <c r="B3826" s="156">
        <f>'Reported burning'!B3832</f>
        <v>0</v>
      </c>
      <c r="C3826" s="156">
        <f>'Reported burning'!C3832</f>
        <v>0</v>
      </c>
      <c r="D3826" s="156">
        <f>'Reported burning'!D3832</f>
        <v>0</v>
      </c>
      <c r="E3826" s="156">
        <f>'Reported burning'!E3832</f>
        <v>0</v>
      </c>
      <c r="F3826" s="156">
        <f>'Reported burning'!F3832</f>
        <v>0</v>
      </c>
      <c r="G3826" s="156">
        <f>'Reported burning'!G3832</f>
        <v>0</v>
      </c>
      <c r="H3826" s="156">
        <f>'Reported burning'!H3832</f>
        <v>0</v>
      </c>
      <c r="I3826" s="5"/>
    </row>
    <row r="3827" spans="1:9">
      <c r="A3827" s="156">
        <f>'Reported burning'!A3833</f>
        <v>0</v>
      </c>
      <c r="B3827" s="156">
        <f>'Reported burning'!B3833</f>
        <v>0</v>
      </c>
      <c r="C3827" s="156">
        <f>'Reported burning'!C3833</f>
        <v>0</v>
      </c>
      <c r="D3827" s="156">
        <f>'Reported burning'!D3833</f>
        <v>0</v>
      </c>
      <c r="E3827" s="156">
        <f>'Reported burning'!E3833</f>
        <v>0</v>
      </c>
      <c r="F3827" s="156">
        <f>'Reported burning'!F3833</f>
        <v>0</v>
      </c>
      <c r="G3827" s="156">
        <f>'Reported burning'!G3833</f>
        <v>0</v>
      </c>
      <c r="H3827" s="156">
        <f>'Reported burning'!H3833</f>
        <v>0</v>
      </c>
      <c r="I3827" s="5"/>
    </row>
    <row r="3828" spans="1:9">
      <c r="A3828" s="156">
        <f>'Reported burning'!A3834</f>
        <v>0</v>
      </c>
      <c r="B3828" s="156">
        <f>'Reported burning'!B3834</f>
        <v>0</v>
      </c>
      <c r="C3828" s="156">
        <f>'Reported burning'!C3834</f>
        <v>0</v>
      </c>
      <c r="D3828" s="156">
        <f>'Reported burning'!D3834</f>
        <v>0</v>
      </c>
      <c r="E3828" s="156">
        <f>'Reported burning'!E3834</f>
        <v>0</v>
      </c>
      <c r="F3828" s="156">
        <f>'Reported burning'!F3834</f>
        <v>0</v>
      </c>
      <c r="G3828" s="156">
        <f>'Reported burning'!G3834</f>
        <v>0</v>
      </c>
      <c r="H3828" s="156">
        <f>'Reported burning'!H3834</f>
        <v>0</v>
      </c>
      <c r="I3828" s="5"/>
    </row>
    <row r="3829" spans="1:9">
      <c r="A3829" s="156">
        <f>'Reported burning'!A3835</f>
        <v>0</v>
      </c>
      <c r="B3829" s="156">
        <f>'Reported burning'!B3835</f>
        <v>0</v>
      </c>
      <c r="C3829" s="156">
        <f>'Reported burning'!C3835</f>
        <v>0</v>
      </c>
      <c r="D3829" s="156">
        <f>'Reported burning'!D3835</f>
        <v>0</v>
      </c>
      <c r="E3829" s="156">
        <f>'Reported burning'!E3835</f>
        <v>0</v>
      </c>
      <c r="F3829" s="156">
        <f>'Reported burning'!F3835</f>
        <v>0</v>
      </c>
      <c r="G3829" s="156">
        <f>'Reported burning'!G3835</f>
        <v>0</v>
      </c>
      <c r="H3829" s="156">
        <f>'Reported burning'!H3835</f>
        <v>0</v>
      </c>
      <c r="I3829" s="5"/>
    </row>
    <row r="3830" spans="1:9">
      <c r="A3830" s="156">
        <f>'Reported burning'!A3836</f>
        <v>0</v>
      </c>
      <c r="B3830" s="156">
        <f>'Reported burning'!B3836</f>
        <v>0</v>
      </c>
      <c r="C3830" s="156">
        <f>'Reported burning'!C3836</f>
        <v>0</v>
      </c>
      <c r="D3830" s="156">
        <f>'Reported burning'!D3836</f>
        <v>0</v>
      </c>
      <c r="E3830" s="156">
        <f>'Reported burning'!E3836</f>
        <v>0</v>
      </c>
      <c r="F3830" s="156">
        <f>'Reported burning'!F3836</f>
        <v>0</v>
      </c>
      <c r="G3830" s="156">
        <f>'Reported burning'!G3836</f>
        <v>0</v>
      </c>
      <c r="H3830" s="156">
        <f>'Reported burning'!H3836</f>
        <v>0</v>
      </c>
      <c r="I3830" s="5"/>
    </row>
    <row r="3831" spans="1:9">
      <c r="A3831" s="156">
        <f>'Reported burning'!A3837</f>
        <v>0</v>
      </c>
      <c r="B3831" s="156">
        <f>'Reported burning'!B3837</f>
        <v>0</v>
      </c>
      <c r="C3831" s="156">
        <f>'Reported burning'!C3837</f>
        <v>0</v>
      </c>
      <c r="D3831" s="156">
        <f>'Reported burning'!D3837</f>
        <v>0</v>
      </c>
      <c r="E3831" s="156">
        <f>'Reported burning'!E3837</f>
        <v>0</v>
      </c>
      <c r="F3831" s="156">
        <f>'Reported burning'!F3837</f>
        <v>0</v>
      </c>
      <c r="G3831" s="156">
        <f>'Reported burning'!G3837</f>
        <v>0</v>
      </c>
      <c r="H3831" s="156">
        <f>'Reported burning'!H3837</f>
        <v>0</v>
      </c>
      <c r="I3831" s="5"/>
    </row>
    <row r="3832" spans="1:9">
      <c r="A3832" s="156">
        <f>'Reported burning'!A3838</f>
        <v>0</v>
      </c>
      <c r="B3832" s="156">
        <f>'Reported burning'!B3838</f>
        <v>0</v>
      </c>
      <c r="C3832" s="156">
        <f>'Reported burning'!C3838</f>
        <v>0</v>
      </c>
      <c r="D3832" s="156">
        <f>'Reported burning'!D3838</f>
        <v>0</v>
      </c>
      <c r="E3832" s="156">
        <f>'Reported burning'!E3838</f>
        <v>0</v>
      </c>
      <c r="F3832" s="156">
        <f>'Reported burning'!F3838</f>
        <v>0</v>
      </c>
      <c r="G3832" s="156">
        <f>'Reported burning'!G3838</f>
        <v>0</v>
      </c>
      <c r="H3832" s="156">
        <f>'Reported burning'!H3838</f>
        <v>0</v>
      </c>
      <c r="I3832" s="5"/>
    </row>
    <row r="3833" spans="1:9">
      <c r="A3833" s="156">
        <f>'Reported burning'!A3839</f>
        <v>0</v>
      </c>
      <c r="B3833" s="156">
        <f>'Reported burning'!B3839</f>
        <v>0</v>
      </c>
      <c r="C3833" s="156">
        <f>'Reported burning'!C3839</f>
        <v>0</v>
      </c>
      <c r="D3833" s="156">
        <f>'Reported burning'!D3839</f>
        <v>0</v>
      </c>
      <c r="E3833" s="156">
        <f>'Reported burning'!E3839</f>
        <v>0</v>
      </c>
      <c r="F3833" s="156">
        <f>'Reported burning'!F3839</f>
        <v>0</v>
      </c>
      <c r="G3833" s="156">
        <f>'Reported burning'!G3839</f>
        <v>0</v>
      </c>
      <c r="H3833" s="156">
        <f>'Reported burning'!H3839</f>
        <v>0</v>
      </c>
      <c r="I3833" s="5"/>
    </row>
    <row r="3834" spans="1:9">
      <c r="A3834" s="156">
        <f>'Reported burning'!A3840</f>
        <v>0</v>
      </c>
      <c r="B3834" s="156">
        <f>'Reported burning'!B3840</f>
        <v>0</v>
      </c>
      <c r="C3834" s="156">
        <f>'Reported burning'!C3840</f>
        <v>0</v>
      </c>
      <c r="D3834" s="156">
        <f>'Reported burning'!D3840</f>
        <v>0</v>
      </c>
      <c r="E3834" s="156">
        <f>'Reported burning'!E3840</f>
        <v>0</v>
      </c>
      <c r="F3834" s="156">
        <f>'Reported burning'!F3840</f>
        <v>0</v>
      </c>
      <c r="G3834" s="156">
        <f>'Reported burning'!G3840</f>
        <v>0</v>
      </c>
      <c r="H3834" s="156">
        <f>'Reported burning'!H3840</f>
        <v>0</v>
      </c>
      <c r="I3834" s="5"/>
    </row>
    <row r="3835" spans="1:9">
      <c r="A3835" s="156">
        <f>'Reported burning'!A3841</f>
        <v>0</v>
      </c>
      <c r="B3835" s="156">
        <f>'Reported burning'!B3841</f>
        <v>0</v>
      </c>
      <c r="C3835" s="156">
        <f>'Reported burning'!C3841</f>
        <v>0</v>
      </c>
      <c r="D3835" s="156">
        <f>'Reported burning'!D3841</f>
        <v>0</v>
      </c>
      <c r="E3835" s="156">
        <f>'Reported burning'!E3841</f>
        <v>0</v>
      </c>
      <c r="F3835" s="156">
        <f>'Reported burning'!F3841</f>
        <v>0</v>
      </c>
      <c r="G3835" s="156">
        <f>'Reported burning'!G3841</f>
        <v>0</v>
      </c>
      <c r="H3835" s="156">
        <f>'Reported burning'!H3841</f>
        <v>0</v>
      </c>
      <c r="I3835" s="5"/>
    </row>
    <row r="3836" spans="1:9">
      <c r="A3836" s="156">
        <f>'Reported burning'!A3842</f>
        <v>0</v>
      </c>
      <c r="B3836" s="156">
        <f>'Reported burning'!B3842</f>
        <v>0</v>
      </c>
      <c r="C3836" s="156">
        <f>'Reported burning'!C3842</f>
        <v>0</v>
      </c>
      <c r="D3836" s="156">
        <f>'Reported burning'!D3842</f>
        <v>0</v>
      </c>
      <c r="E3836" s="156">
        <f>'Reported burning'!E3842</f>
        <v>0</v>
      </c>
      <c r="F3836" s="156">
        <f>'Reported burning'!F3842</f>
        <v>0</v>
      </c>
      <c r="G3836" s="156">
        <f>'Reported burning'!G3842</f>
        <v>0</v>
      </c>
      <c r="H3836" s="156">
        <f>'Reported burning'!H3842</f>
        <v>0</v>
      </c>
      <c r="I3836" s="5"/>
    </row>
    <row r="3837" spans="1:9">
      <c r="A3837" s="156">
        <f>'Reported burning'!A3843</f>
        <v>0</v>
      </c>
      <c r="B3837" s="156">
        <f>'Reported burning'!B3843</f>
        <v>0</v>
      </c>
      <c r="C3837" s="156">
        <f>'Reported burning'!C3843</f>
        <v>0</v>
      </c>
      <c r="D3837" s="156">
        <f>'Reported burning'!D3843</f>
        <v>0</v>
      </c>
      <c r="E3837" s="156">
        <f>'Reported burning'!E3843</f>
        <v>0</v>
      </c>
      <c r="F3837" s="156">
        <f>'Reported burning'!F3843</f>
        <v>0</v>
      </c>
      <c r="G3837" s="156">
        <f>'Reported burning'!G3843</f>
        <v>0</v>
      </c>
      <c r="H3837" s="156">
        <f>'Reported burning'!H3843</f>
        <v>0</v>
      </c>
      <c r="I3837" s="5"/>
    </row>
    <row r="3838" spans="1:9">
      <c r="A3838" s="156">
        <f>'Reported burning'!A3844</f>
        <v>0</v>
      </c>
      <c r="B3838" s="156">
        <f>'Reported burning'!B3844</f>
        <v>0</v>
      </c>
      <c r="C3838" s="156">
        <f>'Reported burning'!C3844</f>
        <v>0</v>
      </c>
      <c r="D3838" s="156">
        <f>'Reported burning'!D3844</f>
        <v>0</v>
      </c>
      <c r="E3838" s="156">
        <f>'Reported burning'!E3844</f>
        <v>0</v>
      </c>
      <c r="F3838" s="156">
        <f>'Reported burning'!F3844</f>
        <v>0</v>
      </c>
      <c r="G3838" s="156">
        <f>'Reported burning'!G3844</f>
        <v>0</v>
      </c>
      <c r="H3838" s="156">
        <f>'Reported burning'!H3844</f>
        <v>0</v>
      </c>
      <c r="I3838" s="5"/>
    </row>
    <row r="3839" spans="1:9">
      <c r="A3839" s="156">
        <f>'Reported burning'!A3845</f>
        <v>0</v>
      </c>
      <c r="B3839" s="156">
        <f>'Reported burning'!B3845</f>
        <v>0</v>
      </c>
      <c r="C3839" s="156">
        <f>'Reported burning'!C3845</f>
        <v>0</v>
      </c>
      <c r="D3839" s="156">
        <f>'Reported burning'!D3845</f>
        <v>0</v>
      </c>
      <c r="E3839" s="156">
        <f>'Reported burning'!E3845</f>
        <v>0</v>
      </c>
      <c r="F3839" s="156">
        <f>'Reported burning'!F3845</f>
        <v>0</v>
      </c>
      <c r="G3839" s="156">
        <f>'Reported burning'!G3845</f>
        <v>0</v>
      </c>
      <c r="H3839" s="156">
        <f>'Reported burning'!H3845</f>
        <v>0</v>
      </c>
      <c r="I3839" s="5"/>
    </row>
    <row r="3840" spans="1:9">
      <c r="A3840" s="156">
        <f>'Reported burning'!A3846</f>
        <v>0</v>
      </c>
      <c r="B3840" s="156">
        <f>'Reported burning'!B3846</f>
        <v>0</v>
      </c>
      <c r="C3840" s="156">
        <f>'Reported burning'!C3846</f>
        <v>0</v>
      </c>
      <c r="D3840" s="156">
        <f>'Reported burning'!D3846</f>
        <v>0</v>
      </c>
      <c r="E3840" s="156">
        <f>'Reported burning'!E3846</f>
        <v>0</v>
      </c>
      <c r="F3840" s="156">
        <f>'Reported burning'!F3846</f>
        <v>0</v>
      </c>
      <c r="G3840" s="156">
        <f>'Reported burning'!G3846</f>
        <v>0</v>
      </c>
      <c r="H3840" s="156">
        <f>'Reported burning'!H3846</f>
        <v>0</v>
      </c>
      <c r="I3840" s="5"/>
    </row>
    <row r="3841" spans="1:9">
      <c r="A3841" s="156">
        <f>'Reported burning'!A3847</f>
        <v>0</v>
      </c>
      <c r="B3841" s="156">
        <f>'Reported burning'!B3847</f>
        <v>0</v>
      </c>
      <c r="C3841" s="156">
        <f>'Reported burning'!C3847</f>
        <v>0</v>
      </c>
      <c r="D3841" s="156">
        <f>'Reported burning'!D3847</f>
        <v>0</v>
      </c>
      <c r="E3841" s="156">
        <f>'Reported burning'!E3847</f>
        <v>0</v>
      </c>
      <c r="F3841" s="156">
        <f>'Reported burning'!F3847</f>
        <v>0</v>
      </c>
      <c r="G3841" s="156">
        <f>'Reported burning'!G3847</f>
        <v>0</v>
      </c>
      <c r="H3841" s="156">
        <f>'Reported burning'!H3847</f>
        <v>0</v>
      </c>
      <c r="I3841" s="5"/>
    </row>
    <row r="3842" spans="1:9">
      <c r="A3842" s="156">
        <f>'Reported burning'!A3848</f>
        <v>0</v>
      </c>
      <c r="B3842" s="156">
        <f>'Reported burning'!B3848</f>
        <v>0</v>
      </c>
      <c r="C3842" s="156">
        <f>'Reported burning'!C3848</f>
        <v>0</v>
      </c>
      <c r="D3842" s="156">
        <f>'Reported burning'!D3848</f>
        <v>0</v>
      </c>
      <c r="E3842" s="156">
        <f>'Reported burning'!E3848</f>
        <v>0</v>
      </c>
      <c r="F3842" s="156">
        <f>'Reported burning'!F3848</f>
        <v>0</v>
      </c>
      <c r="G3842" s="156">
        <f>'Reported burning'!G3848</f>
        <v>0</v>
      </c>
      <c r="H3842" s="156">
        <f>'Reported burning'!H3848</f>
        <v>0</v>
      </c>
      <c r="I3842" s="5"/>
    </row>
    <row r="3843" spans="1:9">
      <c r="A3843" s="156">
        <f>'Reported burning'!A3849</f>
        <v>0</v>
      </c>
      <c r="B3843" s="156">
        <f>'Reported burning'!B3849</f>
        <v>0</v>
      </c>
      <c r="C3843" s="156">
        <f>'Reported burning'!C3849</f>
        <v>0</v>
      </c>
      <c r="D3843" s="156">
        <f>'Reported burning'!D3849</f>
        <v>0</v>
      </c>
      <c r="E3843" s="156">
        <f>'Reported burning'!E3849</f>
        <v>0</v>
      </c>
      <c r="F3843" s="156">
        <f>'Reported burning'!F3849</f>
        <v>0</v>
      </c>
      <c r="G3843" s="156">
        <f>'Reported burning'!G3849</f>
        <v>0</v>
      </c>
      <c r="H3843" s="156">
        <f>'Reported burning'!H3849</f>
        <v>0</v>
      </c>
      <c r="I3843" s="5"/>
    </row>
    <row r="3844" spans="1:9">
      <c r="A3844" s="156">
        <f>'Reported burning'!A3850</f>
        <v>0</v>
      </c>
      <c r="B3844" s="156">
        <f>'Reported burning'!B3850</f>
        <v>0</v>
      </c>
      <c r="C3844" s="156">
        <f>'Reported burning'!C3850</f>
        <v>0</v>
      </c>
      <c r="D3844" s="156">
        <f>'Reported burning'!D3850</f>
        <v>0</v>
      </c>
      <c r="E3844" s="156">
        <f>'Reported burning'!E3850</f>
        <v>0</v>
      </c>
      <c r="F3844" s="156">
        <f>'Reported burning'!F3850</f>
        <v>0</v>
      </c>
      <c r="G3844" s="156">
        <f>'Reported burning'!G3850</f>
        <v>0</v>
      </c>
      <c r="H3844" s="156">
        <f>'Reported burning'!H3850</f>
        <v>0</v>
      </c>
      <c r="I3844" s="5"/>
    </row>
    <row r="3845" spans="1:9">
      <c r="A3845" s="156">
        <f>'Reported burning'!A3851</f>
        <v>0</v>
      </c>
      <c r="B3845" s="156">
        <f>'Reported burning'!B3851</f>
        <v>0</v>
      </c>
      <c r="C3845" s="156">
        <f>'Reported burning'!C3851</f>
        <v>0</v>
      </c>
      <c r="D3845" s="156">
        <f>'Reported burning'!D3851</f>
        <v>0</v>
      </c>
      <c r="E3845" s="156">
        <f>'Reported burning'!E3851</f>
        <v>0</v>
      </c>
      <c r="F3845" s="156">
        <f>'Reported burning'!F3851</f>
        <v>0</v>
      </c>
      <c r="G3845" s="156">
        <f>'Reported burning'!G3851</f>
        <v>0</v>
      </c>
      <c r="H3845" s="156">
        <f>'Reported burning'!H3851</f>
        <v>0</v>
      </c>
      <c r="I3845" s="5"/>
    </row>
    <row r="3846" spans="1:9">
      <c r="A3846" s="156">
        <f>'Reported burning'!A3852</f>
        <v>0</v>
      </c>
      <c r="B3846" s="156">
        <f>'Reported burning'!B3852</f>
        <v>0</v>
      </c>
      <c r="C3846" s="156">
        <f>'Reported burning'!C3852</f>
        <v>0</v>
      </c>
      <c r="D3846" s="156">
        <f>'Reported burning'!D3852</f>
        <v>0</v>
      </c>
      <c r="E3846" s="156">
        <f>'Reported burning'!E3852</f>
        <v>0</v>
      </c>
      <c r="F3846" s="156">
        <f>'Reported burning'!F3852</f>
        <v>0</v>
      </c>
      <c r="G3846" s="156">
        <f>'Reported burning'!G3852</f>
        <v>0</v>
      </c>
      <c r="H3846" s="156">
        <f>'Reported burning'!H3852</f>
        <v>0</v>
      </c>
      <c r="I3846" s="5"/>
    </row>
    <row r="3847" spans="1:9">
      <c r="A3847" s="156">
        <f>'Reported burning'!A3853</f>
        <v>0</v>
      </c>
      <c r="B3847" s="156">
        <f>'Reported burning'!B3853</f>
        <v>0</v>
      </c>
      <c r="C3847" s="156">
        <f>'Reported burning'!C3853</f>
        <v>0</v>
      </c>
      <c r="D3847" s="156">
        <f>'Reported burning'!D3853</f>
        <v>0</v>
      </c>
      <c r="E3847" s="156">
        <f>'Reported burning'!E3853</f>
        <v>0</v>
      </c>
      <c r="F3847" s="156">
        <f>'Reported burning'!F3853</f>
        <v>0</v>
      </c>
      <c r="G3847" s="156">
        <f>'Reported burning'!G3853</f>
        <v>0</v>
      </c>
      <c r="H3847" s="156">
        <f>'Reported burning'!H3853</f>
        <v>0</v>
      </c>
      <c r="I3847" s="5"/>
    </row>
    <row r="3848" spans="1:9">
      <c r="A3848" s="156">
        <f>'Reported burning'!A3854</f>
        <v>0</v>
      </c>
      <c r="B3848" s="156">
        <f>'Reported burning'!B3854</f>
        <v>0</v>
      </c>
      <c r="C3848" s="156">
        <f>'Reported burning'!C3854</f>
        <v>0</v>
      </c>
      <c r="D3848" s="156">
        <f>'Reported burning'!D3854</f>
        <v>0</v>
      </c>
      <c r="E3848" s="156">
        <f>'Reported burning'!E3854</f>
        <v>0</v>
      </c>
      <c r="F3848" s="156">
        <f>'Reported burning'!F3854</f>
        <v>0</v>
      </c>
      <c r="G3848" s="156">
        <f>'Reported burning'!G3854</f>
        <v>0</v>
      </c>
      <c r="H3848" s="156">
        <f>'Reported burning'!H3854</f>
        <v>0</v>
      </c>
      <c r="I3848" s="5"/>
    </row>
    <row r="3849" spans="1:9">
      <c r="A3849" s="156">
        <f>'Reported burning'!A3855</f>
        <v>0</v>
      </c>
      <c r="B3849" s="156">
        <f>'Reported burning'!B3855</f>
        <v>0</v>
      </c>
      <c r="C3849" s="156">
        <f>'Reported burning'!C3855</f>
        <v>0</v>
      </c>
      <c r="D3849" s="156">
        <f>'Reported burning'!D3855</f>
        <v>0</v>
      </c>
      <c r="E3849" s="156">
        <f>'Reported burning'!E3855</f>
        <v>0</v>
      </c>
      <c r="F3849" s="156">
        <f>'Reported burning'!F3855</f>
        <v>0</v>
      </c>
      <c r="G3849" s="156">
        <f>'Reported burning'!G3855</f>
        <v>0</v>
      </c>
      <c r="H3849" s="156">
        <f>'Reported burning'!H3855</f>
        <v>0</v>
      </c>
      <c r="I3849" s="5"/>
    </row>
    <row r="3850" spans="1:9">
      <c r="A3850" s="156">
        <f>'Reported burning'!A3856</f>
        <v>0</v>
      </c>
      <c r="B3850" s="156">
        <f>'Reported burning'!B3856</f>
        <v>0</v>
      </c>
      <c r="C3850" s="156">
        <f>'Reported burning'!C3856</f>
        <v>0</v>
      </c>
      <c r="D3850" s="156">
        <f>'Reported burning'!D3856</f>
        <v>0</v>
      </c>
      <c r="E3850" s="156">
        <f>'Reported burning'!E3856</f>
        <v>0</v>
      </c>
      <c r="F3850" s="156">
        <f>'Reported burning'!F3856</f>
        <v>0</v>
      </c>
      <c r="G3850" s="156">
        <f>'Reported burning'!G3856</f>
        <v>0</v>
      </c>
      <c r="H3850" s="156">
        <f>'Reported burning'!H3856</f>
        <v>0</v>
      </c>
      <c r="I3850" s="5"/>
    </row>
    <row r="3851" spans="1:9">
      <c r="A3851" s="156">
        <f>'Reported burning'!A3857</f>
        <v>0</v>
      </c>
      <c r="B3851" s="156">
        <f>'Reported burning'!B3857</f>
        <v>0</v>
      </c>
      <c r="C3851" s="156">
        <f>'Reported burning'!C3857</f>
        <v>0</v>
      </c>
      <c r="D3851" s="156">
        <f>'Reported burning'!D3857</f>
        <v>0</v>
      </c>
      <c r="E3851" s="156">
        <f>'Reported burning'!E3857</f>
        <v>0</v>
      </c>
      <c r="F3851" s="156">
        <f>'Reported burning'!F3857</f>
        <v>0</v>
      </c>
      <c r="G3851" s="156">
        <f>'Reported burning'!G3857</f>
        <v>0</v>
      </c>
      <c r="H3851" s="156">
        <f>'Reported burning'!H3857</f>
        <v>0</v>
      </c>
      <c r="I3851" s="5"/>
    </row>
    <row r="3852" spans="1:9">
      <c r="A3852" s="156">
        <f>'Reported burning'!A3858</f>
        <v>0</v>
      </c>
      <c r="B3852" s="156">
        <f>'Reported burning'!B3858</f>
        <v>0</v>
      </c>
      <c r="C3852" s="156">
        <f>'Reported burning'!C3858</f>
        <v>0</v>
      </c>
      <c r="D3852" s="156">
        <f>'Reported burning'!D3858</f>
        <v>0</v>
      </c>
      <c r="E3852" s="156">
        <f>'Reported burning'!E3858</f>
        <v>0</v>
      </c>
      <c r="F3852" s="156">
        <f>'Reported burning'!F3858</f>
        <v>0</v>
      </c>
      <c r="G3852" s="156">
        <f>'Reported burning'!G3858</f>
        <v>0</v>
      </c>
      <c r="H3852" s="156">
        <f>'Reported burning'!H3858</f>
        <v>0</v>
      </c>
      <c r="I3852" s="5"/>
    </row>
    <row r="3853" spans="1:9">
      <c r="A3853" s="156">
        <f>'Reported burning'!A3859</f>
        <v>0</v>
      </c>
      <c r="B3853" s="156">
        <f>'Reported burning'!B3859</f>
        <v>0</v>
      </c>
      <c r="C3853" s="156">
        <f>'Reported burning'!C3859</f>
        <v>0</v>
      </c>
      <c r="D3853" s="156">
        <f>'Reported burning'!D3859</f>
        <v>0</v>
      </c>
      <c r="E3853" s="156">
        <f>'Reported burning'!E3859</f>
        <v>0</v>
      </c>
      <c r="F3853" s="156">
        <f>'Reported burning'!F3859</f>
        <v>0</v>
      </c>
      <c r="G3853" s="156">
        <f>'Reported burning'!G3859</f>
        <v>0</v>
      </c>
      <c r="H3853" s="156">
        <f>'Reported burning'!H3859</f>
        <v>0</v>
      </c>
      <c r="I3853" s="5"/>
    </row>
    <row r="3854" spans="1:9">
      <c r="A3854" s="156">
        <f>'Reported burning'!A3860</f>
        <v>0</v>
      </c>
      <c r="B3854" s="156">
        <f>'Reported burning'!B3860</f>
        <v>0</v>
      </c>
      <c r="C3854" s="156">
        <f>'Reported burning'!C3860</f>
        <v>0</v>
      </c>
      <c r="D3854" s="156">
        <f>'Reported burning'!D3860</f>
        <v>0</v>
      </c>
      <c r="E3854" s="156">
        <f>'Reported burning'!E3860</f>
        <v>0</v>
      </c>
      <c r="F3854" s="156">
        <f>'Reported burning'!F3860</f>
        <v>0</v>
      </c>
      <c r="G3854" s="156">
        <f>'Reported burning'!G3860</f>
        <v>0</v>
      </c>
      <c r="H3854" s="156">
        <f>'Reported burning'!H3860</f>
        <v>0</v>
      </c>
      <c r="I3854" s="5"/>
    </row>
    <row r="3855" spans="1:9">
      <c r="A3855" s="156">
        <f>'Reported burning'!A3861</f>
        <v>0</v>
      </c>
      <c r="B3855" s="156">
        <f>'Reported burning'!B3861</f>
        <v>0</v>
      </c>
      <c r="C3855" s="156">
        <f>'Reported burning'!C3861</f>
        <v>0</v>
      </c>
      <c r="D3855" s="156">
        <f>'Reported burning'!D3861</f>
        <v>0</v>
      </c>
      <c r="E3855" s="156">
        <f>'Reported burning'!E3861</f>
        <v>0</v>
      </c>
      <c r="F3855" s="156">
        <f>'Reported burning'!F3861</f>
        <v>0</v>
      </c>
      <c r="G3855" s="156">
        <f>'Reported burning'!G3861</f>
        <v>0</v>
      </c>
      <c r="H3855" s="156">
        <f>'Reported burning'!H3861</f>
        <v>0</v>
      </c>
      <c r="I3855" s="5"/>
    </row>
    <row r="3856" spans="1:9">
      <c r="A3856" s="156">
        <f>'Reported burning'!A3862</f>
        <v>0</v>
      </c>
      <c r="B3856" s="156">
        <f>'Reported burning'!B3862</f>
        <v>0</v>
      </c>
      <c r="C3856" s="156">
        <f>'Reported burning'!C3862</f>
        <v>0</v>
      </c>
      <c r="D3856" s="156">
        <f>'Reported burning'!D3862</f>
        <v>0</v>
      </c>
      <c r="E3856" s="156">
        <f>'Reported burning'!E3862</f>
        <v>0</v>
      </c>
      <c r="F3856" s="156">
        <f>'Reported burning'!F3862</f>
        <v>0</v>
      </c>
      <c r="G3856" s="156">
        <f>'Reported burning'!G3862</f>
        <v>0</v>
      </c>
      <c r="H3856" s="156">
        <f>'Reported burning'!H3862</f>
        <v>0</v>
      </c>
      <c r="I3856" s="5"/>
    </row>
    <row r="3857" spans="1:9">
      <c r="A3857" s="156">
        <f>'Reported burning'!A3863</f>
        <v>0</v>
      </c>
      <c r="B3857" s="156">
        <f>'Reported burning'!B3863</f>
        <v>0</v>
      </c>
      <c r="C3857" s="156">
        <f>'Reported burning'!C3863</f>
        <v>0</v>
      </c>
      <c r="D3857" s="156">
        <f>'Reported burning'!D3863</f>
        <v>0</v>
      </c>
      <c r="E3857" s="156">
        <f>'Reported burning'!E3863</f>
        <v>0</v>
      </c>
      <c r="F3857" s="156">
        <f>'Reported burning'!F3863</f>
        <v>0</v>
      </c>
      <c r="G3857" s="156">
        <f>'Reported burning'!G3863</f>
        <v>0</v>
      </c>
      <c r="H3857" s="156">
        <f>'Reported burning'!H3863</f>
        <v>0</v>
      </c>
      <c r="I3857" s="5"/>
    </row>
    <row r="3858" spans="1:9">
      <c r="A3858" s="156">
        <f>'Reported burning'!A3864</f>
        <v>0</v>
      </c>
      <c r="B3858" s="156">
        <f>'Reported burning'!B3864</f>
        <v>0</v>
      </c>
      <c r="C3858" s="156">
        <f>'Reported burning'!C3864</f>
        <v>0</v>
      </c>
      <c r="D3858" s="156">
        <f>'Reported burning'!D3864</f>
        <v>0</v>
      </c>
      <c r="E3858" s="156">
        <f>'Reported burning'!E3864</f>
        <v>0</v>
      </c>
      <c r="F3858" s="156">
        <f>'Reported burning'!F3864</f>
        <v>0</v>
      </c>
      <c r="G3858" s="156">
        <f>'Reported burning'!G3864</f>
        <v>0</v>
      </c>
      <c r="H3858" s="156">
        <f>'Reported burning'!H3864</f>
        <v>0</v>
      </c>
      <c r="I3858" s="5"/>
    </row>
    <row r="3859" spans="1:9">
      <c r="A3859" s="156">
        <f>'Reported burning'!A3865</f>
        <v>0</v>
      </c>
      <c r="B3859" s="156">
        <f>'Reported burning'!B3865</f>
        <v>0</v>
      </c>
      <c r="C3859" s="156">
        <f>'Reported burning'!C3865</f>
        <v>0</v>
      </c>
      <c r="D3859" s="156">
        <f>'Reported burning'!D3865</f>
        <v>0</v>
      </c>
      <c r="E3859" s="156">
        <f>'Reported burning'!E3865</f>
        <v>0</v>
      </c>
      <c r="F3859" s="156">
        <f>'Reported burning'!F3865</f>
        <v>0</v>
      </c>
      <c r="G3859" s="156">
        <f>'Reported burning'!G3865</f>
        <v>0</v>
      </c>
      <c r="H3859" s="156">
        <f>'Reported burning'!H3865</f>
        <v>0</v>
      </c>
      <c r="I3859" s="5"/>
    </row>
    <row r="3860" spans="1:9">
      <c r="A3860" s="156">
        <f>'Reported burning'!A3866</f>
        <v>0</v>
      </c>
      <c r="B3860" s="156">
        <f>'Reported burning'!B3866</f>
        <v>0</v>
      </c>
      <c r="C3860" s="156">
        <f>'Reported burning'!C3866</f>
        <v>0</v>
      </c>
      <c r="D3860" s="156">
        <f>'Reported burning'!D3866</f>
        <v>0</v>
      </c>
      <c r="E3860" s="156">
        <f>'Reported burning'!E3866</f>
        <v>0</v>
      </c>
      <c r="F3860" s="156">
        <f>'Reported burning'!F3866</f>
        <v>0</v>
      </c>
      <c r="G3860" s="156">
        <f>'Reported burning'!G3866</f>
        <v>0</v>
      </c>
      <c r="H3860" s="156">
        <f>'Reported burning'!H3866</f>
        <v>0</v>
      </c>
      <c r="I3860" s="5"/>
    </row>
    <row r="3861" spans="1:9">
      <c r="A3861" s="156">
        <f>'Reported burning'!A3867</f>
        <v>0</v>
      </c>
      <c r="B3861" s="156">
        <f>'Reported burning'!B3867</f>
        <v>0</v>
      </c>
      <c r="C3861" s="156">
        <f>'Reported burning'!C3867</f>
        <v>0</v>
      </c>
      <c r="D3861" s="156">
        <f>'Reported burning'!D3867</f>
        <v>0</v>
      </c>
      <c r="E3861" s="156">
        <f>'Reported burning'!E3867</f>
        <v>0</v>
      </c>
      <c r="F3861" s="156">
        <f>'Reported burning'!F3867</f>
        <v>0</v>
      </c>
      <c r="G3861" s="156">
        <f>'Reported burning'!G3867</f>
        <v>0</v>
      </c>
      <c r="H3861" s="156">
        <f>'Reported burning'!H3867</f>
        <v>0</v>
      </c>
      <c r="I3861" s="5"/>
    </row>
    <row r="3862" spans="1:9">
      <c r="A3862" s="156">
        <f>'Reported burning'!A3868</f>
        <v>0</v>
      </c>
      <c r="B3862" s="156">
        <f>'Reported burning'!B3868</f>
        <v>0</v>
      </c>
      <c r="C3862" s="156">
        <f>'Reported burning'!C3868</f>
        <v>0</v>
      </c>
      <c r="D3862" s="156">
        <f>'Reported burning'!D3868</f>
        <v>0</v>
      </c>
      <c r="E3862" s="156">
        <f>'Reported burning'!E3868</f>
        <v>0</v>
      </c>
      <c r="F3862" s="156">
        <f>'Reported burning'!F3868</f>
        <v>0</v>
      </c>
      <c r="G3862" s="156">
        <f>'Reported burning'!G3868</f>
        <v>0</v>
      </c>
      <c r="H3862" s="156">
        <f>'Reported burning'!H3868</f>
        <v>0</v>
      </c>
      <c r="I3862" s="5"/>
    </row>
    <row r="3863" spans="1:9">
      <c r="A3863" s="156">
        <f>'Reported burning'!A3869</f>
        <v>0</v>
      </c>
      <c r="B3863" s="156">
        <f>'Reported burning'!B3869</f>
        <v>0</v>
      </c>
      <c r="C3863" s="156">
        <f>'Reported burning'!C3869</f>
        <v>0</v>
      </c>
      <c r="D3863" s="156">
        <f>'Reported burning'!D3869</f>
        <v>0</v>
      </c>
      <c r="E3863" s="156">
        <f>'Reported burning'!E3869</f>
        <v>0</v>
      </c>
      <c r="F3863" s="156">
        <f>'Reported burning'!F3869</f>
        <v>0</v>
      </c>
      <c r="G3863" s="156">
        <f>'Reported burning'!G3869</f>
        <v>0</v>
      </c>
      <c r="H3863" s="156">
        <f>'Reported burning'!H3869</f>
        <v>0</v>
      </c>
      <c r="I3863" s="5"/>
    </row>
    <row r="3864" spans="1:9">
      <c r="A3864" s="156">
        <f>'Reported burning'!A3870</f>
        <v>0</v>
      </c>
      <c r="B3864" s="156">
        <f>'Reported burning'!B3870</f>
        <v>0</v>
      </c>
      <c r="C3864" s="156">
        <f>'Reported burning'!C3870</f>
        <v>0</v>
      </c>
      <c r="D3864" s="156">
        <f>'Reported burning'!D3870</f>
        <v>0</v>
      </c>
      <c r="E3864" s="156">
        <f>'Reported burning'!E3870</f>
        <v>0</v>
      </c>
      <c r="F3864" s="156">
        <f>'Reported burning'!F3870</f>
        <v>0</v>
      </c>
      <c r="G3864" s="156">
        <f>'Reported burning'!G3870</f>
        <v>0</v>
      </c>
      <c r="H3864" s="156">
        <f>'Reported burning'!H3870</f>
        <v>0</v>
      </c>
      <c r="I3864" s="5"/>
    </row>
    <row r="3865" spans="1:9">
      <c r="A3865" s="156">
        <f>'Reported burning'!A3871</f>
        <v>0</v>
      </c>
      <c r="B3865" s="156">
        <f>'Reported burning'!B3871</f>
        <v>0</v>
      </c>
      <c r="C3865" s="156">
        <f>'Reported burning'!C3871</f>
        <v>0</v>
      </c>
      <c r="D3865" s="156">
        <f>'Reported burning'!D3871</f>
        <v>0</v>
      </c>
      <c r="E3865" s="156">
        <f>'Reported burning'!E3871</f>
        <v>0</v>
      </c>
      <c r="F3865" s="156">
        <f>'Reported burning'!F3871</f>
        <v>0</v>
      </c>
      <c r="G3865" s="156">
        <f>'Reported burning'!G3871</f>
        <v>0</v>
      </c>
      <c r="H3865" s="156">
        <f>'Reported burning'!H3871</f>
        <v>0</v>
      </c>
      <c r="I3865" s="5"/>
    </row>
    <row r="3866" spans="1:9">
      <c r="A3866" s="156">
        <f>'Reported burning'!A3872</f>
        <v>0</v>
      </c>
      <c r="B3866" s="156">
        <f>'Reported burning'!B3872</f>
        <v>0</v>
      </c>
      <c r="C3866" s="156">
        <f>'Reported burning'!C3872</f>
        <v>0</v>
      </c>
      <c r="D3866" s="156">
        <f>'Reported burning'!D3872</f>
        <v>0</v>
      </c>
      <c r="E3866" s="156">
        <f>'Reported burning'!E3872</f>
        <v>0</v>
      </c>
      <c r="F3866" s="156">
        <f>'Reported burning'!F3872</f>
        <v>0</v>
      </c>
      <c r="G3866" s="156">
        <f>'Reported burning'!G3872</f>
        <v>0</v>
      </c>
      <c r="H3866" s="156">
        <f>'Reported burning'!H3872</f>
        <v>0</v>
      </c>
      <c r="I3866" s="5"/>
    </row>
    <row r="3867" spans="1:9">
      <c r="A3867" s="156">
        <f>'Reported burning'!A3873</f>
        <v>0</v>
      </c>
      <c r="B3867" s="156">
        <f>'Reported burning'!B3873</f>
        <v>0</v>
      </c>
      <c r="C3867" s="156">
        <f>'Reported burning'!C3873</f>
        <v>0</v>
      </c>
      <c r="D3867" s="156">
        <f>'Reported burning'!D3873</f>
        <v>0</v>
      </c>
      <c r="E3867" s="156">
        <f>'Reported burning'!E3873</f>
        <v>0</v>
      </c>
      <c r="F3867" s="156">
        <f>'Reported burning'!F3873</f>
        <v>0</v>
      </c>
      <c r="G3867" s="156">
        <f>'Reported burning'!G3873</f>
        <v>0</v>
      </c>
      <c r="H3867" s="156">
        <f>'Reported burning'!H3873</f>
        <v>0</v>
      </c>
      <c r="I3867" s="5"/>
    </row>
    <row r="3868" spans="1:9">
      <c r="A3868" s="156">
        <f>'Reported burning'!A3874</f>
        <v>0</v>
      </c>
      <c r="B3868" s="156">
        <f>'Reported burning'!B3874</f>
        <v>0</v>
      </c>
      <c r="C3868" s="156">
        <f>'Reported burning'!C3874</f>
        <v>0</v>
      </c>
      <c r="D3868" s="156">
        <f>'Reported burning'!D3874</f>
        <v>0</v>
      </c>
      <c r="E3868" s="156">
        <f>'Reported burning'!E3874</f>
        <v>0</v>
      </c>
      <c r="F3868" s="156">
        <f>'Reported burning'!F3874</f>
        <v>0</v>
      </c>
      <c r="G3868" s="156">
        <f>'Reported burning'!G3874</f>
        <v>0</v>
      </c>
      <c r="H3868" s="156">
        <f>'Reported burning'!H3874</f>
        <v>0</v>
      </c>
      <c r="I3868" s="5"/>
    </row>
    <row r="3869" spans="1:9">
      <c r="A3869" s="156">
        <f>'Reported burning'!A3875</f>
        <v>0</v>
      </c>
      <c r="B3869" s="156">
        <f>'Reported burning'!B3875</f>
        <v>0</v>
      </c>
      <c r="C3869" s="156">
        <f>'Reported burning'!C3875</f>
        <v>0</v>
      </c>
      <c r="D3869" s="156">
        <f>'Reported burning'!D3875</f>
        <v>0</v>
      </c>
      <c r="E3869" s="156">
        <f>'Reported burning'!E3875</f>
        <v>0</v>
      </c>
      <c r="F3869" s="156">
        <f>'Reported burning'!F3875</f>
        <v>0</v>
      </c>
      <c r="G3869" s="156">
        <f>'Reported burning'!G3875</f>
        <v>0</v>
      </c>
      <c r="H3869" s="156">
        <f>'Reported burning'!H3875</f>
        <v>0</v>
      </c>
      <c r="I3869" s="5"/>
    </row>
    <row r="3870" spans="1:9">
      <c r="A3870" s="156">
        <f>'Reported burning'!A3876</f>
        <v>0</v>
      </c>
      <c r="B3870" s="156">
        <f>'Reported burning'!B3876</f>
        <v>0</v>
      </c>
      <c r="C3870" s="156">
        <f>'Reported burning'!C3876</f>
        <v>0</v>
      </c>
      <c r="D3870" s="156">
        <f>'Reported burning'!D3876</f>
        <v>0</v>
      </c>
      <c r="E3870" s="156">
        <f>'Reported burning'!E3876</f>
        <v>0</v>
      </c>
      <c r="F3870" s="156">
        <f>'Reported burning'!F3876</f>
        <v>0</v>
      </c>
      <c r="G3870" s="156">
        <f>'Reported burning'!G3876</f>
        <v>0</v>
      </c>
      <c r="H3870" s="156">
        <f>'Reported burning'!H3876</f>
        <v>0</v>
      </c>
      <c r="I3870" s="5"/>
    </row>
    <row r="3871" spans="1:9">
      <c r="A3871" s="156">
        <f>'Reported burning'!A3877</f>
        <v>0</v>
      </c>
      <c r="B3871" s="156">
        <f>'Reported burning'!B3877</f>
        <v>0</v>
      </c>
      <c r="C3871" s="156">
        <f>'Reported burning'!C3877</f>
        <v>0</v>
      </c>
      <c r="D3871" s="156">
        <f>'Reported burning'!D3877</f>
        <v>0</v>
      </c>
      <c r="E3871" s="156">
        <f>'Reported burning'!E3877</f>
        <v>0</v>
      </c>
      <c r="F3871" s="156">
        <f>'Reported burning'!F3877</f>
        <v>0</v>
      </c>
      <c r="G3871" s="156">
        <f>'Reported burning'!G3877</f>
        <v>0</v>
      </c>
      <c r="H3871" s="156">
        <f>'Reported burning'!H3877</f>
        <v>0</v>
      </c>
      <c r="I3871" s="5"/>
    </row>
    <row r="3872" spans="1:9">
      <c r="A3872" s="156">
        <f>'Reported burning'!A3878</f>
        <v>0</v>
      </c>
      <c r="B3872" s="156">
        <f>'Reported burning'!B3878</f>
        <v>0</v>
      </c>
      <c r="C3872" s="156">
        <f>'Reported burning'!C3878</f>
        <v>0</v>
      </c>
      <c r="D3872" s="156">
        <f>'Reported burning'!D3878</f>
        <v>0</v>
      </c>
      <c r="E3872" s="156">
        <f>'Reported burning'!E3878</f>
        <v>0</v>
      </c>
      <c r="F3872" s="156">
        <f>'Reported burning'!F3878</f>
        <v>0</v>
      </c>
      <c r="G3872" s="156">
        <f>'Reported burning'!G3878</f>
        <v>0</v>
      </c>
      <c r="H3872" s="156">
        <f>'Reported burning'!H3878</f>
        <v>0</v>
      </c>
      <c r="I3872" s="5"/>
    </row>
    <row r="3873" spans="1:9">
      <c r="A3873" s="156">
        <f>'Reported burning'!A3879</f>
        <v>0</v>
      </c>
      <c r="B3873" s="156">
        <f>'Reported burning'!B3879</f>
        <v>0</v>
      </c>
      <c r="C3873" s="156">
        <f>'Reported burning'!C3879</f>
        <v>0</v>
      </c>
      <c r="D3873" s="156">
        <f>'Reported burning'!D3879</f>
        <v>0</v>
      </c>
      <c r="E3873" s="156">
        <f>'Reported burning'!E3879</f>
        <v>0</v>
      </c>
      <c r="F3873" s="156">
        <f>'Reported burning'!F3879</f>
        <v>0</v>
      </c>
      <c r="G3873" s="156">
        <f>'Reported burning'!G3879</f>
        <v>0</v>
      </c>
      <c r="H3873" s="156">
        <f>'Reported burning'!H3879</f>
        <v>0</v>
      </c>
      <c r="I3873" s="5"/>
    </row>
    <row r="3874" spans="1:9">
      <c r="A3874" s="156">
        <f>'Reported burning'!A3880</f>
        <v>0</v>
      </c>
      <c r="B3874" s="156">
        <f>'Reported burning'!B3880</f>
        <v>0</v>
      </c>
      <c r="C3874" s="156">
        <f>'Reported burning'!C3880</f>
        <v>0</v>
      </c>
      <c r="D3874" s="156">
        <f>'Reported burning'!D3880</f>
        <v>0</v>
      </c>
      <c r="E3874" s="156">
        <f>'Reported burning'!E3880</f>
        <v>0</v>
      </c>
      <c r="F3874" s="156">
        <f>'Reported burning'!F3880</f>
        <v>0</v>
      </c>
      <c r="G3874" s="156">
        <f>'Reported burning'!G3880</f>
        <v>0</v>
      </c>
      <c r="H3874" s="156">
        <f>'Reported burning'!H3880</f>
        <v>0</v>
      </c>
      <c r="I3874" s="5"/>
    </row>
    <row r="3875" spans="1:9">
      <c r="A3875" s="156">
        <f>'Reported burning'!A3881</f>
        <v>0</v>
      </c>
      <c r="B3875" s="156">
        <f>'Reported burning'!B3881</f>
        <v>0</v>
      </c>
      <c r="C3875" s="156">
        <f>'Reported burning'!C3881</f>
        <v>0</v>
      </c>
      <c r="D3875" s="156">
        <f>'Reported burning'!D3881</f>
        <v>0</v>
      </c>
      <c r="E3875" s="156">
        <f>'Reported burning'!E3881</f>
        <v>0</v>
      </c>
      <c r="F3875" s="156">
        <f>'Reported burning'!F3881</f>
        <v>0</v>
      </c>
      <c r="G3875" s="156">
        <f>'Reported burning'!G3881</f>
        <v>0</v>
      </c>
      <c r="H3875" s="156">
        <f>'Reported burning'!H3881</f>
        <v>0</v>
      </c>
      <c r="I3875" s="5"/>
    </row>
    <row r="3876" spans="1:9">
      <c r="A3876" s="156">
        <f>'Reported burning'!A3882</f>
        <v>0</v>
      </c>
      <c r="B3876" s="156">
        <f>'Reported burning'!B3882</f>
        <v>0</v>
      </c>
      <c r="C3876" s="156">
        <f>'Reported burning'!C3882</f>
        <v>0</v>
      </c>
      <c r="D3876" s="156">
        <f>'Reported burning'!D3882</f>
        <v>0</v>
      </c>
      <c r="E3876" s="156">
        <f>'Reported burning'!E3882</f>
        <v>0</v>
      </c>
      <c r="F3876" s="156">
        <f>'Reported burning'!F3882</f>
        <v>0</v>
      </c>
      <c r="G3876" s="156">
        <f>'Reported burning'!G3882</f>
        <v>0</v>
      </c>
      <c r="H3876" s="156">
        <f>'Reported burning'!H3882</f>
        <v>0</v>
      </c>
      <c r="I3876" s="5"/>
    </row>
    <row r="3877" spans="1:9">
      <c r="A3877" s="156">
        <f>'Reported burning'!A3883</f>
        <v>0</v>
      </c>
      <c r="B3877" s="156">
        <f>'Reported burning'!B3883</f>
        <v>0</v>
      </c>
      <c r="C3877" s="156">
        <f>'Reported burning'!C3883</f>
        <v>0</v>
      </c>
      <c r="D3877" s="156">
        <f>'Reported burning'!D3883</f>
        <v>0</v>
      </c>
      <c r="E3877" s="156">
        <f>'Reported burning'!E3883</f>
        <v>0</v>
      </c>
      <c r="F3877" s="156">
        <f>'Reported burning'!F3883</f>
        <v>0</v>
      </c>
      <c r="G3877" s="156">
        <f>'Reported burning'!G3883</f>
        <v>0</v>
      </c>
      <c r="H3877" s="156">
        <f>'Reported burning'!H3883</f>
        <v>0</v>
      </c>
      <c r="I3877" s="5"/>
    </row>
    <row r="3878" spans="1:9">
      <c r="A3878" s="156">
        <f>'Reported burning'!A3884</f>
        <v>0</v>
      </c>
      <c r="B3878" s="156">
        <f>'Reported burning'!B3884</f>
        <v>0</v>
      </c>
      <c r="C3878" s="156">
        <f>'Reported burning'!C3884</f>
        <v>0</v>
      </c>
      <c r="D3878" s="156">
        <f>'Reported burning'!D3884</f>
        <v>0</v>
      </c>
      <c r="E3878" s="156">
        <f>'Reported burning'!E3884</f>
        <v>0</v>
      </c>
      <c r="F3878" s="156">
        <f>'Reported burning'!F3884</f>
        <v>0</v>
      </c>
      <c r="G3878" s="156">
        <f>'Reported burning'!G3884</f>
        <v>0</v>
      </c>
      <c r="H3878" s="156">
        <f>'Reported burning'!H3884</f>
        <v>0</v>
      </c>
      <c r="I3878" s="5"/>
    </row>
    <row r="3879" spans="1:9">
      <c r="A3879" s="156">
        <f>'Reported burning'!A3885</f>
        <v>0</v>
      </c>
      <c r="B3879" s="156">
        <f>'Reported burning'!B3885</f>
        <v>0</v>
      </c>
      <c r="C3879" s="156">
        <f>'Reported burning'!C3885</f>
        <v>0</v>
      </c>
      <c r="D3879" s="156">
        <f>'Reported burning'!D3885</f>
        <v>0</v>
      </c>
      <c r="E3879" s="156">
        <f>'Reported burning'!E3885</f>
        <v>0</v>
      </c>
      <c r="F3879" s="156">
        <f>'Reported burning'!F3885</f>
        <v>0</v>
      </c>
      <c r="G3879" s="156">
        <f>'Reported burning'!G3885</f>
        <v>0</v>
      </c>
      <c r="H3879" s="156">
        <f>'Reported burning'!H3885</f>
        <v>0</v>
      </c>
      <c r="I3879" s="5"/>
    </row>
    <row r="3880" spans="1:9">
      <c r="A3880" s="156">
        <f>'Reported burning'!A3886</f>
        <v>0</v>
      </c>
      <c r="B3880" s="156">
        <f>'Reported burning'!B3886</f>
        <v>0</v>
      </c>
      <c r="C3880" s="156">
        <f>'Reported burning'!C3886</f>
        <v>0</v>
      </c>
      <c r="D3880" s="156">
        <f>'Reported burning'!D3886</f>
        <v>0</v>
      </c>
      <c r="E3880" s="156">
        <f>'Reported burning'!E3886</f>
        <v>0</v>
      </c>
      <c r="F3880" s="156">
        <f>'Reported burning'!F3886</f>
        <v>0</v>
      </c>
      <c r="G3880" s="156">
        <f>'Reported burning'!G3886</f>
        <v>0</v>
      </c>
      <c r="H3880" s="156">
        <f>'Reported burning'!H3886</f>
        <v>0</v>
      </c>
      <c r="I3880" s="5"/>
    </row>
    <row r="3881" spans="1:9">
      <c r="A3881" s="156">
        <f>'Reported burning'!A3887</f>
        <v>0</v>
      </c>
      <c r="B3881" s="156">
        <f>'Reported burning'!B3887</f>
        <v>0</v>
      </c>
      <c r="C3881" s="156">
        <f>'Reported burning'!C3887</f>
        <v>0</v>
      </c>
      <c r="D3881" s="156">
        <f>'Reported burning'!D3887</f>
        <v>0</v>
      </c>
      <c r="E3881" s="156">
        <f>'Reported burning'!E3887</f>
        <v>0</v>
      </c>
      <c r="F3881" s="156">
        <f>'Reported burning'!F3887</f>
        <v>0</v>
      </c>
      <c r="G3881" s="156">
        <f>'Reported burning'!G3887</f>
        <v>0</v>
      </c>
      <c r="H3881" s="156">
        <f>'Reported burning'!H3887</f>
        <v>0</v>
      </c>
      <c r="I3881" s="5"/>
    </row>
    <row r="3882" spans="1:9">
      <c r="A3882" s="156">
        <f>'Reported burning'!A3888</f>
        <v>0</v>
      </c>
      <c r="B3882" s="156">
        <f>'Reported burning'!B3888</f>
        <v>0</v>
      </c>
      <c r="C3882" s="156">
        <f>'Reported burning'!C3888</f>
        <v>0</v>
      </c>
      <c r="D3882" s="156">
        <f>'Reported burning'!D3888</f>
        <v>0</v>
      </c>
      <c r="E3882" s="156">
        <f>'Reported burning'!E3888</f>
        <v>0</v>
      </c>
      <c r="F3882" s="156">
        <f>'Reported burning'!F3888</f>
        <v>0</v>
      </c>
      <c r="G3882" s="156">
        <f>'Reported burning'!G3888</f>
        <v>0</v>
      </c>
      <c r="H3882" s="156">
        <f>'Reported burning'!H3888</f>
        <v>0</v>
      </c>
      <c r="I3882" s="5"/>
    </row>
    <row r="3883" spans="1:9">
      <c r="A3883" s="156">
        <f>'Reported burning'!A3889</f>
        <v>0</v>
      </c>
      <c r="B3883" s="156">
        <f>'Reported burning'!B3889</f>
        <v>0</v>
      </c>
      <c r="C3883" s="156">
        <f>'Reported burning'!C3889</f>
        <v>0</v>
      </c>
      <c r="D3883" s="156">
        <f>'Reported burning'!D3889</f>
        <v>0</v>
      </c>
      <c r="E3883" s="156">
        <f>'Reported burning'!E3889</f>
        <v>0</v>
      </c>
      <c r="F3883" s="156">
        <f>'Reported burning'!F3889</f>
        <v>0</v>
      </c>
      <c r="G3883" s="156">
        <f>'Reported burning'!G3889</f>
        <v>0</v>
      </c>
      <c r="H3883" s="156">
        <f>'Reported burning'!H3889</f>
        <v>0</v>
      </c>
      <c r="I3883" s="5"/>
    </row>
    <row r="3884" spans="1:9">
      <c r="A3884" s="156">
        <f>'Reported burning'!A3890</f>
        <v>0</v>
      </c>
      <c r="B3884" s="156">
        <f>'Reported burning'!B3890</f>
        <v>0</v>
      </c>
      <c r="C3884" s="156">
        <f>'Reported burning'!C3890</f>
        <v>0</v>
      </c>
      <c r="D3884" s="156">
        <f>'Reported burning'!D3890</f>
        <v>0</v>
      </c>
      <c r="E3884" s="156">
        <f>'Reported burning'!E3890</f>
        <v>0</v>
      </c>
      <c r="F3884" s="156">
        <f>'Reported burning'!F3890</f>
        <v>0</v>
      </c>
      <c r="G3884" s="156">
        <f>'Reported burning'!G3890</f>
        <v>0</v>
      </c>
      <c r="H3884" s="156">
        <f>'Reported burning'!H3890</f>
        <v>0</v>
      </c>
      <c r="I3884" s="5"/>
    </row>
    <row r="3885" spans="1:9">
      <c r="A3885" s="156">
        <f>'Reported burning'!A3891</f>
        <v>0</v>
      </c>
      <c r="B3885" s="156">
        <f>'Reported burning'!B3891</f>
        <v>0</v>
      </c>
      <c r="C3885" s="156">
        <f>'Reported burning'!C3891</f>
        <v>0</v>
      </c>
      <c r="D3885" s="156">
        <f>'Reported burning'!D3891</f>
        <v>0</v>
      </c>
      <c r="E3885" s="156">
        <f>'Reported burning'!E3891</f>
        <v>0</v>
      </c>
      <c r="F3885" s="156">
        <f>'Reported burning'!F3891</f>
        <v>0</v>
      </c>
      <c r="G3885" s="156">
        <f>'Reported burning'!G3891</f>
        <v>0</v>
      </c>
      <c r="H3885" s="156">
        <f>'Reported burning'!H3891</f>
        <v>0</v>
      </c>
      <c r="I3885" s="5"/>
    </row>
    <row r="3886" spans="1:9">
      <c r="A3886" s="156">
        <f>'Reported burning'!A3892</f>
        <v>0</v>
      </c>
      <c r="B3886" s="156">
        <f>'Reported burning'!B3892</f>
        <v>0</v>
      </c>
      <c r="C3886" s="156">
        <f>'Reported burning'!C3892</f>
        <v>0</v>
      </c>
      <c r="D3886" s="156">
        <f>'Reported burning'!D3892</f>
        <v>0</v>
      </c>
      <c r="E3886" s="156">
        <f>'Reported burning'!E3892</f>
        <v>0</v>
      </c>
      <c r="F3886" s="156">
        <f>'Reported burning'!F3892</f>
        <v>0</v>
      </c>
      <c r="G3886" s="156">
        <f>'Reported burning'!G3892</f>
        <v>0</v>
      </c>
      <c r="H3886" s="156">
        <f>'Reported burning'!H3892</f>
        <v>0</v>
      </c>
      <c r="I3886" s="5"/>
    </row>
    <row r="3887" spans="1:9">
      <c r="A3887" s="156">
        <f>'Reported burning'!A3893</f>
        <v>0</v>
      </c>
      <c r="B3887" s="156">
        <f>'Reported burning'!B3893</f>
        <v>0</v>
      </c>
      <c r="C3887" s="156">
        <f>'Reported burning'!C3893</f>
        <v>0</v>
      </c>
      <c r="D3887" s="156">
        <f>'Reported burning'!D3893</f>
        <v>0</v>
      </c>
      <c r="E3887" s="156">
        <f>'Reported burning'!E3893</f>
        <v>0</v>
      </c>
      <c r="F3887" s="156">
        <f>'Reported burning'!F3893</f>
        <v>0</v>
      </c>
      <c r="G3887" s="156">
        <f>'Reported burning'!G3893</f>
        <v>0</v>
      </c>
      <c r="H3887" s="156">
        <f>'Reported burning'!H3893</f>
        <v>0</v>
      </c>
      <c r="I3887" s="5"/>
    </row>
    <row r="3888" spans="1:9">
      <c r="A3888" s="156">
        <f>'Reported burning'!A3894</f>
        <v>0</v>
      </c>
      <c r="B3888" s="156">
        <f>'Reported burning'!B3894</f>
        <v>0</v>
      </c>
      <c r="C3888" s="156">
        <f>'Reported burning'!C3894</f>
        <v>0</v>
      </c>
      <c r="D3888" s="156">
        <f>'Reported burning'!D3894</f>
        <v>0</v>
      </c>
      <c r="E3888" s="156">
        <f>'Reported burning'!E3894</f>
        <v>0</v>
      </c>
      <c r="F3888" s="156">
        <f>'Reported burning'!F3894</f>
        <v>0</v>
      </c>
      <c r="G3888" s="156">
        <f>'Reported burning'!G3894</f>
        <v>0</v>
      </c>
      <c r="H3888" s="156">
        <f>'Reported burning'!H3894</f>
        <v>0</v>
      </c>
      <c r="I3888" s="5"/>
    </row>
    <row r="3889" spans="1:9">
      <c r="A3889" s="156">
        <f>'Reported burning'!A3895</f>
        <v>0</v>
      </c>
      <c r="B3889" s="156">
        <f>'Reported burning'!B3895</f>
        <v>0</v>
      </c>
      <c r="C3889" s="156">
        <f>'Reported burning'!C3895</f>
        <v>0</v>
      </c>
      <c r="D3889" s="156">
        <f>'Reported burning'!D3895</f>
        <v>0</v>
      </c>
      <c r="E3889" s="156">
        <f>'Reported burning'!E3895</f>
        <v>0</v>
      </c>
      <c r="F3889" s="156">
        <f>'Reported burning'!F3895</f>
        <v>0</v>
      </c>
      <c r="G3889" s="156">
        <f>'Reported burning'!G3895</f>
        <v>0</v>
      </c>
      <c r="H3889" s="156">
        <f>'Reported burning'!H3895</f>
        <v>0</v>
      </c>
      <c r="I3889" s="5"/>
    </row>
    <row r="3890" spans="1:9">
      <c r="A3890" s="156">
        <f>'Reported burning'!A3896</f>
        <v>0</v>
      </c>
      <c r="B3890" s="156">
        <f>'Reported burning'!B3896</f>
        <v>0</v>
      </c>
      <c r="C3890" s="156">
        <f>'Reported burning'!C3896</f>
        <v>0</v>
      </c>
      <c r="D3890" s="156">
        <f>'Reported burning'!D3896</f>
        <v>0</v>
      </c>
      <c r="E3890" s="156">
        <f>'Reported burning'!E3896</f>
        <v>0</v>
      </c>
      <c r="F3890" s="156">
        <f>'Reported burning'!F3896</f>
        <v>0</v>
      </c>
      <c r="G3890" s="156">
        <f>'Reported burning'!G3896</f>
        <v>0</v>
      </c>
      <c r="H3890" s="156">
        <f>'Reported burning'!H3896</f>
        <v>0</v>
      </c>
      <c r="I3890" s="5"/>
    </row>
    <row r="3891" spans="1:9">
      <c r="A3891" s="156">
        <f>'Reported burning'!A3897</f>
        <v>0</v>
      </c>
      <c r="B3891" s="156">
        <f>'Reported burning'!B3897</f>
        <v>0</v>
      </c>
      <c r="C3891" s="156">
        <f>'Reported burning'!C3897</f>
        <v>0</v>
      </c>
      <c r="D3891" s="156">
        <f>'Reported burning'!D3897</f>
        <v>0</v>
      </c>
      <c r="E3891" s="156">
        <f>'Reported burning'!E3897</f>
        <v>0</v>
      </c>
      <c r="F3891" s="156">
        <f>'Reported burning'!F3897</f>
        <v>0</v>
      </c>
      <c r="G3891" s="156">
        <f>'Reported burning'!G3897</f>
        <v>0</v>
      </c>
      <c r="H3891" s="156">
        <f>'Reported burning'!H3897</f>
        <v>0</v>
      </c>
      <c r="I3891" s="5"/>
    </row>
    <row r="3892" spans="1:9">
      <c r="A3892" s="156">
        <f>'Reported burning'!A3898</f>
        <v>0</v>
      </c>
      <c r="B3892" s="156">
        <f>'Reported burning'!B3898</f>
        <v>0</v>
      </c>
      <c r="C3892" s="156">
        <f>'Reported burning'!C3898</f>
        <v>0</v>
      </c>
      <c r="D3892" s="156">
        <f>'Reported burning'!D3898</f>
        <v>0</v>
      </c>
      <c r="E3892" s="156">
        <f>'Reported burning'!E3898</f>
        <v>0</v>
      </c>
      <c r="F3892" s="156">
        <f>'Reported burning'!F3898</f>
        <v>0</v>
      </c>
      <c r="G3892" s="156">
        <f>'Reported burning'!G3898</f>
        <v>0</v>
      </c>
      <c r="H3892" s="156">
        <f>'Reported burning'!H3898</f>
        <v>0</v>
      </c>
      <c r="I3892" s="5"/>
    </row>
    <row r="3893" spans="1:9">
      <c r="A3893" s="156">
        <f>'Reported burning'!A3899</f>
        <v>0</v>
      </c>
      <c r="B3893" s="156">
        <f>'Reported burning'!B3899</f>
        <v>0</v>
      </c>
      <c r="C3893" s="156">
        <f>'Reported burning'!C3899</f>
        <v>0</v>
      </c>
      <c r="D3893" s="156">
        <f>'Reported burning'!D3899</f>
        <v>0</v>
      </c>
      <c r="E3893" s="156">
        <f>'Reported burning'!E3899</f>
        <v>0</v>
      </c>
      <c r="F3893" s="156">
        <f>'Reported burning'!F3899</f>
        <v>0</v>
      </c>
      <c r="G3893" s="156">
        <f>'Reported burning'!G3899</f>
        <v>0</v>
      </c>
      <c r="H3893" s="156">
        <f>'Reported burning'!H3899</f>
        <v>0</v>
      </c>
      <c r="I3893" s="5"/>
    </row>
    <row r="3894" spans="1:9">
      <c r="A3894" s="156">
        <f>'Reported burning'!A3900</f>
        <v>0</v>
      </c>
      <c r="B3894" s="156">
        <f>'Reported burning'!B3900</f>
        <v>0</v>
      </c>
      <c r="C3894" s="156">
        <f>'Reported burning'!C3900</f>
        <v>0</v>
      </c>
      <c r="D3894" s="156">
        <f>'Reported burning'!D3900</f>
        <v>0</v>
      </c>
      <c r="E3894" s="156">
        <f>'Reported burning'!E3900</f>
        <v>0</v>
      </c>
      <c r="F3894" s="156">
        <f>'Reported burning'!F3900</f>
        <v>0</v>
      </c>
      <c r="G3894" s="156">
        <f>'Reported burning'!G3900</f>
        <v>0</v>
      </c>
      <c r="H3894" s="156">
        <f>'Reported burning'!H3900</f>
        <v>0</v>
      </c>
      <c r="I3894" s="5"/>
    </row>
    <row r="3895" spans="1:9">
      <c r="A3895" s="156">
        <f>'Reported burning'!A3901</f>
        <v>0</v>
      </c>
      <c r="B3895" s="156">
        <f>'Reported burning'!B3901</f>
        <v>0</v>
      </c>
      <c r="C3895" s="156">
        <f>'Reported burning'!C3901</f>
        <v>0</v>
      </c>
      <c r="D3895" s="156">
        <f>'Reported burning'!D3901</f>
        <v>0</v>
      </c>
      <c r="E3895" s="156">
        <f>'Reported burning'!E3901</f>
        <v>0</v>
      </c>
      <c r="F3895" s="156">
        <f>'Reported burning'!F3901</f>
        <v>0</v>
      </c>
      <c r="G3895" s="156">
        <f>'Reported burning'!G3901</f>
        <v>0</v>
      </c>
      <c r="H3895" s="156">
        <f>'Reported burning'!H3901</f>
        <v>0</v>
      </c>
      <c r="I3895" s="5"/>
    </row>
    <row r="3896" spans="1:9">
      <c r="A3896" s="156">
        <f>'Reported burning'!A3902</f>
        <v>0</v>
      </c>
      <c r="B3896" s="156">
        <f>'Reported burning'!B3902</f>
        <v>0</v>
      </c>
      <c r="C3896" s="156">
        <f>'Reported burning'!C3902</f>
        <v>0</v>
      </c>
      <c r="D3896" s="156">
        <f>'Reported burning'!D3902</f>
        <v>0</v>
      </c>
      <c r="E3896" s="156">
        <f>'Reported burning'!E3902</f>
        <v>0</v>
      </c>
      <c r="F3896" s="156">
        <f>'Reported burning'!F3902</f>
        <v>0</v>
      </c>
      <c r="G3896" s="156">
        <f>'Reported burning'!G3902</f>
        <v>0</v>
      </c>
      <c r="H3896" s="156">
        <f>'Reported burning'!H3902</f>
        <v>0</v>
      </c>
      <c r="I3896" s="5"/>
    </row>
    <row r="3897" spans="1:9">
      <c r="A3897" s="156">
        <f>'Reported burning'!A3903</f>
        <v>0</v>
      </c>
      <c r="B3897" s="156">
        <f>'Reported burning'!B3903</f>
        <v>0</v>
      </c>
      <c r="C3897" s="156">
        <f>'Reported burning'!C3903</f>
        <v>0</v>
      </c>
      <c r="D3897" s="156">
        <f>'Reported burning'!D3903</f>
        <v>0</v>
      </c>
      <c r="E3897" s="156">
        <f>'Reported burning'!E3903</f>
        <v>0</v>
      </c>
      <c r="F3897" s="156">
        <f>'Reported burning'!F3903</f>
        <v>0</v>
      </c>
      <c r="G3897" s="156">
        <f>'Reported burning'!G3903</f>
        <v>0</v>
      </c>
      <c r="H3897" s="156">
        <f>'Reported burning'!H3903</f>
        <v>0</v>
      </c>
      <c r="I3897" s="5"/>
    </row>
    <row r="3898" spans="1:9">
      <c r="A3898" s="156">
        <f>'Reported burning'!A3904</f>
        <v>0</v>
      </c>
      <c r="B3898" s="156">
        <f>'Reported burning'!B3904</f>
        <v>0</v>
      </c>
      <c r="C3898" s="156">
        <f>'Reported burning'!C3904</f>
        <v>0</v>
      </c>
      <c r="D3898" s="156">
        <f>'Reported burning'!D3904</f>
        <v>0</v>
      </c>
      <c r="E3898" s="156">
        <f>'Reported burning'!E3904</f>
        <v>0</v>
      </c>
      <c r="F3898" s="156">
        <f>'Reported burning'!F3904</f>
        <v>0</v>
      </c>
      <c r="G3898" s="156">
        <f>'Reported burning'!G3904</f>
        <v>0</v>
      </c>
      <c r="H3898" s="156">
        <f>'Reported burning'!H3904</f>
        <v>0</v>
      </c>
      <c r="I3898" s="5"/>
    </row>
    <row r="3899" spans="1:9">
      <c r="A3899" s="156">
        <f>'Reported burning'!A3905</f>
        <v>0</v>
      </c>
      <c r="B3899" s="156">
        <f>'Reported burning'!B3905</f>
        <v>0</v>
      </c>
      <c r="C3899" s="156">
        <f>'Reported burning'!C3905</f>
        <v>0</v>
      </c>
      <c r="D3899" s="156">
        <f>'Reported burning'!D3905</f>
        <v>0</v>
      </c>
      <c r="E3899" s="156">
        <f>'Reported burning'!E3905</f>
        <v>0</v>
      </c>
      <c r="F3899" s="156">
        <f>'Reported burning'!F3905</f>
        <v>0</v>
      </c>
      <c r="G3899" s="156">
        <f>'Reported burning'!G3905</f>
        <v>0</v>
      </c>
      <c r="H3899" s="156">
        <f>'Reported burning'!H3905</f>
        <v>0</v>
      </c>
      <c r="I3899" s="5"/>
    </row>
    <row r="3900" spans="1:9">
      <c r="A3900" s="156">
        <f>'Reported burning'!A3906</f>
        <v>0</v>
      </c>
      <c r="B3900" s="156">
        <f>'Reported burning'!B3906</f>
        <v>0</v>
      </c>
      <c r="C3900" s="156">
        <f>'Reported burning'!C3906</f>
        <v>0</v>
      </c>
      <c r="D3900" s="156">
        <f>'Reported burning'!D3906</f>
        <v>0</v>
      </c>
      <c r="E3900" s="156">
        <f>'Reported burning'!E3906</f>
        <v>0</v>
      </c>
      <c r="F3900" s="156">
        <f>'Reported burning'!F3906</f>
        <v>0</v>
      </c>
      <c r="G3900" s="156">
        <f>'Reported burning'!G3906</f>
        <v>0</v>
      </c>
      <c r="H3900" s="156">
        <f>'Reported burning'!H3906</f>
        <v>0</v>
      </c>
      <c r="I3900" s="5"/>
    </row>
    <row r="3901" spans="1:9">
      <c r="A3901" s="156">
        <f>'Reported burning'!A3907</f>
        <v>0</v>
      </c>
      <c r="B3901" s="156">
        <f>'Reported burning'!B3907</f>
        <v>0</v>
      </c>
      <c r="C3901" s="156">
        <f>'Reported burning'!C3907</f>
        <v>0</v>
      </c>
      <c r="D3901" s="156">
        <f>'Reported burning'!D3907</f>
        <v>0</v>
      </c>
      <c r="E3901" s="156">
        <f>'Reported burning'!E3907</f>
        <v>0</v>
      </c>
      <c r="F3901" s="156">
        <f>'Reported burning'!F3907</f>
        <v>0</v>
      </c>
      <c r="G3901" s="156">
        <f>'Reported burning'!G3907</f>
        <v>0</v>
      </c>
      <c r="H3901" s="156">
        <f>'Reported burning'!H3907</f>
        <v>0</v>
      </c>
      <c r="I3901" s="5"/>
    </row>
    <row r="3902" spans="1:9">
      <c r="A3902" s="156">
        <f>'Reported burning'!A3908</f>
        <v>0</v>
      </c>
      <c r="B3902" s="156">
        <f>'Reported burning'!B3908</f>
        <v>0</v>
      </c>
      <c r="C3902" s="156">
        <f>'Reported burning'!C3908</f>
        <v>0</v>
      </c>
      <c r="D3902" s="156">
        <f>'Reported burning'!D3908</f>
        <v>0</v>
      </c>
      <c r="E3902" s="156">
        <f>'Reported burning'!E3908</f>
        <v>0</v>
      </c>
      <c r="F3902" s="156">
        <f>'Reported burning'!F3908</f>
        <v>0</v>
      </c>
      <c r="G3902" s="156">
        <f>'Reported burning'!G3908</f>
        <v>0</v>
      </c>
      <c r="H3902" s="156">
        <f>'Reported burning'!H3908</f>
        <v>0</v>
      </c>
      <c r="I3902" s="5"/>
    </row>
    <row r="3903" spans="1:9">
      <c r="A3903" s="156">
        <f>'Reported burning'!A3909</f>
        <v>0</v>
      </c>
      <c r="B3903" s="156">
        <f>'Reported burning'!B3909</f>
        <v>0</v>
      </c>
      <c r="C3903" s="156">
        <f>'Reported burning'!C3909</f>
        <v>0</v>
      </c>
      <c r="D3903" s="156">
        <f>'Reported burning'!D3909</f>
        <v>0</v>
      </c>
      <c r="E3903" s="156">
        <f>'Reported burning'!E3909</f>
        <v>0</v>
      </c>
      <c r="F3903" s="156">
        <f>'Reported burning'!F3909</f>
        <v>0</v>
      </c>
      <c r="G3903" s="156">
        <f>'Reported burning'!G3909</f>
        <v>0</v>
      </c>
      <c r="H3903" s="156">
        <f>'Reported burning'!H3909</f>
        <v>0</v>
      </c>
      <c r="I3903" s="5"/>
    </row>
    <row r="3904" spans="1:9">
      <c r="A3904" s="156">
        <f>'Reported burning'!A3910</f>
        <v>0</v>
      </c>
      <c r="B3904" s="156">
        <f>'Reported burning'!B3910</f>
        <v>0</v>
      </c>
      <c r="C3904" s="156">
        <f>'Reported burning'!C3910</f>
        <v>0</v>
      </c>
      <c r="D3904" s="156">
        <f>'Reported burning'!D3910</f>
        <v>0</v>
      </c>
      <c r="E3904" s="156">
        <f>'Reported burning'!E3910</f>
        <v>0</v>
      </c>
      <c r="F3904" s="156">
        <f>'Reported burning'!F3910</f>
        <v>0</v>
      </c>
      <c r="G3904" s="156">
        <f>'Reported burning'!G3910</f>
        <v>0</v>
      </c>
      <c r="H3904" s="156">
        <f>'Reported burning'!H3910</f>
        <v>0</v>
      </c>
      <c r="I3904" s="5"/>
    </row>
    <row r="3905" spans="1:9">
      <c r="A3905" s="156">
        <f>'Reported burning'!A3911</f>
        <v>0</v>
      </c>
      <c r="B3905" s="156">
        <f>'Reported burning'!B3911</f>
        <v>0</v>
      </c>
      <c r="C3905" s="156">
        <f>'Reported burning'!C3911</f>
        <v>0</v>
      </c>
      <c r="D3905" s="156">
        <f>'Reported burning'!D3911</f>
        <v>0</v>
      </c>
      <c r="E3905" s="156">
        <f>'Reported burning'!E3911</f>
        <v>0</v>
      </c>
      <c r="F3905" s="156">
        <f>'Reported burning'!F3911</f>
        <v>0</v>
      </c>
      <c r="G3905" s="156">
        <f>'Reported burning'!G3911</f>
        <v>0</v>
      </c>
      <c r="H3905" s="156">
        <f>'Reported burning'!H3911</f>
        <v>0</v>
      </c>
      <c r="I3905" s="5"/>
    </row>
    <row r="3906" spans="1:9">
      <c r="A3906" s="156">
        <f>'Reported burning'!A3912</f>
        <v>0</v>
      </c>
      <c r="B3906" s="156">
        <f>'Reported burning'!B3912</f>
        <v>0</v>
      </c>
      <c r="C3906" s="156">
        <f>'Reported burning'!C3912</f>
        <v>0</v>
      </c>
      <c r="D3906" s="156">
        <f>'Reported burning'!D3912</f>
        <v>0</v>
      </c>
      <c r="E3906" s="156">
        <f>'Reported burning'!E3912</f>
        <v>0</v>
      </c>
      <c r="F3906" s="156">
        <f>'Reported burning'!F3912</f>
        <v>0</v>
      </c>
      <c r="G3906" s="156">
        <f>'Reported burning'!G3912</f>
        <v>0</v>
      </c>
      <c r="H3906" s="156">
        <f>'Reported burning'!H3912</f>
        <v>0</v>
      </c>
      <c r="I3906" s="5"/>
    </row>
    <row r="3907" spans="1:9">
      <c r="A3907" s="156">
        <f>'Reported burning'!A3913</f>
        <v>0</v>
      </c>
      <c r="B3907" s="156">
        <f>'Reported burning'!B3913</f>
        <v>0</v>
      </c>
      <c r="C3907" s="156">
        <f>'Reported burning'!C3913</f>
        <v>0</v>
      </c>
      <c r="D3907" s="156">
        <f>'Reported burning'!D3913</f>
        <v>0</v>
      </c>
      <c r="E3907" s="156">
        <f>'Reported burning'!E3913</f>
        <v>0</v>
      </c>
      <c r="F3907" s="156">
        <f>'Reported burning'!F3913</f>
        <v>0</v>
      </c>
      <c r="G3907" s="156">
        <f>'Reported burning'!G3913</f>
        <v>0</v>
      </c>
      <c r="H3907" s="156">
        <f>'Reported burning'!H3913</f>
        <v>0</v>
      </c>
      <c r="I3907" s="5"/>
    </row>
    <row r="3908" spans="1:9">
      <c r="A3908" s="156">
        <f>'Reported burning'!A3914</f>
        <v>0</v>
      </c>
      <c r="B3908" s="156">
        <f>'Reported burning'!B3914</f>
        <v>0</v>
      </c>
      <c r="C3908" s="156">
        <f>'Reported burning'!C3914</f>
        <v>0</v>
      </c>
      <c r="D3908" s="156">
        <f>'Reported burning'!D3914</f>
        <v>0</v>
      </c>
      <c r="E3908" s="156">
        <f>'Reported burning'!E3914</f>
        <v>0</v>
      </c>
      <c r="F3908" s="156">
        <f>'Reported burning'!F3914</f>
        <v>0</v>
      </c>
      <c r="G3908" s="156">
        <f>'Reported burning'!G3914</f>
        <v>0</v>
      </c>
      <c r="H3908" s="156">
        <f>'Reported burning'!H3914</f>
        <v>0</v>
      </c>
      <c r="I3908" s="5"/>
    </row>
    <row r="3909" spans="1:9">
      <c r="A3909" s="156">
        <f>'Reported burning'!A3915</f>
        <v>0</v>
      </c>
      <c r="B3909" s="156">
        <f>'Reported burning'!B3915</f>
        <v>0</v>
      </c>
      <c r="C3909" s="156">
        <f>'Reported burning'!C3915</f>
        <v>0</v>
      </c>
      <c r="D3909" s="156">
        <f>'Reported burning'!D3915</f>
        <v>0</v>
      </c>
      <c r="E3909" s="156">
        <f>'Reported burning'!E3915</f>
        <v>0</v>
      </c>
      <c r="F3909" s="156">
        <f>'Reported burning'!F3915</f>
        <v>0</v>
      </c>
      <c r="G3909" s="156">
        <f>'Reported burning'!G3915</f>
        <v>0</v>
      </c>
      <c r="H3909" s="156">
        <f>'Reported burning'!H3915</f>
        <v>0</v>
      </c>
      <c r="I3909" s="5"/>
    </row>
    <row r="3910" spans="1:9">
      <c r="A3910" s="156">
        <f>'Reported burning'!A3916</f>
        <v>0</v>
      </c>
      <c r="B3910" s="156">
        <f>'Reported burning'!B3916</f>
        <v>0</v>
      </c>
      <c r="C3910" s="156">
        <f>'Reported burning'!C3916</f>
        <v>0</v>
      </c>
      <c r="D3910" s="156">
        <f>'Reported burning'!D3916</f>
        <v>0</v>
      </c>
      <c r="E3910" s="156">
        <f>'Reported burning'!E3916</f>
        <v>0</v>
      </c>
      <c r="F3910" s="156">
        <f>'Reported burning'!F3916</f>
        <v>0</v>
      </c>
      <c r="G3910" s="156">
        <f>'Reported burning'!G3916</f>
        <v>0</v>
      </c>
      <c r="H3910" s="156">
        <f>'Reported burning'!H3916</f>
        <v>0</v>
      </c>
      <c r="I3910" s="5"/>
    </row>
    <row r="3911" spans="1:9">
      <c r="A3911" s="156">
        <f>'Reported burning'!A3917</f>
        <v>0</v>
      </c>
      <c r="B3911" s="156">
        <f>'Reported burning'!B3917</f>
        <v>0</v>
      </c>
      <c r="C3911" s="156">
        <f>'Reported burning'!C3917</f>
        <v>0</v>
      </c>
      <c r="D3911" s="156">
        <f>'Reported burning'!D3917</f>
        <v>0</v>
      </c>
      <c r="E3911" s="156">
        <f>'Reported burning'!E3917</f>
        <v>0</v>
      </c>
      <c r="F3911" s="156">
        <f>'Reported burning'!F3917</f>
        <v>0</v>
      </c>
      <c r="G3911" s="156">
        <f>'Reported burning'!G3917</f>
        <v>0</v>
      </c>
      <c r="H3911" s="156">
        <f>'Reported burning'!H3917</f>
        <v>0</v>
      </c>
      <c r="I3911" s="5"/>
    </row>
    <row r="3912" spans="1:9">
      <c r="A3912" s="156">
        <f>'Reported burning'!A3918</f>
        <v>0</v>
      </c>
      <c r="B3912" s="156">
        <f>'Reported burning'!B3918</f>
        <v>0</v>
      </c>
      <c r="C3912" s="156">
        <f>'Reported burning'!C3918</f>
        <v>0</v>
      </c>
      <c r="D3912" s="156">
        <f>'Reported burning'!D3918</f>
        <v>0</v>
      </c>
      <c r="E3912" s="156">
        <f>'Reported burning'!E3918</f>
        <v>0</v>
      </c>
      <c r="F3912" s="156">
        <f>'Reported burning'!F3918</f>
        <v>0</v>
      </c>
      <c r="G3912" s="156">
        <f>'Reported burning'!G3918</f>
        <v>0</v>
      </c>
      <c r="H3912" s="156">
        <f>'Reported burning'!H3918</f>
        <v>0</v>
      </c>
      <c r="I3912" s="5"/>
    </row>
    <row r="3913" spans="1:9">
      <c r="A3913" s="156">
        <f>'Reported burning'!A3919</f>
        <v>0</v>
      </c>
      <c r="B3913" s="156">
        <f>'Reported burning'!B3919</f>
        <v>0</v>
      </c>
      <c r="C3913" s="156">
        <f>'Reported burning'!C3919</f>
        <v>0</v>
      </c>
      <c r="D3913" s="156">
        <f>'Reported burning'!D3919</f>
        <v>0</v>
      </c>
      <c r="E3913" s="156">
        <f>'Reported burning'!E3919</f>
        <v>0</v>
      </c>
      <c r="F3913" s="156">
        <f>'Reported burning'!F3919</f>
        <v>0</v>
      </c>
      <c r="G3913" s="156">
        <f>'Reported burning'!G3919</f>
        <v>0</v>
      </c>
      <c r="H3913" s="156">
        <f>'Reported burning'!H3919</f>
        <v>0</v>
      </c>
      <c r="I3913" s="5"/>
    </row>
    <row r="3914" spans="1:9">
      <c r="A3914" s="156">
        <f>'Reported burning'!A3920</f>
        <v>0</v>
      </c>
      <c r="B3914" s="156">
        <f>'Reported burning'!B3920</f>
        <v>0</v>
      </c>
      <c r="C3914" s="156">
        <f>'Reported burning'!C3920</f>
        <v>0</v>
      </c>
      <c r="D3914" s="156">
        <f>'Reported burning'!D3920</f>
        <v>0</v>
      </c>
      <c r="E3914" s="156">
        <f>'Reported burning'!E3920</f>
        <v>0</v>
      </c>
      <c r="F3914" s="156">
        <f>'Reported burning'!F3920</f>
        <v>0</v>
      </c>
      <c r="G3914" s="156">
        <f>'Reported burning'!G3920</f>
        <v>0</v>
      </c>
      <c r="H3914" s="156">
        <f>'Reported burning'!H3920</f>
        <v>0</v>
      </c>
      <c r="I3914" s="5"/>
    </row>
    <row r="3915" spans="1:9">
      <c r="A3915" s="156">
        <f>'Reported burning'!A3921</f>
        <v>0</v>
      </c>
      <c r="B3915" s="156">
        <f>'Reported burning'!B3921</f>
        <v>0</v>
      </c>
      <c r="C3915" s="156">
        <f>'Reported burning'!C3921</f>
        <v>0</v>
      </c>
      <c r="D3915" s="156">
        <f>'Reported burning'!D3921</f>
        <v>0</v>
      </c>
      <c r="E3915" s="156">
        <f>'Reported burning'!E3921</f>
        <v>0</v>
      </c>
      <c r="F3915" s="156">
        <f>'Reported burning'!F3921</f>
        <v>0</v>
      </c>
      <c r="G3915" s="156">
        <f>'Reported burning'!G3921</f>
        <v>0</v>
      </c>
      <c r="H3915" s="156">
        <f>'Reported burning'!H3921</f>
        <v>0</v>
      </c>
      <c r="I3915" s="5"/>
    </row>
    <row r="3916" spans="1:9">
      <c r="A3916" s="156">
        <f>'Reported burning'!A3922</f>
        <v>0</v>
      </c>
      <c r="B3916" s="156">
        <f>'Reported burning'!B3922</f>
        <v>0</v>
      </c>
      <c r="C3916" s="156">
        <f>'Reported burning'!C3922</f>
        <v>0</v>
      </c>
      <c r="D3916" s="156">
        <f>'Reported burning'!D3922</f>
        <v>0</v>
      </c>
      <c r="E3916" s="156">
        <f>'Reported burning'!E3922</f>
        <v>0</v>
      </c>
      <c r="F3916" s="156">
        <f>'Reported burning'!F3922</f>
        <v>0</v>
      </c>
      <c r="G3916" s="156">
        <f>'Reported burning'!G3922</f>
        <v>0</v>
      </c>
      <c r="H3916" s="156">
        <f>'Reported burning'!H3922</f>
        <v>0</v>
      </c>
      <c r="I3916" s="5"/>
    </row>
    <row r="3917" spans="1:9">
      <c r="A3917" s="156">
        <f>'Reported burning'!A3923</f>
        <v>0</v>
      </c>
      <c r="B3917" s="156">
        <f>'Reported burning'!B3923</f>
        <v>0</v>
      </c>
      <c r="C3917" s="156">
        <f>'Reported burning'!C3923</f>
        <v>0</v>
      </c>
      <c r="D3917" s="156">
        <f>'Reported burning'!D3923</f>
        <v>0</v>
      </c>
      <c r="E3917" s="156">
        <f>'Reported burning'!E3923</f>
        <v>0</v>
      </c>
      <c r="F3917" s="156">
        <f>'Reported burning'!F3923</f>
        <v>0</v>
      </c>
      <c r="G3917" s="156">
        <f>'Reported burning'!G3923</f>
        <v>0</v>
      </c>
      <c r="H3917" s="156">
        <f>'Reported burning'!H3923</f>
        <v>0</v>
      </c>
      <c r="I3917" s="5"/>
    </row>
    <row r="3918" spans="1:9">
      <c r="A3918" s="156">
        <f>'Reported burning'!A3924</f>
        <v>0</v>
      </c>
      <c r="B3918" s="156">
        <f>'Reported burning'!B3924</f>
        <v>0</v>
      </c>
      <c r="C3918" s="156">
        <f>'Reported burning'!C3924</f>
        <v>0</v>
      </c>
      <c r="D3918" s="156">
        <f>'Reported burning'!D3924</f>
        <v>0</v>
      </c>
      <c r="E3918" s="156">
        <f>'Reported burning'!E3924</f>
        <v>0</v>
      </c>
      <c r="F3918" s="156">
        <f>'Reported burning'!F3924</f>
        <v>0</v>
      </c>
      <c r="G3918" s="156">
        <f>'Reported burning'!G3924</f>
        <v>0</v>
      </c>
      <c r="H3918" s="156">
        <f>'Reported burning'!H3924</f>
        <v>0</v>
      </c>
      <c r="I3918" s="5"/>
    </row>
    <row r="3919" spans="1:9">
      <c r="A3919" s="156">
        <f>'Reported burning'!A3925</f>
        <v>0</v>
      </c>
      <c r="B3919" s="156">
        <f>'Reported burning'!B3925</f>
        <v>0</v>
      </c>
      <c r="C3919" s="156">
        <f>'Reported burning'!C3925</f>
        <v>0</v>
      </c>
      <c r="D3919" s="156">
        <f>'Reported burning'!D3925</f>
        <v>0</v>
      </c>
      <c r="E3919" s="156">
        <f>'Reported burning'!E3925</f>
        <v>0</v>
      </c>
      <c r="F3919" s="156">
        <f>'Reported burning'!F3925</f>
        <v>0</v>
      </c>
      <c r="G3919" s="156">
        <f>'Reported burning'!G3925</f>
        <v>0</v>
      </c>
      <c r="H3919" s="156">
        <f>'Reported burning'!H3925</f>
        <v>0</v>
      </c>
      <c r="I3919" s="5"/>
    </row>
    <row r="3920" spans="1:9">
      <c r="A3920" s="156">
        <f>'Reported burning'!A3926</f>
        <v>0</v>
      </c>
      <c r="B3920" s="156">
        <f>'Reported burning'!B3926</f>
        <v>0</v>
      </c>
      <c r="C3920" s="156">
        <f>'Reported burning'!C3926</f>
        <v>0</v>
      </c>
      <c r="D3920" s="156">
        <f>'Reported burning'!D3926</f>
        <v>0</v>
      </c>
      <c r="E3920" s="156">
        <f>'Reported burning'!E3926</f>
        <v>0</v>
      </c>
      <c r="F3920" s="156">
        <f>'Reported burning'!F3926</f>
        <v>0</v>
      </c>
      <c r="G3920" s="156">
        <f>'Reported burning'!G3926</f>
        <v>0</v>
      </c>
      <c r="H3920" s="156">
        <f>'Reported burning'!H3926</f>
        <v>0</v>
      </c>
      <c r="I3920" s="5"/>
    </row>
    <row r="3921" spans="1:9">
      <c r="A3921" s="156">
        <f>'Reported burning'!A3927</f>
        <v>0</v>
      </c>
      <c r="B3921" s="156">
        <f>'Reported burning'!B3927</f>
        <v>0</v>
      </c>
      <c r="C3921" s="156">
        <f>'Reported burning'!C3927</f>
        <v>0</v>
      </c>
      <c r="D3921" s="156">
        <f>'Reported burning'!D3927</f>
        <v>0</v>
      </c>
      <c r="E3921" s="156">
        <f>'Reported burning'!E3927</f>
        <v>0</v>
      </c>
      <c r="F3921" s="156">
        <f>'Reported burning'!F3927</f>
        <v>0</v>
      </c>
      <c r="G3921" s="156">
        <f>'Reported burning'!G3927</f>
        <v>0</v>
      </c>
      <c r="H3921" s="156">
        <f>'Reported burning'!H3927</f>
        <v>0</v>
      </c>
      <c r="I3921" s="5"/>
    </row>
    <row r="3922" spans="1:9">
      <c r="A3922" s="156">
        <f>'Reported burning'!A3928</f>
        <v>0</v>
      </c>
      <c r="B3922" s="156">
        <f>'Reported burning'!B3928</f>
        <v>0</v>
      </c>
      <c r="C3922" s="156">
        <f>'Reported burning'!C3928</f>
        <v>0</v>
      </c>
      <c r="D3922" s="156">
        <f>'Reported burning'!D3928</f>
        <v>0</v>
      </c>
      <c r="E3922" s="156">
        <f>'Reported burning'!E3928</f>
        <v>0</v>
      </c>
      <c r="F3922" s="156">
        <f>'Reported burning'!F3928</f>
        <v>0</v>
      </c>
      <c r="G3922" s="156">
        <f>'Reported burning'!G3928</f>
        <v>0</v>
      </c>
      <c r="H3922" s="156">
        <f>'Reported burning'!H3928</f>
        <v>0</v>
      </c>
      <c r="I3922" s="5"/>
    </row>
    <row r="3923" spans="1:9">
      <c r="A3923" s="156">
        <f>'Reported burning'!A3929</f>
        <v>0</v>
      </c>
      <c r="B3923" s="156">
        <f>'Reported burning'!B3929</f>
        <v>0</v>
      </c>
      <c r="C3923" s="156">
        <f>'Reported burning'!C3929</f>
        <v>0</v>
      </c>
      <c r="D3923" s="156">
        <f>'Reported burning'!D3929</f>
        <v>0</v>
      </c>
      <c r="E3923" s="156">
        <f>'Reported burning'!E3929</f>
        <v>0</v>
      </c>
      <c r="F3923" s="156">
        <f>'Reported burning'!F3929</f>
        <v>0</v>
      </c>
      <c r="G3923" s="156">
        <f>'Reported burning'!G3929</f>
        <v>0</v>
      </c>
      <c r="H3923" s="156">
        <f>'Reported burning'!H3929</f>
        <v>0</v>
      </c>
      <c r="I3923" s="5"/>
    </row>
    <row r="3924" spans="1:9">
      <c r="A3924" s="156">
        <f>'Reported burning'!A3930</f>
        <v>0</v>
      </c>
      <c r="B3924" s="156">
        <f>'Reported burning'!B3930</f>
        <v>0</v>
      </c>
      <c r="C3924" s="156">
        <f>'Reported burning'!C3930</f>
        <v>0</v>
      </c>
      <c r="D3924" s="156">
        <f>'Reported burning'!D3930</f>
        <v>0</v>
      </c>
      <c r="E3924" s="156">
        <f>'Reported burning'!E3930</f>
        <v>0</v>
      </c>
      <c r="F3924" s="156">
        <f>'Reported burning'!F3930</f>
        <v>0</v>
      </c>
      <c r="G3924" s="156">
        <f>'Reported burning'!G3930</f>
        <v>0</v>
      </c>
      <c r="H3924" s="156">
        <f>'Reported burning'!H3930</f>
        <v>0</v>
      </c>
      <c r="I3924" s="5"/>
    </row>
    <row r="3925" spans="1:9">
      <c r="A3925" s="156">
        <f>'Reported burning'!A3931</f>
        <v>0</v>
      </c>
      <c r="B3925" s="156">
        <f>'Reported burning'!B3931</f>
        <v>0</v>
      </c>
      <c r="C3925" s="156">
        <f>'Reported burning'!C3931</f>
        <v>0</v>
      </c>
      <c r="D3925" s="156">
        <f>'Reported burning'!D3931</f>
        <v>0</v>
      </c>
      <c r="E3925" s="156">
        <f>'Reported burning'!E3931</f>
        <v>0</v>
      </c>
      <c r="F3925" s="156">
        <f>'Reported burning'!F3931</f>
        <v>0</v>
      </c>
      <c r="G3925" s="156">
        <f>'Reported burning'!G3931</f>
        <v>0</v>
      </c>
      <c r="H3925" s="156">
        <f>'Reported burning'!H3931</f>
        <v>0</v>
      </c>
      <c r="I3925" s="5"/>
    </row>
    <row r="3926" spans="1:9">
      <c r="A3926" s="156">
        <f>'Reported burning'!A3932</f>
        <v>0</v>
      </c>
      <c r="B3926" s="156">
        <f>'Reported burning'!B3932</f>
        <v>0</v>
      </c>
      <c r="C3926" s="156">
        <f>'Reported burning'!C3932</f>
        <v>0</v>
      </c>
      <c r="D3926" s="156">
        <f>'Reported burning'!D3932</f>
        <v>0</v>
      </c>
      <c r="E3926" s="156">
        <f>'Reported burning'!E3932</f>
        <v>0</v>
      </c>
      <c r="F3926" s="156">
        <f>'Reported burning'!F3932</f>
        <v>0</v>
      </c>
      <c r="G3926" s="156">
        <f>'Reported burning'!G3932</f>
        <v>0</v>
      </c>
      <c r="H3926" s="156">
        <f>'Reported burning'!H3932</f>
        <v>0</v>
      </c>
      <c r="I3926" s="5"/>
    </row>
    <row r="3927" spans="1:9">
      <c r="A3927" s="156">
        <f>'Reported burning'!A3933</f>
        <v>0</v>
      </c>
      <c r="B3927" s="156">
        <f>'Reported burning'!B3933</f>
        <v>0</v>
      </c>
      <c r="C3927" s="156">
        <f>'Reported burning'!C3933</f>
        <v>0</v>
      </c>
      <c r="D3927" s="156">
        <f>'Reported burning'!D3933</f>
        <v>0</v>
      </c>
      <c r="E3927" s="156">
        <f>'Reported burning'!E3933</f>
        <v>0</v>
      </c>
      <c r="F3927" s="156">
        <f>'Reported burning'!F3933</f>
        <v>0</v>
      </c>
      <c r="G3927" s="156">
        <f>'Reported burning'!G3933</f>
        <v>0</v>
      </c>
      <c r="H3927" s="156">
        <f>'Reported burning'!H3933</f>
        <v>0</v>
      </c>
      <c r="I3927" s="5"/>
    </row>
    <row r="3928" spans="1:9">
      <c r="A3928" s="156">
        <f>'Reported burning'!A3934</f>
        <v>0</v>
      </c>
      <c r="B3928" s="156">
        <f>'Reported burning'!B3934</f>
        <v>0</v>
      </c>
      <c r="C3928" s="156">
        <f>'Reported burning'!C3934</f>
        <v>0</v>
      </c>
      <c r="D3928" s="156">
        <f>'Reported burning'!D3934</f>
        <v>0</v>
      </c>
      <c r="E3928" s="156">
        <f>'Reported burning'!E3934</f>
        <v>0</v>
      </c>
      <c r="F3928" s="156">
        <f>'Reported burning'!F3934</f>
        <v>0</v>
      </c>
      <c r="G3928" s="156">
        <f>'Reported burning'!G3934</f>
        <v>0</v>
      </c>
      <c r="H3928" s="156">
        <f>'Reported burning'!H3934</f>
        <v>0</v>
      </c>
      <c r="I3928" s="5"/>
    </row>
    <row r="3929" spans="1:9">
      <c r="A3929" s="156">
        <f>'Reported burning'!A3935</f>
        <v>0</v>
      </c>
      <c r="B3929" s="156">
        <f>'Reported burning'!B3935</f>
        <v>0</v>
      </c>
      <c r="C3929" s="156">
        <f>'Reported burning'!C3935</f>
        <v>0</v>
      </c>
      <c r="D3929" s="156">
        <f>'Reported burning'!D3935</f>
        <v>0</v>
      </c>
      <c r="E3929" s="156">
        <f>'Reported burning'!E3935</f>
        <v>0</v>
      </c>
      <c r="F3929" s="156">
        <f>'Reported burning'!F3935</f>
        <v>0</v>
      </c>
      <c r="G3929" s="156">
        <f>'Reported burning'!G3935</f>
        <v>0</v>
      </c>
      <c r="H3929" s="156">
        <f>'Reported burning'!H3935</f>
        <v>0</v>
      </c>
      <c r="I3929" s="5"/>
    </row>
    <row r="3930" spans="1:9">
      <c r="A3930" s="156">
        <f>'Reported burning'!A3936</f>
        <v>0</v>
      </c>
      <c r="B3930" s="156">
        <f>'Reported burning'!B3936</f>
        <v>0</v>
      </c>
      <c r="C3930" s="156">
        <f>'Reported burning'!C3936</f>
        <v>0</v>
      </c>
      <c r="D3930" s="156">
        <f>'Reported burning'!D3936</f>
        <v>0</v>
      </c>
      <c r="E3930" s="156">
        <f>'Reported burning'!E3936</f>
        <v>0</v>
      </c>
      <c r="F3930" s="156">
        <f>'Reported burning'!F3936</f>
        <v>0</v>
      </c>
      <c r="G3930" s="156">
        <f>'Reported burning'!G3936</f>
        <v>0</v>
      </c>
      <c r="H3930" s="156">
        <f>'Reported burning'!H3936</f>
        <v>0</v>
      </c>
      <c r="I3930" s="5"/>
    </row>
    <row r="3931" spans="1:9">
      <c r="A3931" s="156">
        <f>'Reported burning'!A3937</f>
        <v>0</v>
      </c>
      <c r="B3931" s="156">
        <f>'Reported burning'!B3937</f>
        <v>0</v>
      </c>
      <c r="C3931" s="156">
        <f>'Reported burning'!C3937</f>
        <v>0</v>
      </c>
      <c r="D3931" s="156">
        <f>'Reported burning'!D3937</f>
        <v>0</v>
      </c>
      <c r="E3931" s="156">
        <f>'Reported burning'!E3937</f>
        <v>0</v>
      </c>
      <c r="F3931" s="156">
        <f>'Reported burning'!F3937</f>
        <v>0</v>
      </c>
      <c r="G3931" s="156">
        <f>'Reported burning'!G3937</f>
        <v>0</v>
      </c>
      <c r="H3931" s="156">
        <f>'Reported burning'!H3937</f>
        <v>0</v>
      </c>
      <c r="I3931" s="5"/>
    </row>
    <row r="3932" spans="1:9">
      <c r="A3932" s="156">
        <f>'Reported burning'!A3938</f>
        <v>0</v>
      </c>
      <c r="B3932" s="156">
        <f>'Reported burning'!B3938</f>
        <v>0</v>
      </c>
      <c r="C3932" s="156">
        <f>'Reported burning'!C3938</f>
        <v>0</v>
      </c>
      <c r="D3932" s="156">
        <f>'Reported burning'!D3938</f>
        <v>0</v>
      </c>
      <c r="E3932" s="156">
        <f>'Reported burning'!E3938</f>
        <v>0</v>
      </c>
      <c r="F3932" s="156">
        <f>'Reported burning'!F3938</f>
        <v>0</v>
      </c>
      <c r="G3932" s="156">
        <f>'Reported burning'!G3938</f>
        <v>0</v>
      </c>
      <c r="H3932" s="156">
        <f>'Reported burning'!H3938</f>
        <v>0</v>
      </c>
      <c r="I3932" s="5"/>
    </row>
    <row r="3933" spans="1:9">
      <c r="A3933" s="156">
        <f>'Reported burning'!A3939</f>
        <v>0</v>
      </c>
      <c r="B3933" s="156">
        <f>'Reported burning'!B3939</f>
        <v>0</v>
      </c>
      <c r="C3933" s="156">
        <f>'Reported burning'!C3939</f>
        <v>0</v>
      </c>
      <c r="D3933" s="156">
        <f>'Reported burning'!D3939</f>
        <v>0</v>
      </c>
      <c r="E3933" s="156">
        <f>'Reported burning'!E3939</f>
        <v>0</v>
      </c>
      <c r="F3933" s="156">
        <f>'Reported burning'!F3939</f>
        <v>0</v>
      </c>
      <c r="G3933" s="156">
        <f>'Reported burning'!G3939</f>
        <v>0</v>
      </c>
      <c r="H3933" s="156">
        <f>'Reported burning'!H3939</f>
        <v>0</v>
      </c>
      <c r="I3933" s="5"/>
    </row>
    <row r="3934" spans="1:9">
      <c r="A3934" s="156">
        <f>'Reported burning'!A3940</f>
        <v>0</v>
      </c>
      <c r="B3934" s="156">
        <f>'Reported burning'!B3940</f>
        <v>0</v>
      </c>
      <c r="C3934" s="156">
        <f>'Reported burning'!C3940</f>
        <v>0</v>
      </c>
      <c r="D3934" s="156">
        <f>'Reported burning'!D3940</f>
        <v>0</v>
      </c>
      <c r="E3934" s="156">
        <f>'Reported burning'!E3940</f>
        <v>0</v>
      </c>
      <c r="F3934" s="156">
        <f>'Reported burning'!F3940</f>
        <v>0</v>
      </c>
      <c r="G3934" s="156">
        <f>'Reported burning'!G3940</f>
        <v>0</v>
      </c>
      <c r="H3934" s="156">
        <f>'Reported burning'!H3940</f>
        <v>0</v>
      </c>
      <c r="I3934" s="5"/>
    </row>
    <row r="3935" spans="1:9">
      <c r="A3935" s="156">
        <f>'Reported burning'!A3941</f>
        <v>0</v>
      </c>
      <c r="B3935" s="156">
        <f>'Reported burning'!B3941</f>
        <v>0</v>
      </c>
      <c r="C3935" s="156">
        <f>'Reported burning'!C3941</f>
        <v>0</v>
      </c>
      <c r="D3935" s="156">
        <f>'Reported burning'!D3941</f>
        <v>0</v>
      </c>
      <c r="E3935" s="156">
        <f>'Reported burning'!E3941</f>
        <v>0</v>
      </c>
      <c r="F3935" s="156">
        <f>'Reported burning'!F3941</f>
        <v>0</v>
      </c>
      <c r="G3935" s="156">
        <f>'Reported burning'!G3941</f>
        <v>0</v>
      </c>
      <c r="H3935" s="156">
        <f>'Reported burning'!H3941</f>
        <v>0</v>
      </c>
      <c r="I3935" s="5"/>
    </row>
    <row r="3936" spans="1:9">
      <c r="A3936" s="156">
        <f>'Reported burning'!A3942</f>
        <v>0</v>
      </c>
      <c r="B3936" s="156">
        <f>'Reported burning'!B3942</f>
        <v>0</v>
      </c>
      <c r="C3936" s="156">
        <f>'Reported burning'!C3942</f>
        <v>0</v>
      </c>
      <c r="D3936" s="156">
        <f>'Reported burning'!D3942</f>
        <v>0</v>
      </c>
      <c r="E3936" s="156">
        <f>'Reported burning'!E3942</f>
        <v>0</v>
      </c>
      <c r="F3936" s="156">
        <f>'Reported burning'!F3942</f>
        <v>0</v>
      </c>
      <c r="G3936" s="156">
        <f>'Reported burning'!G3942</f>
        <v>0</v>
      </c>
      <c r="H3936" s="156">
        <f>'Reported burning'!H3942</f>
        <v>0</v>
      </c>
      <c r="I3936" s="5"/>
    </row>
    <row r="3937" spans="1:9">
      <c r="A3937" s="156">
        <f>'Reported burning'!A3943</f>
        <v>0</v>
      </c>
      <c r="B3937" s="156">
        <f>'Reported burning'!B3943</f>
        <v>0</v>
      </c>
      <c r="C3937" s="156">
        <f>'Reported burning'!C3943</f>
        <v>0</v>
      </c>
      <c r="D3937" s="156">
        <f>'Reported burning'!D3943</f>
        <v>0</v>
      </c>
      <c r="E3937" s="156">
        <f>'Reported burning'!E3943</f>
        <v>0</v>
      </c>
      <c r="F3937" s="156">
        <f>'Reported burning'!F3943</f>
        <v>0</v>
      </c>
      <c r="G3937" s="156">
        <f>'Reported burning'!G3943</f>
        <v>0</v>
      </c>
      <c r="H3937" s="156">
        <f>'Reported burning'!H3943</f>
        <v>0</v>
      </c>
      <c r="I3937" s="5"/>
    </row>
    <row r="3938" spans="1:9">
      <c r="A3938" s="156">
        <f>'Reported burning'!A3944</f>
        <v>0</v>
      </c>
      <c r="B3938" s="156">
        <f>'Reported burning'!B3944</f>
        <v>0</v>
      </c>
      <c r="C3938" s="156">
        <f>'Reported burning'!C3944</f>
        <v>0</v>
      </c>
      <c r="D3938" s="156">
        <f>'Reported burning'!D3944</f>
        <v>0</v>
      </c>
      <c r="E3938" s="156">
        <f>'Reported burning'!E3944</f>
        <v>0</v>
      </c>
      <c r="F3938" s="156">
        <f>'Reported burning'!F3944</f>
        <v>0</v>
      </c>
      <c r="G3938" s="156">
        <f>'Reported burning'!G3944</f>
        <v>0</v>
      </c>
      <c r="H3938" s="156">
        <f>'Reported burning'!H3944</f>
        <v>0</v>
      </c>
      <c r="I3938" s="5"/>
    </row>
    <row r="3939" spans="1:9">
      <c r="A3939" s="156">
        <f>'Reported burning'!A3945</f>
        <v>0</v>
      </c>
      <c r="B3939" s="156">
        <f>'Reported burning'!B3945</f>
        <v>0</v>
      </c>
      <c r="C3939" s="156">
        <f>'Reported burning'!C3945</f>
        <v>0</v>
      </c>
      <c r="D3939" s="156">
        <f>'Reported burning'!D3945</f>
        <v>0</v>
      </c>
      <c r="E3939" s="156">
        <f>'Reported burning'!E3945</f>
        <v>0</v>
      </c>
      <c r="F3939" s="156">
        <f>'Reported burning'!F3945</f>
        <v>0</v>
      </c>
      <c r="G3939" s="156">
        <f>'Reported burning'!G3945</f>
        <v>0</v>
      </c>
      <c r="H3939" s="156">
        <f>'Reported burning'!H3945</f>
        <v>0</v>
      </c>
      <c r="I3939" s="5"/>
    </row>
    <row r="3940" spans="1:9">
      <c r="A3940" s="156">
        <f>'Reported burning'!A3946</f>
        <v>0</v>
      </c>
      <c r="B3940" s="156">
        <f>'Reported burning'!B3946</f>
        <v>0</v>
      </c>
      <c r="C3940" s="156">
        <f>'Reported burning'!C3946</f>
        <v>0</v>
      </c>
      <c r="D3940" s="156">
        <f>'Reported burning'!D3946</f>
        <v>0</v>
      </c>
      <c r="E3940" s="156">
        <f>'Reported burning'!E3946</f>
        <v>0</v>
      </c>
      <c r="F3940" s="156">
        <f>'Reported burning'!F3946</f>
        <v>0</v>
      </c>
      <c r="G3940" s="156">
        <f>'Reported burning'!G3946</f>
        <v>0</v>
      </c>
      <c r="H3940" s="156">
        <f>'Reported burning'!H3946</f>
        <v>0</v>
      </c>
      <c r="I3940" s="5"/>
    </row>
    <row r="3941" spans="1:9">
      <c r="A3941" s="156">
        <f>'Reported burning'!A3947</f>
        <v>0</v>
      </c>
      <c r="B3941" s="156">
        <f>'Reported burning'!B3947</f>
        <v>0</v>
      </c>
      <c r="C3941" s="156">
        <f>'Reported burning'!C3947</f>
        <v>0</v>
      </c>
      <c r="D3941" s="156">
        <f>'Reported burning'!D3947</f>
        <v>0</v>
      </c>
      <c r="E3941" s="156">
        <f>'Reported burning'!E3947</f>
        <v>0</v>
      </c>
      <c r="F3941" s="156">
        <f>'Reported burning'!F3947</f>
        <v>0</v>
      </c>
      <c r="G3941" s="156">
        <f>'Reported burning'!G3947</f>
        <v>0</v>
      </c>
      <c r="H3941" s="156">
        <f>'Reported burning'!H3947</f>
        <v>0</v>
      </c>
      <c r="I3941" s="5"/>
    </row>
    <row r="3942" spans="1:9">
      <c r="A3942" s="156">
        <f>'Reported burning'!A3948</f>
        <v>0</v>
      </c>
      <c r="B3942" s="156">
        <f>'Reported burning'!B3948</f>
        <v>0</v>
      </c>
      <c r="C3942" s="156">
        <f>'Reported burning'!C3948</f>
        <v>0</v>
      </c>
      <c r="D3942" s="156">
        <f>'Reported burning'!D3948</f>
        <v>0</v>
      </c>
      <c r="E3942" s="156">
        <f>'Reported burning'!E3948</f>
        <v>0</v>
      </c>
      <c r="F3942" s="156">
        <f>'Reported burning'!F3948</f>
        <v>0</v>
      </c>
      <c r="G3942" s="156">
        <f>'Reported burning'!G3948</f>
        <v>0</v>
      </c>
      <c r="H3942" s="156">
        <f>'Reported burning'!H3948</f>
        <v>0</v>
      </c>
      <c r="I3942" s="5"/>
    </row>
    <row r="3943" spans="1:9">
      <c r="A3943" s="156">
        <f>'Reported burning'!A3949</f>
        <v>0</v>
      </c>
      <c r="B3943" s="156">
        <f>'Reported burning'!B3949</f>
        <v>0</v>
      </c>
      <c r="C3943" s="156">
        <f>'Reported burning'!C3949</f>
        <v>0</v>
      </c>
      <c r="D3943" s="156">
        <f>'Reported burning'!D3949</f>
        <v>0</v>
      </c>
      <c r="E3943" s="156">
        <f>'Reported burning'!E3949</f>
        <v>0</v>
      </c>
      <c r="F3943" s="156">
        <f>'Reported burning'!F3949</f>
        <v>0</v>
      </c>
      <c r="G3943" s="156">
        <f>'Reported burning'!G3949</f>
        <v>0</v>
      </c>
      <c r="H3943" s="156">
        <f>'Reported burning'!H3949</f>
        <v>0</v>
      </c>
      <c r="I3943" s="5"/>
    </row>
    <row r="3944" spans="1:9">
      <c r="A3944" s="156">
        <f>'Reported burning'!A3950</f>
        <v>0</v>
      </c>
      <c r="B3944" s="156">
        <f>'Reported burning'!B3950</f>
        <v>0</v>
      </c>
      <c r="C3944" s="156">
        <f>'Reported burning'!C3950</f>
        <v>0</v>
      </c>
      <c r="D3944" s="156">
        <f>'Reported burning'!D3950</f>
        <v>0</v>
      </c>
      <c r="E3944" s="156">
        <f>'Reported burning'!E3950</f>
        <v>0</v>
      </c>
      <c r="F3944" s="156">
        <f>'Reported burning'!F3950</f>
        <v>0</v>
      </c>
      <c r="G3944" s="156">
        <f>'Reported burning'!G3950</f>
        <v>0</v>
      </c>
      <c r="H3944" s="156">
        <f>'Reported burning'!H3950</f>
        <v>0</v>
      </c>
      <c r="I3944" s="5"/>
    </row>
    <row r="3945" spans="1:9">
      <c r="A3945" s="156">
        <f>'Reported burning'!A3951</f>
        <v>0</v>
      </c>
      <c r="B3945" s="156">
        <f>'Reported burning'!B3951</f>
        <v>0</v>
      </c>
      <c r="C3945" s="156">
        <f>'Reported burning'!C3951</f>
        <v>0</v>
      </c>
      <c r="D3945" s="156">
        <f>'Reported burning'!D3951</f>
        <v>0</v>
      </c>
      <c r="E3945" s="156">
        <f>'Reported burning'!E3951</f>
        <v>0</v>
      </c>
      <c r="F3945" s="156">
        <f>'Reported burning'!F3951</f>
        <v>0</v>
      </c>
      <c r="G3945" s="156">
        <f>'Reported burning'!G3951</f>
        <v>0</v>
      </c>
      <c r="H3945" s="156">
        <f>'Reported burning'!H3951</f>
        <v>0</v>
      </c>
      <c r="I3945" s="5"/>
    </row>
    <row r="3946" spans="1:9">
      <c r="A3946" s="156">
        <f>'Reported burning'!A3952</f>
        <v>0</v>
      </c>
      <c r="B3946" s="156">
        <f>'Reported burning'!B3952</f>
        <v>0</v>
      </c>
      <c r="C3946" s="156">
        <f>'Reported burning'!C3952</f>
        <v>0</v>
      </c>
      <c r="D3946" s="156">
        <f>'Reported burning'!D3952</f>
        <v>0</v>
      </c>
      <c r="E3946" s="156">
        <f>'Reported burning'!E3952</f>
        <v>0</v>
      </c>
      <c r="F3946" s="156">
        <f>'Reported burning'!F3952</f>
        <v>0</v>
      </c>
      <c r="G3946" s="156">
        <f>'Reported burning'!G3952</f>
        <v>0</v>
      </c>
      <c r="H3946" s="156">
        <f>'Reported burning'!H3952</f>
        <v>0</v>
      </c>
      <c r="I3946" s="5"/>
    </row>
    <row r="3947" spans="1:9">
      <c r="A3947" s="156">
        <f>'Reported burning'!A3953</f>
        <v>0</v>
      </c>
      <c r="B3947" s="156">
        <f>'Reported burning'!B3953</f>
        <v>0</v>
      </c>
      <c r="C3947" s="156">
        <f>'Reported burning'!C3953</f>
        <v>0</v>
      </c>
      <c r="D3947" s="156">
        <f>'Reported burning'!D3953</f>
        <v>0</v>
      </c>
      <c r="E3947" s="156">
        <f>'Reported burning'!E3953</f>
        <v>0</v>
      </c>
      <c r="F3947" s="156">
        <f>'Reported burning'!F3953</f>
        <v>0</v>
      </c>
      <c r="G3947" s="156">
        <f>'Reported burning'!G3953</f>
        <v>0</v>
      </c>
      <c r="H3947" s="156">
        <f>'Reported burning'!H3953</f>
        <v>0</v>
      </c>
      <c r="I3947" s="5"/>
    </row>
    <row r="3948" spans="1:9">
      <c r="A3948" s="156">
        <f>'Reported burning'!A3954</f>
        <v>0</v>
      </c>
      <c r="B3948" s="156">
        <f>'Reported burning'!B3954</f>
        <v>0</v>
      </c>
      <c r="C3948" s="156">
        <f>'Reported burning'!C3954</f>
        <v>0</v>
      </c>
      <c r="D3948" s="156">
        <f>'Reported burning'!D3954</f>
        <v>0</v>
      </c>
      <c r="E3948" s="156">
        <f>'Reported burning'!E3954</f>
        <v>0</v>
      </c>
      <c r="F3948" s="156">
        <f>'Reported burning'!F3954</f>
        <v>0</v>
      </c>
      <c r="G3948" s="156">
        <f>'Reported burning'!G3954</f>
        <v>0</v>
      </c>
      <c r="H3948" s="156">
        <f>'Reported burning'!H3954</f>
        <v>0</v>
      </c>
      <c r="I3948" s="5"/>
    </row>
    <row r="3949" spans="1:9">
      <c r="A3949" s="156">
        <f>'Reported burning'!A3955</f>
        <v>0</v>
      </c>
      <c r="B3949" s="156">
        <f>'Reported burning'!B3955</f>
        <v>0</v>
      </c>
      <c r="C3949" s="156">
        <f>'Reported burning'!C3955</f>
        <v>0</v>
      </c>
      <c r="D3949" s="156">
        <f>'Reported burning'!D3955</f>
        <v>0</v>
      </c>
      <c r="E3949" s="156">
        <f>'Reported burning'!E3955</f>
        <v>0</v>
      </c>
      <c r="F3949" s="156">
        <f>'Reported burning'!F3955</f>
        <v>0</v>
      </c>
      <c r="G3949" s="156">
        <f>'Reported burning'!G3955</f>
        <v>0</v>
      </c>
      <c r="H3949" s="156">
        <f>'Reported burning'!H3955</f>
        <v>0</v>
      </c>
      <c r="I3949" s="5"/>
    </row>
    <row r="3950" spans="1:9">
      <c r="A3950" s="156">
        <f>'Reported burning'!A3956</f>
        <v>0</v>
      </c>
      <c r="B3950" s="156">
        <f>'Reported burning'!B3956</f>
        <v>0</v>
      </c>
      <c r="C3950" s="156">
        <f>'Reported burning'!C3956</f>
        <v>0</v>
      </c>
      <c r="D3950" s="156">
        <f>'Reported burning'!D3956</f>
        <v>0</v>
      </c>
      <c r="E3950" s="156">
        <f>'Reported burning'!E3956</f>
        <v>0</v>
      </c>
      <c r="F3950" s="156">
        <f>'Reported burning'!F3956</f>
        <v>0</v>
      </c>
      <c r="G3950" s="156">
        <f>'Reported burning'!G3956</f>
        <v>0</v>
      </c>
      <c r="H3950" s="156">
        <f>'Reported burning'!H3956</f>
        <v>0</v>
      </c>
      <c r="I3950" s="5"/>
    </row>
    <row r="3951" spans="1:9">
      <c r="A3951" s="156">
        <f>'Reported burning'!A3957</f>
        <v>0</v>
      </c>
      <c r="B3951" s="156">
        <f>'Reported burning'!B3957</f>
        <v>0</v>
      </c>
      <c r="C3951" s="156">
        <f>'Reported burning'!C3957</f>
        <v>0</v>
      </c>
      <c r="D3951" s="156">
        <f>'Reported burning'!D3957</f>
        <v>0</v>
      </c>
      <c r="E3951" s="156">
        <f>'Reported burning'!E3957</f>
        <v>0</v>
      </c>
      <c r="F3951" s="156">
        <f>'Reported burning'!F3957</f>
        <v>0</v>
      </c>
      <c r="G3951" s="156">
        <f>'Reported burning'!G3957</f>
        <v>0</v>
      </c>
      <c r="H3951" s="156">
        <f>'Reported burning'!H3957</f>
        <v>0</v>
      </c>
      <c r="I3951" s="5"/>
    </row>
    <row r="3952" spans="1:9">
      <c r="A3952" s="156">
        <f>'Reported burning'!A3958</f>
        <v>0</v>
      </c>
      <c r="B3952" s="156">
        <f>'Reported burning'!B3958</f>
        <v>0</v>
      </c>
      <c r="C3952" s="156">
        <f>'Reported burning'!C3958</f>
        <v>0</v>
      </c>
      <c r="D3952" s="156">
        <f>'Reported burning'!D3958</f>
        <v>0</v>
      </c>
      <c r="E3952" s="156">
        <f>'Reported burning'!E3958</f>
        <v>0</v>
      </c>
      <c r="F3952" s="156">
        <f>'Reported burning'!F3958</f>
        <v>0</v>
      </c>
      <c r="G3952" s="156">
        <f>'Reported burning'!G3958</f>
        <v>0</v>
      </c>
      <c r="H3952" s="156">
        <f>'Reported burning'!H3958</f>
        <v>0</v>
      </c>
      <c r="I3952" s="5"/>
    </row>
    <row r="3953" spans="1:9">
      <c r="A3953" s="156">
        <f>'Reported burning'!A3959</f>
        <v>0</v>
      </c>
      <c r="B3953" s="156">
        <f>'Reported burning'!B3959</f>
        <v>0</v>
      </c>
      <c r="C3953" s="156">
        <f>'Reported burning'!C3959</f>
        <v>0</v>
      </c>
      <c r="D3953" s="156">
        <f>'Reported burning'!D3959</f>
        <v>0</v>
      </c>
      <c r="E3953" s="156">
        <f>'Reported burning'!E3959</f>
        <v>0</v>
      </c>
      <c r="F3953" s="156">
        <f>'Reported burning'!F3959</f>
        <v>0</v>
      </c>
      <c r="G3953" s="156">
        <f>'Reported burning'!G3959</f>
        <v>0</v>
      </c>
      <c r="H3953" s="156">
        <f>'Reported burning'!H3959</f>
        <v>0</v>
      </c>
      <c r="I3953" s="5"/>
    </row>
    <row r="3954" spans="1:9">
      <c r="A3954" s="156">
        <f>'Reported burning'!A3960</f>
        <v>0</v>
      </c>
      <c r="B3954" s="156">
        <f>'Reported burning'!B3960</f>
        <v>0</v>
      </c>
      <c r="C3954" s="156">
        <f>'Reported burning'!C3960</f>
        <v>0</v>
      </c>
      <c r="D3954" s="156">
        <f>'Reported burning'!D3960</f>
        <v>0</v>
      </c>
      <c r="E3954" s="156">
        <f>'Reported burning'!E3960</f>
        <v>0</v>
      </c>
      <c r="F3954" s="156">
        <f>'Reported burning'!F3960</f>
        <v>0</v>
      </c>
      <c r="G3954" s="156">
        <f>'Reported burning'!G3960</f>
        <v>0</v>
      </c>
      <c r="H3954" s="156">
        <f>'Reported burning'!H3960</f>
        <v>0</v>
      </c>
      <c r="I3954" s="5"/>
    </row>
    <row r="3955" spans="1:9">
      <c r="A3955" s="156">
        <f>'Reported burning'!A3961</f>
        <v>0</v>
      </c>
      <c r="B3955" s="156">
        <f>'Reported burning'!B3961</f>
        <v>0</v>
      </c>
      <c r="C3955" s="156">
        <f>'Reported burning'!C3961</f>
        <v>0</v>
      </c>
      <c r="D3955" s="156">
        <f>'Reported burning'!D3961</f>
        <v>0</v>
      </c>
      <c r="E3955" s="156">
        <f>'Reported burning'!E3961</f>
        <v>0</v>
      </c>
      <c r="F3955" s="156">
        <f>'Reported burning'!F3961</f>
        <v>0</v>
      </c>
      <c r="G3955" s="156">
        <f>'Reported burning'!G3961</f>
        <v>0</v>
      </c>
      <c r="H3955" s="156">
        <f>'Reported burning'!H3961</f>
        <v>0</v>
      </c>
      <c r="I3955" s="5"/>
    </row>
    <row r="3956" spans="1:9">
      <c r="A3956" s="156">
        <f>'Reported burning'!A3962</f>
        <v>0</v>
      </c>
      <c r="B3956" s="156">
        <f>'Reported burning'!B3962</f>
        <v>0</v>
      </c>
      <c r="C3956" s="156">
        <f>'Reported burning'!C3962</f>
        <v>0</v>
      </c>
      <c r="D3956" s="156">
        <f>'Reported burning'!D3962</f>
        <v>0</v>
      </c>
      <c r="E3956" s="156">
        <f>'Reported burning'!E3962</f>
        <v>0</v>
      </c>
      <c r="F3956" s="156">
        <f>'Reported burning'!F3962</f>
        <v>0</v>
      </c>
      <c r="G3956" s="156">
        <f>'Reported burning'!G3962</f>
        <v>0</v>
      </c>
      <c r="H3956" s="156">
        <f>'Reported burning'!H3962</f>
        <v>0</v>
      </c>
      <c r="I3956" s="5"/>
    </row>
    <row r="3957" spans="1:9">
      <c r="A3957" s="156">
        <f>'Reported burning'!A3963</f>
        <v>0</v>
      </c>
      <c r="B3957" s="156">
        <f>'Reported burning'!B3963</f>
        <v>0</v>
      </c>
      <c r="C3957" s="156">
        <f>'Reported burning'!C3963</f>
        <v>0</v>
      </c>
      <c r="D3957" s="156">
        <f>'Reported burning'!D3963</f>
        <v>0</v>
      </c>
      <c r="E3957" s="156">
        <f>'Reported burning'!E3963</f>
        <v>0</v>
      </c>
      <c r="F3957" s="156">
        <f>'Reported burning'!F3963</f>
        <v>0</v>
      </c>
      <c r="G3957" s="156">
        <f>'Reported burning'!G3963</f>
        <v>0</v>
      </c>
      <c r="H3957" s="156">
        <f>'Reported burning'!H3963</f>
        <v>0</v>
      </c>
      <c r="I3957" s="5"/>
    </row>
    <row r="3958" spans="1:9">
      <c r="A3958" s="156">
        <f>'Reported burning'!A3964</f>
        <v>0</v>
      </c>
      <c r="B3958" s="156">
        <f>'Reported burning'!B3964</f>
        <v>0</v>
      </c>
      <c r="C3958" s="156">
        <f>'Reported burning'!C3964</f>
        <v>0</v>
      </c>
      <c r="D3958" s="156">
        <f>'Reported burning'!D3964</f>
        <v>0</v>
      </c>
      <c r="E3958" s="156">
        <f>'Reported burning'!E3964</f>
        <v>0</v>
      </c>
      <c r="F3958" s="156">
        <f>'Reported burning'!F3964</f>
        <v>0</v>
      </c>
      <c r="G3958" s="156">
        <f>'Reported burning'!G3964</f>
        <v>0</v>
      </c>
      <c r="H3958" s="156">
        <f>'Reported burning'!H3964</f>
        <v>0</v>
      </c>
      <c r="I3958" s="5"/>
    </row>
    <row r="3959" spans="1:9">
      <c r="A3959" s="156">
        <f>'Reported burning'!A3965</f>
        <v>0</v>
      </c>
      <c r="B3959" s="156">
        <f>'Reported burning'!B3965</f>
        <v>0</v>
      </c>
      <c r="C3959" s="156">
        <f>'Reported burning'!C3965</f>
        <v>0</v>
      </c>
      <c r="D3959" s="156">
        <f>'Reported burning'!D3965</f>
        <v>0</v>
      </c>
      <c r="E3959" s="156">
        <f>'Reported burning'!E3965</f>
        <v>0</v>
      </c>
      <c r="F3959" s="156">
        <f>'Reported burning'!F3965</f>
        <v>0</v>
      </c>
      <c r="G3959" s="156">
        <f>'Reported burning'!G3965</f>
        <v>0</v>
      </c>
      <c r="H3959" s="156">
        <f>'Reported burning'!H3965</f>
        <v>0</v>
      </c>
      <c r="I3959" s="5"/>
    </row>
    <row r="3960" spans="1:9">
      <c r="A3960" s="156">
        <f>'Reported burning'!A3966</f>
        <v>0</v>
      </c>
      <c r="B3960" s="156">
        <f>'Reported burning'!B3966</f>
        <v>0</v>
      </c>
      <c r="C3960" s="156">
        <f>'Reported burning'!C3966</f>
        <v>0</v>
      </c>
      <c r="D3960" s="156">
        <f>'Reported burning'!D3966</f>
        <v>0</v>
      </c>
      <c r="E3960" s="156">
        <f>'Reported burning'!E3966</f>
        <v>0</v>
      </c>
      <c r="F3960" s="156">
        <f>'Reported burning'!F3966</f>
        <v>0</v>
      </c>
      <c r="G3960" s="156">
        <f>'Reported burning'!G3966</f>
        <v>0</v>
      </c>
      <c r="H3960" s="156">
        <f>'Reported burning'!H3966</f>
        <v>0</v>
      </c>
      <c r="I3960" s="5"/>
    </row>
    <row r="3961" spans="1:9">
      <c r="A3961" s="156">
        <f>'Reported burning'!A3967</f>
        <v>0</v>
      </c>
      <c r="B3961" s="156">
        <f>'Reported burning'!B3967</f>
        <v>0</v>
      </c>
      <c r="C3961" s="156">
        <f>'Reported burning'!C3967</f>
        <v>0</v>
      </c>
      <c r="D3961" s="156">
        <f>'Reported burning'!D3967</f>
        <v>0</v>
      </c>
      <c r="E3961" s="156">
        <f>'Reported burning'!E3967</f>
        <v>0</v>
      </c>
      <c r="F3961" s="156">
        <f>'Reported burning'!F3967</f>
        <v>0</v>
      </c>
      <c r="G3961" s="156">
        <f>'Reported burning'!G3967</f>
        <v>0</v>
      </c>
      <c r="H3961" s="156">
        <f>'Reported burning'!H3967</f>
        <v>0</v>
      </c>
      <c r="I3961" s="5"/>
    </row>
    <row r="3962" spans="1:9">
      <c r="A3962" s="156">
        <f>'Reported burning'!A3968</f>
        <v>0</v>
      </c>
      <c r="B3962" s="156">
        <f>'Reported burning'!B3968</f>
        <v>0</v>
      </c>
      <c r="C3962" s="156">
        <f>'Reported burning'!C3968</f>
        <v>0</v>
      </c>
      <c r="D3962" s="156">
        <f>'Reported burning'!D3968</f>
        <v>0</v>
      </c>
      <c r="E3962" s="156">
        <f>'Reported burning'!E3968</f>
        <v>0</v>
      </c>
      <c r="F3962" s="156">
        <f>'Reported burning'!F3968</f>
        <v>0</v>
      </c>
      <c r="G3962" s="156">
        <f>'Reported burning'!G3968</f>
        <v>0</v>
      </c>
      <c r="H3962" s="156">
        <f>'Reported burning'!H3968</f>
        <v>0</v>
      </c>
      <c r="I3962" s="5"/>
    </row>
    <row r="3963" spans="1:9">
      <c r="A3963" s="156">
        <f>'Reported burning'!A3969</f>
        <v>0</v>
      </c>
      <c r="B3963" s="156">
        <f>'Reported burning'!B3969</f>
        <v>0</v>
      </c>
      <c r="C3963" s="156">
        <f>'Reported burning'!C3969</f>
        <v>0</v>
      </c>
      <c r="D3963" s="156">
        <f>'Reported burning'!D3969</f>
        <v>0</v>
      </c>
      <c r="E3963" s="156">
        <f>'Reported burning'!E3969</f>
        <v>0</v>
      </c>
      <c r="F3963" s="156">
        <f>'Reported burning'!F3969</f>
        <v>0</v>
      </c>
      <c r="G3963" s="156">
        <f>'Reported burning'!G3969</f>
        <v>0</v>
      </c>
      <c r="H3963" s="156">
        <f>'Reported burning'!H3969</f>
        <v>0</v>
      </c>
      <c r="I3963" s="5"/>
    </row>
    <row r="3964" spans="1:9">
      <c r="A3964" s="156">
        <f>'Reported burning'!A3970</f>
        <v>0</v>
      </c>
      <c r="B3964" s="156">
        <f>'Reported burning'!B3970</f>
        <v>0</v>
      </c>
      <c r="C3964" s="156">
        <f>'Reported burning'!C3970</f>
        <v>0</v>
      </c>
      <c r="D3964" s="156">
        <f>'Reported burning'!D3970</f>
        <v>0</v>
      </c>
      <c r="E3964" s="156">
        <f>'Reported burning'!E3970</f>
        <v>0</v>
      </c>
      <c r="F3964" s="156">
        <f>'Reported burning'!F3970</f>
        <v>0</v>
      </c>
      <c r="G3964" s="156">
        <f>'Reported burning'!G3970</f>
        <v>0</v>
      </c>
      <c r="H3964" s="156">
        <f>'Reported burning'!H3970</f>
        <v>0</v>
      </c>
      <c r="I3964" s="5"/>
    </row>
    <row r="3965" spans="1:9">
      <c r="A3965" s="156">
        <f>'Reported burning'!A3971</f>
        <v>0</v>
      </c>
      <c r="B3965" s="156">
        <f>'Reported burning'!B3971</f>
        <v>0</v>
      </c>
      <c r="C3965" s="156">
        <f>'Reported burning'!C3971</f>
        <v>0</v>
      </c>
      <c r="D3965" s="156">
        <f>'Reported burning'!D3971</f>
        <v>0</v>
      </c>
      <c r="E3965" s="156">
        <f>'Reported burning'!E3971</f>
        <v>0</v>
      </c>
      <c r="F3965" s="156">
        <f>'Reported burning'!F3971</f>
        <v>0</v>
      </c>
      <c r="G3965" s="156">
        <f>'Reported burning'!G3971</f>
        <v>0</v>
      </c>
      <c r="H3965" s="156">
        <f>'Reported burning'!H3971</f>
        <v>0</v>
      </c>
      <c r="I3965" s="5"/>
    </row>
    <row r="3966" spans="1:9">
      <c r="A3966" s="156">
        <f>'Reported burning'!A3972</f>
        <v>0</v>
      </c>
      <c r="B3966" s="156">
        <f>'Reported burning'!B3972</f>
        <v>0</v>
      </c>
      <c r="C3966" s="156">
        <f>'Reported burning'!C3972</f>
        <v>0</v>
      </c>
      <c r="D3966" s="156">
        <f>'Reported burning'!D3972</f>
        <v>0</v>
      </c>
      <c r="E3966" s="156">
        <f>'Reported burning'!E3972</f>
        <v>0</v>
      </c>
      <c r="F3966" s="156">
        <f>'Reported burning'!F3972</f>
        <v>0</v>
      </c>
      <c r="G3966" s="156">
        <f>'Reported burning'!G3972</f>
        <v>0</v>
      </c>
      <c r="H3966" s="156">
        <f>'Reported burning'!H3972</f>
        <v>0</v>
      </c>
      <c r="I3966" s="5"/>
    </row>
    <row r="3967" spans="1:9">
      <c r="A3967" s="156">
        <f>'Reported burning'!A3973</f>
        <v>0</v>
      </c>
      <c r="B3967" s="156">
        <f>'Reported burning'!B3973</f>
        <v>0</v>
      </c>
      <c r="C3967" s="156">
        <f>'Reported burning'!C3973</f>
        <v>0</v>
      </c>
      <c r="D3967" s="156">
        <f>'Reported burning'!D3973</f>
        <v>0</v>
      </c>
      <c r="E3967" s="156">
        <f>'Reported burning'!E3973</f>
        <v>0</v>
      </c>
      <c r="F3967" s="156">
        <f>'Reported burning'!F3973</f>
        <v>0</v>
      </c>
      <c r="G3967" s="156">
        <f>'Reported burning'!G3973</f>
        <v>0</v>
      </c>
      <c r="H3967" s="156">
        <f>'Reported burning'!H3973</f>
        <v>0</v>
      </c>
      <c r="I3967" s="5"/>
    </row>
    <row r="3968" spans="1:9">
      <c r="A3968" s="156">
        <f>'Reported burning'!A3974</f>
        <v>0</v>
      </c>
      <c r="B3968" s="156">
        <f>'Reported burning'!B3974</f>
        <v>0</v>
      </c>
      <c r="C3968" s="156">
        <f>'Reported burning'!C3974</f>
        <v>0</v>
      </c>
      <c r="D3968" s="156">
        <f>'Reported burning'!D3974</f>
        <v>0</v>
      </c>
      <c r="E3968" s="156">
        <f>'Reported burning'!E3974</f>
        <v>0</v>
      </c>
      <c r="F3968" s="156">
        <f>'Reported burning'!F3974</f>
        <v>0</v>
      </c>
      <c r="G3968" s="156">
        <f>'Reported burning'!G3974</f>
        <v>0</v>
      </c>
      <c r="H3968" s="156">
        <f>'Reported burning'!H3974</f>
        <v>0</v>
      </c>
      <c r="I3968" s="5"/>
    </row>
    <row r="3969" spans="1:9">
      <c r="A3969" s="156">
        <f>'Reported burning'!A3975</f>
        <v>0</v>
      </c>
      <c r="B3969" s="156">
        <f>'Reported burning'!B3975</f>
        <v>0</v>
      </c>
      <c r="C3969" s="156">
        <f>'Reported burning'!C3975</f>
        <v>0</v>
      </c>
      <c r="D3969" s="156">
        <f>'Reported burning'!D3975</f>
        <v>0</v>
      </c>
      <c r="E3969" s="156">
        <f>'Reported burning'!E3975</f>
        <v>0</v>
      </c>
      <c r="F3969" s="156">
        <f>'Reported burning'!F3975</f>
        <v>0</v>
      </c>
      <c r="G3969" s="156">
        <f>'Reported burning'!G3975</f>
        <v>0</v>
      </c>
      <c r="H3969" s="156">
        <f>'Reported burning'!H3975</f>
        <v>0</v>
      </c>
      <c r="I3969" s="5"/>
    </row>
    <row r="3970" spans="1:9">
      <c r="A3970" s="156">
        <f>'Reported burning'!A3976</f>
        <v>0</v>
      </c>
      <c r="B3970" s="156">
        <f>'Reported burning'!B3976</f>
        <v>0</v>
      </c>
      <c r="C3970" s="156">
        <f>'Reported burning'!C3976</f>
        <v>0</v>
      </c>
      <c r="D3970" s="156">
        <f>'Reported burning'!D3976</f>
        <v>0</v>
      </c>
      <c r="E3970" s="156">
        <f>'Reported burning'!E3976</f>
        <v>0</v>
      </c>
      <c r="F3970" s="156">
        <f>'Reported burning'!F3976</f>
        <v>0</v>
      </c>
      <c r="G3970" s="156">
        <f>'Reported burning'!G3976</f>
        <v>0</v>
      </c>
      <c r="H3970" s="156">
        <f>'Reported burning'!H3976</f>
        <v>0</v>
      </c>
      <c r="I3970" s="5"/>
    </row>
    <row r="3971" spans="1:9">
      <c r="A3971" s="156">
        <f>'Reported burning'!A3977</f>
        <v>0</v>
      </c>
      <c r="B3971" s="156">
        <f>'Reported burning'!B3977</f>
        <v>0</v>
      </c>
      <c r="C3971" s="156">
        <f>'Reported burning'!C3977</f>
        <v>0</v>
      </c>
      <c r="D3971" s="156">
        <f>'Reported burning'!D3977</f>
        <v>0</v>
      </c>
      <c r="E3971" s="156">
        <f>'Reported burning'!E3977</f>
        <v>0</v>
      </c>
      <c r="F3971" s="156">
        <f>'Reported burning'!F3977</f>
        <v>0</v>
      </c>
      <c r="G3971" s="156">
        <f>'Reported burning'!G3977</f>
        <v>0</v>
      </c>
      <c r="H3971" s="156">
        <f>'Reported burning'!H3977</f>
        <v>0</v>
      </c>
      <c r="I3971" s="5"/>
    </row>
    <row r="3972" spans="1:9">
      <c r="A3972" s="156">
        <f>'Reported burning'!A3978</f>
        <v>0</v>
      </c>
      <c r="B3972" s="156">
        <f>'Reported burning'!B3978</f>
        <v>0</v>
      </c>
      <c r="C3972" s="156">
        <f>'Reported burning'!C3978</f>
        <v>0</v>
      </c>
      <c r="D3972" s="156">
        <f>'Reported burning'!D3978</f>
        <v>0</v>
      </c>
      <c r="E3972" s="156">
        <f>'Reported burning'!E3978</f>
        <v>0</v>
      </c>
      <c r="F3972" s="156">
        <f>'Reported burning'!F3978</f>
        <v>0</v>
      </c>
      <c r="G3972" s="156">
        <f>'Reported burning'!G3978</f>
        <v>0</v>
      </c>
      <c r="H3972" s="156">
        <f>'Reported burning'!H3978</f>
        <v>0</v>
      </c>
      <c r="I3972" s="5"/>
    </row>
    <row r="3973" spans="1:9">
      <c r="A3973" s="156">
        <f>'Reported burning'!A3979</f>
        <v>0</v>
      </c>
      <c r="B3973" s="156">
        <f>'Reported burning'!B3979</f>
        <v>0</v>
      </c>
      <c r="C3973" s="156">
        <f>'Reported burning'!C3979</f>
        <v>0</v>
      </c>
      <c r="D3973" s="156">
        <f>'Reported burning'!D3979</f>
        <v>0</v>
      </c>
      <c r="E3973" s="156">
        <f>'Reported burning'!E3979</f>
        <v>0</v>
      </c>
      <c r="F3973" s="156">
        <f>'Reported burning'!F3979</f>
        <v>0</v>
      </c>
      <c r="G3973" s="156">
        <f>'Reported burning'!G3979</f>
        <v>0</v>
      </c>
      <c r="H3973" s="156">
        <f>'Reported burning'!H3979</f>
        <v>0</v>
      </c>
      <c r="I3973" s="5"/>
    </row>
    <row r="3974" spans="1:9">
      <c r="A3974" s="156">
        <f>'Reported burning'!A3980</f>
        <v>0</v>
      </c>
      <c r="B3974" s="156">
        <f>'Reported burning'!B3980</f>
        <v>0</v>
      </c>
      <c r="C3974" s="156">
        <f>'Reported burning'!C3980</f>
        <v>0</v>
      </c>
      <c r="D3974" s="156">
        <f>'Reported burning'!D3980</f>
        <v>0</v>
      </c>
      <c r="E3974" s="156">
        <f>'Reported burning'!E3980</f>
        <v>0</v>
      </c>
      <c r="F3974" s="156">
        <f>'Reported burning'!F3980</f>
        <v>0</v>
      </c>
      <c r="G3974" s="156">
        <f>'Reported burning'!G3980</f>
        <v>0</v>
      </c>
      <c r="H3974" s="156">
        <f>'Reported burning'!H3980</f>
        <v>0</v>
      </c>
      <c r="I3974" s="5"/>
    </row>
    <row r="3975" spans="1:9">
      <c r="A3975" s="156">
        <f>'Reported burning'!A3981</f>
        <v>0</v>
      </c>
      <c r="B3975" s="156">
        <f>'Reported burning'!B3981</f>
        <v>0</v>
      </c>
      <c r="C3975" s="156">
        <f>'Reported burning'!C3981</f>
        <v>0</v>
      </c>
      <c r="D3975" s="156">
        <f>'Reported burning'!D3981</f>
        <v>0</v>
      </c>
      <c r="E3975" s="156">
        <f>'Reported burning'!E3981</f>
        <v>0</v>
      </c>
      <c r="F3975" s="156">
        <f>'Reported burning'!F3981</f>
        <v>0</v>
      </c>
      <c r="G3975" s="156">
        <f>'Reported burning'!G3981</f>
        <v>0</v>
      </c>
      <c r="H3975" s="156">
        <f>'Reported burning'!H3981</f>
        <v>0</v>
      </c>
      <c r="I3975" s="5"/>
    </row>
    <row r="3976" spans="1:9">
      <c r="A3976" s="156">
        <f>'Reported burning'!A3982</f>
        <v>0</v>
      </c>
      <c r="B3976" s="156">
        <f>'Reported burning'!B3982</f>
        <v>0</v>
      </c>
      <c r="C3976" s="156">
        <f>'Reported burning'!C3982</f>
        <v>0</v>
      </c>
      <c r="D3976" s="156">
        <f>'Reported burning'!D3982</f>
        <v>0</v>
      </c>
      <c r="E3976" s="156">
        <f>'Reported burning'!E3982</f>
        <v>0</v>
      </c>
      <c r="F3976" s="156">
        <f>'Reported burning'!F3982</f>
        <v>0</v>
      </c>
      <c r="G3976" s="156">
        <f>'Reported burning'!G3982</f>
        <v>0</v>
      </c>
      <c r="H3976" s="156">
        <f>'Reported burning'!H3982</f>
        <v>0</v>
      </c>
      <c r="I3976" s="5"/>
    </row>
    <row r="3977" spans="1:9">
      <c r="A3977" s="156">
        <f>'Reported burning'!A3983</f>
        <v>0</v>
      </c>
      <c r="B3977" s="156">
        <f>'Reported burning'!B3983</f>
        <v>0</v>
      </c>
      <c r="C3977" s="156">
        <f>'Reported burning'!C3983</f>
        <v>0</v>
      </c>
      <c r="D3977" s="156">
        <f>'Reported burning'!D3983</f>
        <v>0</v>
      </c>
      <c r="E3977" s="156">
        <f>'Reported burning'!E3983</f>
        <v>0</v>
      </c>
      <c r="F3977" s="156">
        <f>'Reported burning'!F3983</f>
        <v>0</v>
      </c>
      <c r="G3977" s="156">
        <f>'Reported burning'!G3983</f>
        <v>0</v>
      </c>
      <c r="H3977" s="156">
        <f>'Reported burning'!H3983</f>
        <v>0</v>
      </c>
      <c r="I3977" s="5"/>
    </row>
    <row r="3978" spans="1:9">
      <c r="A3978" s="156">
        <f>'Reported burning'!A3984</f>
        <v>0</v>
      </c>
      <c r="B3978" s="156">
        <f>'Reported burning'!B3984</f>
        <v>0</v>
      </c>
      <c r="C3978" s="156">
        <f>'Reported burning'!C3984</f>
        <v>0</v>
      </c>
      <c r="D3978" s="156">
        <f>'Reported burning'!D3984</f>
        <v>0</v>
      </c>
      <c r="E3978" s="156">
        <f>'Reported burning'!E3984</f>
        <v>0</v>
      </c>
      <c r="F3978" s="156">
        <f>'Reported burning'!F3984</f>
        <v>0</v>
      </c>
      <c r="G3978" s="156">
        <f>'Reported burning'!G3984</f>
        <v>0</v>
      </c>
      <c r="H3978" s="156">
        <f>'Reported burning'!H3984</f>
        <v>0</v>
      </c>
      <c r="I3978" s="5"/>
    </row>
    <row r="3979" spans="1:9">
      <c r="A3979" s="156">
        <f>'Reported burning'!A3985</f>
        <v>0</v>
      </c>
      <c r="B3979" s="156">
        <f>'Reported burning'!B3985</f>
        <v>0</v>
      </c>
      <c r="C3979" s="156">
        <f>'Reported burning'!C3985</f>
        <v>0</v>
      </c>
      <c r="D3979" s="156">
        <f>'Reported burning'!D3985</f>
        <v>0</v>
      </c>
      <c r="E3979" s="156">
        <f>'Reported burning'!E3985</f>
        <v>0</v>
      </c>
      <c r="F3979" s="156">
        <f>'Reported burning'!F3985</f>
        <v>0</v>
      </c>
      <c r="G3979" s="156">
        <f>'Reported burning'!G3985</f>
        <v>0</v>
      </c>
      <c r="H3979" s="156">
        <f>'Reported burning'!H3985</f>
        <v>0</v>
      </c>
      <c r="I3979" s="5"/>
    </row>
    <row r="3980" spans="1:9">
      <c r="A3980" s="156">
        <f>'Reported burning'!A3986</f>
        <v>0</v>
      </c>
      <c r="B3980" s="156">
        <f>'Reported burning'!B3986</f>
        <v>0</v>
      </c>
      <c r="C3980" s="156">
        <f>'Reported burning'!C3986</f>
        <v>0</v>
      </c>
      <c r="D3980" s="156">
        <f>'Reported burning'!D3986</f>
        <v>0</v>
      </c>
      <c r="E3980" s="156">
        <f>'Reported burning'!E3986</f>
        <v>0</v>
      </c>
      <c r="F3980" s="156">
        <f>'Reported burning'!F3986</f>
        <v>0</v>
      </c>
      <c r="G3980" s="156">
        <f>'Reported burning'!G3986</f>
        <v>0</v>
      </c>
      <c r="H3980" s="156">
        <f>'Reported burning'!H3986</f>
        <v>0</v>
      </c>
      <c r="I3980" s="5"/>
    </row>
    <row r="3981" spans="1:9">
      <c r="A3981" s="156">
        <f>'Reported burning'!A3987</f>
        <v>0</v>
      </c>
      <c r="B3981" s="156">
        <f>'Reported burning'!B3987</f>
        <v>0</v>
      </c>
      <c r="C3981" s="156">
        <f>'Reported burning'!C3987</f>
        <v>0</v>
      </c>
      <c r="D3981" s="156">
        <f>'Reported burning'!D3987</f>
        <v>0</v>
      </c>
      <c r="E3981" s="156">
        <f>'Reported burning'!E3987</f>
        <v>0</v>
      </c>
      <c r="F3981" s="156">
        <f>'Reported burning'!F3987</f>
        <v>0</v>
      </c>
      <c r="G3981" s="156">
        <f>'Reported burning'!G3987</f>
        <v>0</v>
      </c>
      <c r="H3981" s="156">
        <f>'Reported burning'!H3987</f>
        <v>0</v>
      </c>
      <c r="I3981" s="5"/>
    </row>
    <row r="3982" spans="1:9">
      <c r="A3982" s="156">
        <f>'Reported burning'!A3988</f>
        <v>0</v>
      </c>
      <c r="B3982" s="156">
        <f>'Reported burning'!B3988</f>
        <v>0</v>
      </c>
      <c r="C3982" s="156">
        <f>'Reported burning'!C3988</f>
        <v>0</v>
      </c>
      <c r="D3982" s="156">
        <f>'Reported burning'!D3988</f>
        <v>0</v>
      </c>
      <c r="E3982" s="156">
        <f>'Reported burning'!E3988</f>
        <v>0</v>
      </c>
      <c r="F3982" s="156">
        <f>'Reported burning'!F3988</f>
        <v>0</v>
      </c>
      <c r="G3982" s="156">
        <f>'Reported burning'!G3988</f>
        <v>0</v>
      </c>
      <c r="H3982" s="156">
        <f>'Reported burning'!H3988</f>
        <v>0</v>
      </c>
      <c r="I3982" s="5"/>
    </row>
    <row r="3983" spans="1:9">
      <c r="A3983" s="156">
        <f>'Reported burning'!A3989</f>
        <v>0</v>
      </c>
      <c r="B3983" s="156">
        <f>'Reported burning'!B3989</f>
        <v>0</v>
      </c>
      <c r="C3983" s="156">
        <f>'Reported burning'!C3989</f>
        <v>0</v>
      </c>
      <c r="D3983" s="156">
        <f>'Reported burning'!D3989</f>
        <v>0</v>
      </c>
      <c r="E3983" s="156">
        <f>'Reported burning'!E3989</f>
        <v>0</v>
      </c>
      <c r="F3983" s="156">
        <f>'Reported burning'!F3989</f>
        <v>0</v>
      </c>
      <c r="G3983" s="156">
        <f>'Reported burning'!G3989</f>
        <v>0</v>
      </c>
      <c r="H3983" s="156">
        <f>'Reported burning'!H3989</f>
        <v>0</v>
      </c>
      <c r="I3983" s="5"/>
    </row>
    <row r="3984" spans="1:9">
      <c r="A3984" s="156">
        <f>'Reported burning'!A3990</f>
        <v>0</v>
      </c>
      <c r="B3984" s="156">
        <f>'Reported burning'!B3990</f>
        <v>0</v>
      </c>
      <c r="C3984" s="156">
        <f>'Reported burning'!C3990</f>
        <v>0</v>
      </c>
      <c r="D3984" s="156">
        <f>'Reported burning'!D3990</f>
        <v>0</v>
      </c>
      <c r="E3984" s="156">
        <f>'Reported burning'!E3990</f>
        <v>0</v>
      </c>
      <c r="F3984" s="156">
        <f>'Reported burning'!F3990</f>
        <v>0</v>
      </c>
      <c r="G3984" s="156">
        <f>'Reported burning'!G3990</f>
        <v>0</v>
      </c>
      <c r="H3984" s="156">
        <f>'Reported burning'!H3990</f>
        <v>0</v>
      </c>
      <c r="I3984" s="5"/>
    </row>
    <row r="3985" spans="1:9">
      <c r="A3985" s="156">
        <f>'Reported burning'!A3991</f>
        <v>0</v>
      </c>
      <c r="B3985" s="156">
        <f>'Reported burning'!B3991</f>
        <v>0</v>
      </c>
      <c r="C3985" s="156">
        <f>'Reported burning'!C3991</f>
        <v>0</v>
      </c>
      <c r="D3985" s="156">
        <f>'Reported burning'!D3991</f>
        <v>0</v>
      </c>
      <c r="E3985" s="156">
        <f>'Reported burning'!E3991</f>
        <v>0</v>
      </c>
      <c r="F3985" s="156">
        <f>'Reported burning'!F3991</f>
        <v>0</v>
      </c>
      <c r="G3985" s="156">
        <f>'Reported burning'!G3991</f>
        <v>0</v>
      </c>
      <c r="H3985" s="156">
        <f>'Reported burning'!H3991</f>
        <v>0</v>
      </c>
      <c r="I3985" s="5"/>
    </row>
    <row r="3986" spans="1:9">
      <c r="A3986" s="156">
        <f>'Reported burning'!A3992</f>
        <v>0</v>
      </c>
      <c r="B3986" s="156">
        <f>'Reported burning'!B3992</f>
        <v>0</v>
      </c>
      <c r="C3986" s="156">
        <f>'Reported burning'!C3992</f>
        <v>0</v>
      </c>
      <c r="D3986" s="156">
        <f>'Reported burning'!D3992</f>
        <v>0</v>
      </c>
      <c r="E3986" s="156">
        <f>'Reported burning'!E3992</f>
        <v>0</v>
      </c>
      <c r="F3986" s="156">
        <f>'Reported burning'!F3992</f>
        <v>0</v>
      </c>
      <c r="G3986" s="156">
        <f>'Reported burning'!G3992</f>
        <v>0</v>
      </c>
      <c r="H3986" s="156">
        <f>'Reported burning'!H3992</f>
        <v>0</v>
      </c>
      <c r="I3986" s="5"/>
    </row>
    <row r="3987" spans="1:9">
      <c r="A3987" s="156">
        <f>'Reported burning'!A3993</f>
        <v>0</v>
      </c>
      <c r="B3987" s="156">
        <f>'Reported burning'!B3993</f>
        <v>0</v>
      </c>
      <c r="C3987" s="156">
        <f>'Reported burning'!C3993</f>
        <v>0</v>
      </c>
      <c r="D3987" s="156">
        <f>'Reported burning'!D3993</f>
        <v>0</v>
      </c>
      <c r="E3987" s="156">
        <f>'Reported burning'!E3993</f>
        <v>0</v>
      </c>
      <c r="F3987" s="156">
        <f>'Reported burning'!F3993</f>
        <v>0</v>
      </c>
      <c r="G3987" s="156">
        <f>'Reported burning'!G3993</f>
        <v>0</v>
      </c>
      <c r="H3987" s="156">
        <f>'Reported burning'!H3993</f>
        <v>0</v>
      </c>
      <c r="I3987" s="5"/>
    </row>
    <row r="3988" spans="1:9">
      <c r="A3988" s="156">
        <f>'Reported burning'!A3994</f>
        <v>0</v>
      </c>
      <c r="B3988" s="156">
        <f>'Reported burning'!B3994</f>
        <v>0</v>
      </c>
      <c r="C3988" s="156">
        <f>'Reported burning'!C3994</f>
        <v>0</v>
      </c>
      <c r="D3988" s="156">
        <f>'Reported burning'!D3994</f>
        <v>0</v>
      </c>
      <c r="E3988" s="156">
        <f>'Reported burning'!E3994</f>
        <v>0</v>
      </c>
      <c r="F3988" s="156">
        <f>'Reported burning'!F3994</f>
        <v>0</v>
      </c>
      <c r="G3988" s="156">
        <f>'Reported burning'!G3994</f>
        <v>0</v>
      </c>
      <c r="H3988" s="156">
        <f>'Reported burning'!H3994</f>
        <v>0</v>
      </c>
      <c r="I3988" s="5"/>
    </row>
    <row r="3989" spans="1:9">
      <c r="A3989" s="156">
        <f>'Reported burning'!A3995</f>
        <v>0</v>
      </c>
      <c r="B3989" s="156">
        <f>'Reported burning'!B3995</f>
        <v>0</v>
      </c>
      <c r="C3989" s="156">
        <f>'Reported burning'!C3995</f>
        <v>0</v>
      </c>
      <c r="D3989" s="156">
        <f>'Reported burning'!D3995</f>
        <v>0</v>
      </c>
      <c r="E3989" s="156">
        <f>'Reported burning'!E3995</f>
        <v>0</v>
      </c>
      <c r="F3989" s="156">
        <f>'Reported burning'!F3995</f>
        <v>0</v>
      </c>
      <c r="G3989" s="156">
        <f>'Reported burning'!G3995</f>
        <v>0</v>
      </c>
      <c r="H3989" s="156">
        <f>'Reported burning'!H3995</f>
        <v>0</v>
      </c>
      <c r="I3989" s="5"/>
    </row>
    <row r="3990" spans="1:9">
      <c r="A3990" s="156">
        <f>'Reported burning'!A3996</f>
        <v>0</v>
      </c>
      <c r="B3990" s="156">
        <f>'Reported burning'!B3996</f>
        <v>0</v>
      </c>
      <c r="C3990" s="156">
        <f>'Reported burning'!C3996</f>
        <v>0</v>
      </c>
      <c r="D3990" s="156">
        <f>'Reported burning'!D3996</f>
        <v>0</v>
      </c>
      <c r="E3990" s="156">
        <f>'Reported burning'!E3996</f>
        <v>0</v>
      </c>
      <c r="F3990" s="156">
        <f>'Reported burning'!F3996</f>
        <v>0</v>
      </c>
      <c r="G3990" s="156">
        <f>'Reported burning'!G3996</f>
        <v>0</v>
      </c>
      <c r="H3990" s="156">
        <f>'Reported burning'!H3996</f>
        <v>0</v>
      </c>
      <c r="I3990" s="5"/>
    </row>
    <row r="3991" spans="1:9">
      <c r="A3991" s="156">
        <f>'Reported burning'!A3997</f>
        <v>0</v>
      </c>
      <c r="B3991" s="156">
        <f>'Reported burning'!B3997</f>
        <v>0</v>
      </c>
      <c r="C3991" s="156">
        <f>'Reported burning'!C3997</f>
        <v>0</v>
      </c>
      <c r="D3991" s="156">
        <f>'Reported burning'!D3997</f>
        <v>0</v>
      </c>
      <c r="E3991" s="156">
        <f>'Reported burning'!E3997</f>
        <v>0</v>
      </c>
      <c r="F3991" s="156">
        <f>'Reported burning'!F3997</f>
        <v>0</v>
      </c>
      <c r="G3991" s="156">
        <f>'Reported burning'!G3997</f>
        <v>0</v>
      </c>
      <c r="H3991" s="156">
        <f>'Reported burning'!H3997</f>
        <v>0</v>
      </c>
      <c r="I3991" s="5"/>
    </row>
    <row r="3992" spans="1:9">
      <c r="A3992" s="156">
        <f>'Reported burning'!A3998</f>
        <v>0</v>
      </c>
      <c r="B3992" s="156">
        <f>'Reported burning'!B3998</f>
        <v>0</v>
      </c>
      <c r="C3992" s="156">
        <f>'Reported burning'!C3998</f>
        <v>0</v>
      </c>
      <c r="D3992" s="156">
        <f>'Reported burning'!D3998</f>
        <v>0</v>
      </c>
      <c r="E3992" s="156">
        <f>'Reported burning'!E3998</f>
        <v>0</v>
      </c>
      <c r="F3992" s="156">
        <f>'Reported burning'!F3998</f>
        <v>0</v>
      </c>
      <c r="G3992" s="156">
        <f>'Reported burning'!G3998</f>
        <v>0</v>
      </c>
      <c r="H3992" s="156">
        <f>'Reported burning'!H3998</f>
        <v>0</v>
      </c>
      <c r="I3992" s="5"/>
    </row>
    <row r="3993" spans="1:9">
      <c r="A3993" s="156">
        <f>'Reported burning'!A3999</f>
        <v>0</v>
      </c>
      <c r="B3993" s="156">
        <f>'Reported burning'!B3999</f>
        <v>0</v>
      </c>
      <c r="C3993" s="156">
        <f>'Reported burning'!C3999</f>
        <v>0</v>
      </c>
      <c r="D3993" s="156">
        <f>'Reported burning'!D3999</f>
        <v>0</v>
      </c>
      <c r="E3993" s="156">
        <f>'Reported burning'!E3999</f>
        <v>0</v>
      </c>
      <c r="F3993" s="156">
        <f>'Reported burning'!F3999</f>
        <v>0</v>
      </c>
      <c r="G3993" s="156">
        <f>'Reported burning'!G3999</f>
        <v>0</v>
      </c>
      <c r="H3993" s="156">
        <f>'Reported burning'!H3999</f>
        <v>0</v>
      </c>
      <c r="I3993" s="5"/>
    </row>
    <row r="3994" spans="1:9">
      <c r="A3994" s="156">
        <f>'Reported burning'!A4000</f>
        <v>0</v>
      </c>
      <c r="B3994" s="156">
        <f>'Reported burning'!B4000</f>
        <v>0</v>
      </c>
      <c r="C3994" s="156">
        <f>'Reported burning'!C4000</f>
        <v>0</v>
      </c>
      <c r="D3994" s="156">
        <f>'Reported burning'!D4000</f>
        <v>0</v>
      </c>
      <c r="E3994" s="156">
        <f>'Reported burning'!E4000</f>
        <v>0</v>
      </c>
      <c r="F3994" s="156">
        <f>'Reported burning'!F4000</f>
        <v>0</v>
      </c>
      <c r="G3994" s="156">
        <f>'Reported burning'!G4000</f>
        <v>0</v>
      </c>
      <c r="H3994" s="156">
        <f>'Reported burning'!H4000</f>
        <v>0</v>
      </c>
      <c r="I3994" s="5"/>
    </row>
    <row r="3995" spans="1:9">
      <c r="A3995" s="156">
        <f>'Reported burning'!A4001</f>
        <v>0</v>
      </c>
      <c r="B3995" s="156">
        <f>'Reported burning'!B4001</f>
        <v>0</v>
      </c>
      <c r="C3995" s="156">
        <f>'Reported burning'!C4001</f>
        <v>0</v>
      </c>
      <c r="D3995" s="156">
        <f>'Reported burning'!D4001</f>
        <v>0</v>
      </c>
      <c r="E3995" s="156">
        <f>'Reported burning'!E4001</f>
        <v>0</v>
      </c>
      <c r="F3995" s="156">
        <f>'Reported burning'!F4001</f>
        <v>0</v>
      </c>
      <c r="G3995" s="156">
        <f>'Reported burning'!G4001</f>
        <v>0</v>
      </c>
      <c r="H3995" s="156">
        <f>'Reported burning'!H4001</f>
        <v>0</v>
      </c>
      <c r="I3995" s="5"/>
    </row>
    <row r="3996" spans="1:9">
      <c r="A3996" s="156">
        <f>'Reported burning'!A4002</f>
        <v>0</v>
      </c>
      <c r="B3996" s="156">
        <f>'Reported burning'!B4002</f>
        <v>0</v>
      </c>
      <c r="C3996" s="156">
        <f>'Reported burning'!C4002</f>
        <v>0</v>
      </c>
      <c r="D3996" s="156">
        <f>'Reported burning'!D4002</f>
        <v>0</v>
      </c>
      <c r="E3996" s="156">
        <f>'Reported burning'!E4002</f>
        <v>0</v>
      </c>
      <c r="F3996" s="156">
        <f>'Reported burning'!F4002</f>
        <v>0</v>
      </c>
      <c r="G3996" s="156">
        <f>'Reported burning'!G4002</f>
        <v>0</v>
      </c>
      <c r="H3996" s="156">
        <f>'Reported burning'!H4002</f>
        <v>0</v>
      </c>
      <c r="I3996" s="5"/>
    </row>
    <row r="3997" spans="1:9">
      <c r="A3997" s="156">
        <f>'Reported burning'!A4003</f>
        <v>0</v>
      </c>
      <c r="B3997" s="156">
        <f>'Reported burning'!B4003</f>
        <v>0</v>
      </c>
      <c r="C3997" s="156">
        <f>'Reported burning'!C4003</f>
        <v>0</v>
      </c>
      <c r="D3997" s="156">
        <f>'Reported burning'!D4003</f>
        <v>0</v>
      </c>
      <c r="E3997" s="156">
        <f>'Reported burning'!E4003</f>
        <v>0</v>
      </c>
      <c r="F3997" s="156">
        <f>'Reported burning'!F4003</f>
        <v>0</v>
      </c>
      <c r="G3997" s="156">
        <f>'Reported burning'!G4003</f>
        <v>0</v>
      </c>
      <c r="H3997" s="156">
        <f>'Reported burning'!H4003</f>
        <v>0</v>
      </c>
      <c r="I3997" s="5"/>
    </row>
    <row r="3998" spans="1:9">
      <c r="A3998" s="156">
        <f>'Reported burning'!A4004</f>
        <v>0</v>
      </c>
      <c r="B3998" s="156">
        <f>'Reported burning'!B4004</f>
        <v>0</v>
      </c>
      <c r="C3998" s="156">
        <f>'Reported burning'!C4004</f>
        <v>0</v>
      </c>
      <c r="D3998" s="156">
        <f>'Reported burning'!D4004</f>
        <v>0</v>
      </c>
      <c r="E3998" s="156">
        <f>'Reported burning'!E4004</f>
        <v>0</v>
      </c>
      <c r="F3998" s="156">
        <f>'Reported burning'!F4004</f>
        <v>0</v>
      </c>
      <c r="G3998" s="156">
        <f>'Reported burning'!G4004</f>
        <v>0</v>
      </c>
      <c r="H3998" s="156">
        <f>'Reported burning'!H4004</f>
        <v>0</v>
      </c>
      <c r="I3998" s="5"/>
    </row>
    <row r="3999" spans="1:9">
      <c r="A3999" s="156">
        <f>'Reported burning'!A4005</f>
        <v>0</v>
      </c>
      <c r="B3999" s="156">
        <f>'Reported burning'!B4005</f>
        <v>0</v>
      </c>
      <c r="C3999" s="156">
        <f>'Reported burning'!C4005</f>
        <v>0</v>
      </c>
      <c r="D3999" s="156">
        <f>'Reported burning'!D4005</f>
        <v>0</v>
      </c>
      <c r="E3999" s="156">
        <f>'Reported burning'!E4005</f>
        <v>0</v>
      </c>
      <c r="F3999" s="156">
        <f>'Reported burning'!F4005</f>
        <v>0</v>
      </c>
      <c r="G3999" s="156">
        <f>'Reported burning'!G4005</f>
        <v>0</v>
      </c>
      <c r="H3999" s="156">
        <f>'Reported burning'!H4005</f>
        <v>0</v>
      </c>
      <c r="I3999" s="5"/>
    </row>
    <row r="4000" spans="1:9">
      <c r="A4000" s="156">
        <f>'Reported burning'!A4006</f>
        <v>0</v>
      </c>
      <c r="B4000" s="156">
        <f>'Reported burning'!B4006</f>
        <v>0</v>
      </c>
      <c r="C4000" s="156">
        <f>'Reported burning'!C4006</f>
        <v>0</v>
      </c>
      <c r="D4000" s="156">
        <f>'Reported burning'!D4006</f>
        <v>0</v>
      </c>
      <c r="E4000" s="156">
        <f>'Reported burning'!E4006</f>
        <v>0</v>
      </c>
      <c r="F4000" s="156">
        <f>'Reported burning'!F4006</f>
        <v>0</v>
      </c>
      <c r="G4000" s="156">
        <f>'Reported burning'!G4006</f>
        <v>0</v>
      </c>
      <c r="H4000" s="156">
        <f>'Reported burning'!H4006</f>
        <v>0</v>
      </c>
      <c r="I4000" s="5"/>
    </row>
    <row r="4001" spans="1:9">
      <c r="A4001" s="156">
        <f>'Reported burning'!A4007</f>
        <v>0</v>
      </c>
      <c r="B4001" s="156">
        <f>'Reported burning'!B4007</f>
        <v>0</v>
      </c>
      <c r="C4001" s="156">
        <f>'Reported burning'!C4007</f>
        <v>0</v>
      </c>
      <c r="D4001" s="156">
        <f>'Reported burning'!D4007</f>
        <v>0</v>
      </c>
      <c r="E4001" s="156">
        <f>'Reported burning'!E4007</f>
        <v>0</v>
      </c>
      <c r="F4001" s="156">
        <f>'Reported burning'!F4007</f>
        <v>0</v>
      </c>
      <c r="G4001" s="156">
        <f>'Reported burning'!G4007</f>
        <v>0</v>
      </c>
      <c r="H4001" s="156">
        <f>'Reported burning'!H4007</f>
        <v>0</v>
      </c>
      <c r="I4001" s="5"/>
    </row>
    <row r="4002" spans="1:9">
      <c r="A4002" s="156">
        <f>'Reported burning'!A4008</f>
        <v>0</v>
      </c>
      <c r="B4002" s="156">
        <f>'Reported burning'!B4008</f>
        <v>0</v>
      </c>
      <c r="C4002" s="156">
        <f>'Reported burning'!C4008</f>
        <v>0</v>
      </c>
      <c r="D4002" s="156">
        <f>'Reported burning'!D4008</f>
        <v>0</v>
      </c>
      <c r="E4002" s="156">
        <f>'Reported burning'!E4008</f>
        <v>0</v>
      </c>
      <c r="F4002" s="156">
        <f>'Reported burning'!F4008</f>
        <v>0</v>
      </c>
      <c r="G4002" s="156">
        <f>'Reported burning'!G4008</f>
        <v>0</v>
      </c>
      <c r="H4002" s="156">
        <f>'Reported burning'!H4008</f>
        <v>0</v>
      </c>
      <c r="I4002" s="5"/>
    </row>
  </sheetData>
  <autoFilter ref="A1:A4002" xr:uid="{CDE09BE0-F5F5-46A1-8BC0-66FAD6C81324}"/>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648" yWindow="850" count="6">
    <dataValidation type="whole" allowBlank="1" showInputMessage="1" showErrorMessage="1" prompt="Integer: leave blank if all study years" sqref="I805:I916 J1677:J1680 I589:I788 I1:I536 AA2132:AA2135 AB2130:AB2132 AA2601 I918:I1048576" xr:uid="{44BCFA16-E4FF-4DD8-A16E-C774E4872836}">
      <formula1>1900</formula1>
      <formula2>2020</formula2>
    </dataValidation>
    <dataValidation allowBlank="1" showInputMessage="1" showErrorMessage="1" prompt="Case study ID + .1, .2 etc for each direct fire creation PCB associated with the case study" sqref="B1 B4003: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J1326:J1329 J1191 J1113:J1121 L1113:T1121 A1528:H1528 B918:H1527 B2:H916 A1:A1527 B1529:H4002 A1529:A1048576" xr:uid="{17AA178F-4754-4BE2-9EC5-55FBA7DF8BF7}"/>
    <dataValidation type="decimal" allowBlank="1" showInputMessage="1" showErrorMessage="1" prompt="Float_x000a_" sqref="AA869:AB872 J887:J917 N885:P886 T885:Z887 X888:Z892 T889:W890 T888:V888 S887 S889 S891:V893 W893:Z893 S894:Z894 W900 W896:Z898 W901:Z905 L885:L922 W907 S895:V916 R885:R922 W908:Z912 W914 J922 U917 V917:V922 T917:T922 S917 P918:P922 M887:Q917 M918:N922 W915:Z916 X917:Z921 Q922 S922 U922 L869:Z884" xr:uid="{3B57A34E-4C32-4B12-893C-FD52A40661E2}">
      <formula1>0</formula1>
      <formula2>999999999</formula2>
    </dataValidation>
    <dataValidation type="decimal" allowBlank="1" showInputMessage="1" showErrorMessage="1" prompt="Float" sqref="J971 L1111:W1112 L971:V971 L1123:W1124 L1172:W1178 X1123 L1197:Z1200 L1201:AB1207 L1208:Z1210 J1227:J1237 M1218:S1218 L1212:S1212 N1211:S1211 N1213:S1217 M1216 M1214 L1211 U1211:Z1218 AA1219:AA1223 M1219:Z1225 J1219:J1225 L1213:L1225 L1227:Z1237 AC1281:AC1292 J1197:J1210 J1172:J1178 J1123:J1124 J1111:J1112 J978 L978:V978 J1469:V1469 J1489:V1497 J1502:V1502 J1517:W1519 J1528:X1528 J1574:V1584 J1594:V1594 J1592:V1592 J1605:W1605 J1597:W1597 J1603:W1603 J1608:W1608 J1612:W1622 J1627:W1629 J1649:V1649 J1672:V1674 I537:I588 J1849:W1850 J1922:V1937 J1972:V1975 J1995:V1998 J2030:U2031 J2033:U2034 J2027:U2028 Z2042:Z2069 J2042:V2050 W2042:Y2049 J2051:U2058 W2051:W2069 V2051:V2057 K2070:Z2071 J2059:V2069 X2059:Y2069 J2072:V2074 J2089:V2090 J2123:V2126 J2129:V2129 J2132:V2132 J2552:V2553 J2562:V2562 J2585:V2586" xr:uid="{B3C6C6A5-74F8-4A7D-8965-C5F3C42A7810}">
      <formula1>0</formula1>
      <formula2>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648" yWindow="850" count="17">
        <x14:dataValidation type="list" allowBlank="1" showInputMessage="1" showErrorMessage="1" prompt="One of: Human Deliberate, Human Accidental, Human Escaped, Lightning, Other Natural, Unknown" xr:uid="{77BAA449-F600-4FAA-A409-378EF4E05B84}">
          <x14:formula1>
            <xm:f>'IGNORE Lookups'!$E$3:$E$8</xm:f>
          </x14:formula1>
          <xm:sqref>C1 C4003:C1048576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Z2530:Z2541 L2884:L2950 W2552:Z2553 J2551:Z2551 W2554 Z2554:Z2555 J2554:V2555 Z2557 X2554:Y2558 W2560:Z2562 V2560:V2561 J2559:U2561 V2559:Z2559 J2563:Z2568 J2577:Y2577 W2575:Y2575 W2569:Z2574 X2576:Y2576 Z2575:Z2583 J2569:V2576 J2578:V2579 X2578:Y2579 J2580:Y2583 S2587:S2588 W2584:Z2586 S2584:V2584 N2584 K2584:L2584 J2587:R2590 S2590:Z2590 T2587:Z2589 J2846:V2856 W2677:W2856 J2677:V2680 J2684:V2698 J2702:V2716 J2720:V2734 J2738:V2752 J2756:V2770 J2774:V2788 J2792:V2806 J2810:V2824 J2828:V2842 R2875:W2875 J2857:W2874 Z2883:Z2895 O2875:P2875 N2877:N2879 Q2884:Q2895 O2877:P2883 W2884:W2895 K2884:K2895 N2876:P2876 X2591:Z2601 J2591:W2676 Q2875:Q2881 J2875:J2895 K2875:K2881 M2875:M2881 M2884:O2895 X2883:Y1048576 W2876:W2881 X2602:Y2881 X2882:Z2882 S2876:V2895 X2500:Z2515 X2530:Y2545</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J2116:V2122 W2119:W2127 J2127:V2128 W2128:Y2129 J2130:Y2131 W2132:Y2132 Z2107:Z2132 J2133:Q2135 Y2134:Z2134 S2133:X2135 R2133:R2134 J2136:V2140 Z155:Z822 Z2310:Z2313 AA2146 Z2152:Z2154 Z2163:Z2170 Z2177:Z2178 Z2180:Z2187 Z2202:Z2206 Z2306 W2136:Y2144 J2147:U2148 X2146:Y2146 Z2136:Z2150 V2148:Y2148 J2142:V2146 V2147 Z2542:Z2545 Z2556 Z2558 Z2896:Z1048576 Z2602:Z2881</xm:sqref>
        </x14:dataValidation>
        <x14:dataValidation type="list" allowBlank="1" showInputMessage="1" showErrorMessage="1" prompt="Presence or absence" xr:uid="{606FCF66-415C-41B1-B1BE-9964B4191819}">
          <x14:formula1>
            <xm:f>'IGNORE Lookups'!$H$2:$H$3</xm:f>
          </x14:formula1>
          <xm:sqref>H1 H4003:H1048576</xm:sqref>
        </x14:dataValidation>
        <x14:dataValidation type="list" allowBlank="1" showInputMessage="1" showErrorMessage="1" xr:uid="{62876A7A-7519-4CDA-8C59-D1191D159B01}">
          <x14:formula1>
            <xm:f>'IGNORE Lookups'!$G$3:$G$10</xm:f>
          </x14:formula1>
          <xm:sqref>K1635:U1659 W1731 L1226:Z1226 F1:G1 J1243:J1276 AB1226 L1243:Z1252 L1253:V1255 X1253:Z1255 L1256:W1261 L1262:V1266 X1257:Z1258 X1260:Z1261 L1267:U1276 W1263 W1265:Z1266 W1630:Z1634 L1278:V1278 X1277:Z1280 W1279:W1321 Z1281:Z1357 L1281:V1325 X1293:Y1299 L1330:V1330 X1308:Y1321 W1322:Y1330 L1331:Y1342 X1346:Y1357 J1330:J1342 J1293:J1325 J1278 J1226 AA1677:AA1678 L1238:U1239 X1517:AA1519 Y1528:Z1528 W1529:Z1552 X1553:Z1553 J1529:V1555 W1554:Z1554 X1555:Z1559 W1561:Z1561 J1556:W1560 J1562:Z1563 L1564 P1564 N1564 R1564:T1564 V1564:W1564 W1565:Z1568 W1570:Z1570 J1569:Z1569 W1572:Z1572 J1571:Y1571 J1573:Z1573 W1574:Z1584 J1585:Z1590 W1592:Z1592 W1594:Z1594 J1593:Z1593 K1591:V1591 X1601:Z1601 X1603:Z1603 X1605:Z1605 J1595:Z1595 X1607:Z1608 J1596:W1596 J1598:W1602 J1604:W1604 J1606:V1607 W1606 J1609:Z1629 J1630:U1634 V1267:W1267 W1277 V1635:AA1635 J1636:J1644 J1646:J1654 J1656:J1660 O1240:S1242 V1632:V1634 V1636:Z1659 K1661:O1661 Q1661:W1661 S1660:W1660 K1660:Q1660 J1662:W1662 K1663:O1664 Q1663:W1664 J1665:W1666 J1669:V1676 J1667:Z1667 W1668:W1676 Z1668:Z1676 X1668:Y1669 X1671:Y1674 K1677:Z1680 J1238:J1241 T1240:T1241 U1240:W1242 L1240:M1242 W1681:Z1682 J1683:Z1687 X1688:Z1692 L1698:L1731 M1693:M1731 O1693:V1697 X1723:Z1731 N1698:W1730 J1693:K1731 N1731:U1731 X2059:Y2069 J1823:Z1831 J1832:S1833 T1832:Z1832 U1833:V1833 X1833:Z1833 J1834:W1836 J1837:V1839 W1838:Z1839 X1837:Z1837 J1840:W1844 J1847:W1848 J1846:L1846 J1845:Y1845 X1846:Y1846 N1846:S1846 U1846:V1846 Z1840:Z1846 J1851:W1853 Y1850:Z1853 X1849:Z1849 X1850 X1852:X1853 J1861:V1868 Z1858 X1862:Z1862 Z1863:Z1864 Z1854:Z1855 W1866:Y1867 X1882:Y1885 J1869:Y1872 X1878:Y1878 X1880:Y1880 J1854:V1859 W1855:W1859 W1861:W1863 Z1860 J1860:W1860 X1892:Y1894 J1896:W1913 W1874:W1885 Z1866:Z1971 X1900:Y1904 J1873:V1895 X1906:Y1913 X1896:Y1896 X1889:Y1889 W1887:W1895 J1914:Y1921 W1922:Y1937 K1941:K1951 K1938:K1939 O1941:O1951 O1938:O1939 Q1938:Q1939 AA1942:AB1949 L1938:N1951 J1938:J1951 R1938:V1951 W1938:W1949 W1952:W1962 Q1941:Q1971 P1938:P1971 R1952:R1962 S1952:V1966 X1938:Y1966 J1952:O1971 R1967:Y1971 J1986:N1986 W1972:Z1975 K1990:V1990 U1986:W1986 W1989:Z1990 R1986:T1989 K1987:Q1989 J1976:Z1985 J1987:J1990 U1987:V1989 W1995:Z1998 J1991:Z1994 L1999:L2002 P1999:R2002 M1999:M2026 N1999:N2002 S2012:Z2026 J1999:K2005 S1999:Z2008 T2009:Z2011 K2012:K2026 O2012:O2026 Q2012:Q2026 Q2003:Q2005 R2006:R2026 P2006:P2026 N2006:N2026 L2006:L2026 J2006:J2026 O1999:O2005 J2029:Z2029 J2032:Z2032 V2030:Z2031 V2033:Z2034 V2027:Z2028 J2035:Z2040 M2041:O2041 S2041:U2041 W2041:Z2041 J2042:Z2042 W2043:Z2043 J2044:Z2045 W2046:Z2046 J2047:Z2048 W2049:Z2049 Z2050:Z2069 W2051:W2069 J2050:V2055 J2057:U2058 V2057 K2070:Z2071 J2059:V2069 F4003:G1048576</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D4003:D1048576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J986:J1109 J1122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J1129:J1171 W1139:X1143 X1154:Z1159 Q1511:Y1516 W1145:W1160 J1125:J1126 J951:J970 J972:J977 M1125 J923:J949 L923:S949 W1489:Z1497 J1498:V1500 X1498:Z1500 W1499 W1502:Z1502 J1501:Z1501 J1503:N1503 P1503:P1516 R1503:Z1503 X1504:Z1509 Z1510:Z1516 Q1504:W1510 J1504:J1508 J1510:J1516 L1127:V1127 L1110:O1110 R951:R957 L951:Q960 O961:Q970 S951:S970 R961 R963 R968 J979:J984 M979:M985 O985:Q985 O981:R984 S981:U985 W954:W984 N986:N1080</xm:sqref>
        </x14:dataValidation>
        <x14:dataValidation type="list" allowBlank="1" showInputMessage="1" showErrorMessage="1" prompt="Should be included in AFTs listed in land use record_x000a_" xr:uid="{7EF252FD-BAFF-477B-8C5F-96D534AF02C8}">
          <x14:formula1>
            <xm:f>'IGNORE Lookups'!$C$23:$C$41</xm:f>
          </x14:formula1>
          <xm:sqref>E1 E4003:E1048576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J1219:J1225 M1219:Z1225 AA1219:AA1223 U1211:Z1218 L1211 M1214 M1216 N1213:S1217 N1211:S1211 L1212:S1212 M1218:S1218 L1201:AB1207 X1146:Z1146 W1197:Z1200 X1172:Z1178 W1162:W1171 W1161:AA1161 J1201:J1210 J1227:J1237 L1227:Z1237</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J1358:J1363 J1368:J1371 L1417:Q1423 L1373:S1376 L1416:N1416 R1412:W1423 P1416 L1412:Q1415 AA1445 AA1427 AA1425 AA1434 AA1436 AA1443 K1466:Z1475 J1478:Z1481 K1476:V1477 J1373:J1450 J1466:J1477 J1732:W1733 Z1732:Z1808 X1739:Y1808 J1734:Y1738 S1739:W1822 J1739:O1822 R1740:R1748 P1740:P1748 P1750:P1758 R1750:R1758 R1760:R1768 P1760:P1768 P1770:P1778 R1770:R1778 R1780:R1788 P1800:P1808 P1780:P1788 P1790:P1798 Q1739:Q1822 R1790:R1798 R1800:R1808 J2075:Z2075 W2072:Z2074 Z2076:Z2106 X2076:Y2085 K2076:W2088 J2076:J2086 W2089:Y2090 Q2091:Y2106 J2091:N2106 O2105:P2106 O2091:O2101 P2091:P2104 J2107:V2108 J2111:M2111 L2109:N2110 P2109:W2110 N2114:V2115 K2112:K2115 M2112:M2115 O2111:V2113 J2114:J2115 L2114:L2115 W2111:W2115</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J1668:V1668 J1128 P1110 R957 J153:J154 P969 J1455 J1460 J1465 S603:U609 K1:K1465 AB610 L611:U617 L619:R844 L618:W618 L610:W610 J603:J621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J2214:J2216 P2217:Q2219 P2211:R2216 K2202:O2206 Q2202:R2206 J2220:Q2220 K2221:Q2221 S2214:W2219 S2221:Z2221 R2217:R2221 K2211:O2219 S2220:AA2220 K2306:R2306 R2550 M2549 P2550 K2546:K2550 O2584:R2584 M2584 K2896:K1048576 Q2882:Q2883 N2875 M2896:O1048576 Q2896:Q1048576 M2882:M2883 L2951:L1048576 N2880:N2883 K2882:K2883 R2876:R1048576 L2875:L2883 P2884:P1048576 R2532 R2535 L2532 L2535</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T2542:T2545 T2547 V2556 S2589 S2896:V1048576 V2505</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J1482:W1488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W2542 W2544 J2556:U2558 V2557:V2558 W2555:W2558 W2576 W2578:W2579 W2896:W1048576 W2882:W2883 W2500</xm:sqref>
        </x14:dataValidation>
        <x14:dataValidation type="list" allowBlank="1" showInputMessage="1" showErrorMessage="1" xr:uid="{22B62566-8B42-4989-AC2F-9DCAB30ABC59}">
          <x14:formula1>
            <xm:f>'IGNORE Lookups'!$E$29:$E$42</xm:f>
          </x14:formula1>
          <xm:sqref>J1127 L1279:V1280 J1372 J1364:J1367 J1343:J1357 J950 J1192:J1196 J1277 J918:J921 L1372:V1372 J1211:J1218 L1277:V1277 V1192:V1196 T1192:T1196 L1192:R1196 J1179:J1190 X1191:Z1196 L1187:Z1190 J1242 L1179:W1186 J1279:J1292 L950:W950 L1343:W1357 L1364:V1367 J1509 J1520:V1527 X1520:Z1527 W1520:W1524 J1561:V1561 K1565:V1568 J1564:J1568 J1570:V1570 J1572:V1572 J1591 J1645 J1635 J1655 J1661 J1663:J1664 J1110 J1:J152 J985 J1451:J1454 J1456:J1459 J1461:J1464 J622:J886 J2041 J2070:J2071 J2087:J2088 J2109:J2110 J2112:J2113 J155:J602 X2152:Y2152 K2151:Z2151 S2156 V2156:Z2162 U2156 K2156:R2162 T2156:T2162 K2178:W2179 O2188:Q2188 Z2188 S2188:W2188 K2188:M2188 Q2207:Z2210 K2189:Z2201 K2207:O2210 J2149:J2213 P2202:P2210 J2221 J2217:J2219 K2307:Z2309 S2317:S2388 P2314:P2316 V2315:V2316 S2314:T2316 T2321:T2394 V2321:V2328 W2314:Z2329 V2330:Z2337 W2338:Z2338 V2339:Z2346 W2347:Z2347 V2348:Z2355 W2356:Z2356 V2357:Z2364 W2365:Z2365 U2314:U2394 M2499:Q2540 P2321:P2394 V2375:V2394 V2366:Z2373 S2498:S2499 K2541:W2541 J2896:J1048576 M2550 K2542:S2545 W2545:W2550 U2542:V2542 U2543:W2543 U2544:V2545 L2546:S2548 T2546:V2546 T2548:V2548 U2547:V2547 L2549:L2550 N2549:O2550 P2549:V2549 Q2550 S2550:V2550 X2546:Z2550 J2541:J2550 J2584 J2681:V2683 J2699:V2701 J2717:V2719 J2735:V2737 J2753:V2755 J2771:V2773 J2789:V2791 J2807:V2809 J2825:V2827 J2843:V2845 R2536:R2540 R2533:R2534 L2533:L2534 L2536:L2540 W2374:Z2382 T2440:V2499 V2500:V2504 V2506:V2540 W2501:W2540 L2499:L2531 R2499:R2531 S2500:U2540 X2516:Z2529 J2498:R2498 J2499:K2540 O2314:O2382 J2306:J2394 K2314:N2394 Q2314:R2394 X2389:Y2394</xm:sqref>
        </x14:dataValidation>
        <x14:dataValidation type="list" allowBlank="1" showInputMessage="1" showErrorMessage="1" xr:uid="{B415B483-9364-4D78-9BCE-41B72AB9A5F5}">
          <x14:formula1>
            <xm:f>'[Adam''s fire data.xlsx]IGNORE Lookups'!#REF!</xm:f>
          </x14:formula1>
          <xm:sqref>P2317:P2320 X2383:Y2388 T2395:V2439 Z2383:Z2499 W2383:W2499 S2389:S2497 J2395:N2497 O2383:O2497 P2395:R2497 X2395:Y2499</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708"/>
  <sheetViews>
    <sheetView zoomScale="60" zoomScaleNormal="60" workbookViewId="0">
      <pane ySplit="1" topLeftCell="A2" activePane="bottomLeft" state="frozen"/>
      <selection activeCell="F1" sqref="F1"/>
      <selection pane="bottomLeft" activeCell="N517" sqref="N517:N521"/>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6255</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5">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5083</v>
      </c>
      <c r="L24" s="23"/>
      <c r="M24" s="51"/>
      <c r="N24" s="3"/>
    </row>
    <row r="25" spans="1:14" ht="52.5" customHeight="1">
      <c r="A25" s="23" t="s">
        <v>933</v>
      </c>
      <c r="B25" s="23" t="s">
        <v>5060</v>
      </c>
      <c r="C25" s="23" t="s">
        <v>24</v>
      </c>
      <c r="D25" s="23" t="s">
        <v>2804</v>
      </c>
      <c r="E25" s="26" t="s">
        <v>5005</v>
      </c>
      <c r="F25" s="26" t="s">
        <v>2662</v>
      </c>
      <c r="G25" s="23"/>
      <c r="H25" s="23">
        <v>0</v>
      </c>
      <c r="I25" s="4" t="s">
        <v>5081</v>
      </c>
      <c r="J25" s="23" t="s">
        <v>2276</v>
      </c>
      <c r="K25" s="23" t="s">
        <v>2276</v>
      </c>
      <c r="L25" s="23" t="s">
        <v>2276</v>
      </c>
      <c r="M25" s="51" t="s">
        <v>2276</v>
      </c>
      <c r="N25" s="3"/>
    </row>
    <row r="26" spans="1:14" ht="52.5" customHeight="1">
      <c r="A26" s="23" t="s">
        <v>933</v>
      </c>
      <c r="B26" s="23" t="s">
        <v>5061</v>
      </c>
      <c r="C26" s="23" t="s">
        <v>1105</v>
      </c>
      <c r="D26" s="23" t="s">
        <v>1105</v>
      </c>
      <c r="E26" s="26" t="s">
        <v>3209</v>
      </c>
      <c r="F26" s="26" t="s">
        <v>2662</v>
      </c>
      <c r="G26" s="23"/>
      <c r="H26" s="23" t="s">
        <v>2276</v>
      </c>
      <c r="I26" s="23" t="s">
        <v>2276</v>
      </c>
      <c r="J26" s="23" t="s">
        <v>2276</v>
      </c>
      <c r="K26" s="23" t="s">
        <v>2276</v>
      </c>
      <c r="L26" s="23">
        <v>2</v>
      </c>
      <c r="M26" s="50" t="s">
        <v>5079</v>
      </c>
      <c r="N26" s="3"/>
    </row>
    <row r="27" spans="1:14" ht="52.5" customHeight="1">
      <c r="A27" s="23" t="s">
        <v>933</v>
      </c>
      <c r="B27" s="23" t="s">
        <v>5062</v>
      </c>
      <c r="C27" s="23" t="s">
        <v>1105</v>
      </c>
      <c r="D27" s="23" t="s">
        <v>1105</v>
      </c>
      <c r="E27" s="26" t="s">
        <v>137</v>
      </c>
      <c r="F27" s="26" t="s">
        <v>2662</v>
      </c>
      <c r="G27" s="23"/>
      <c r="H27" s="23" t="s">
        <v>2276</v>
      </c>
      <c r="I27" s="23" t="s">
        <v>2276</v>
      </c>
      <c r="J27" s="23">
        <v>0</v>
      </c>
      <c r="K27" s="23" t="s">
        <v>5083</v>
      </c>
      <c r="L27" s="23" t="s">
        <v>2276</v>
      </c>
      <c r="M27" s="51" t="s">
        <v>2276</v>
      </c>
      <c r="N27" s="3"/>
    </row>
    <row r="28" spans="1:14" ht="52.5" customHeight="1">
      <c r="A28" s="23" t="s">
        <v>5059</v>
      </c>
      <c r="B28" s="23" t="s">
        <v>5068</v>
      </c>
      <c r="C28" s="23" t="s">
        <v>24</v>
      </c>
      <c r="D28" s="23"/>
      <c r="E28" s="26" t="s">
        <v>5005</v>
      </c>
      <c r="F28" s="26" t="s">
        <v>2662</v>
      </c>
      <c r="G28" s="23"/>
      <c r="H28" s="23">
        <v>1</v>
      </c>
      <c r="I28" s="4" t="s">
        <v>5082</v>
      </c>
      <c r="J28" s="23">
        <v>2</v>
      </c>
      <c r="K28" s="23" t="s">
        <v>5080</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7"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7"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7"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7"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7"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7"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7"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7"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7"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7"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7"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7"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7"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7"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7"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7"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7"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198"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199"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2" t="s">
        <v>3505</v>
      </c>
      <c r="J116" s="3">
        <v>0</v>
      </c>
      <c r="K116" s="162" t="s">
        <v>3505</v>
      </c>
      <c r="L116" s="12">
        <v>0</v>
      </c>
      <c r="M116" s="200" t="s">
        <v>3528</v>
      </c>
      <c r="N116" s="3"/>
    </row>
    <row r="117" spans="1:14" ht="109" customHeight="1">
      <c r="A117" s="23" t="s">
        <v>3491</v>
      </c>
      <c r="B117" s="3" t="s">
        <v>3499</v>
      </c>
      <c r="C117" s="3" t="s">
        <v>1105</v>
      </c>
      <c r="D117" s="3" t="s">
        <v>1105</v>
      </c>
      <c r="E117" s="4" t="s">
        <v>396</v>
      </c>
      <c r="F117" s="3" t="s">
        <v>28</v>
      </c>
      <c r="G117" s="3">
        <v>2009</v>
      </c>
      <c r="H117" s="22">
        <v>0</v>
      </c>
      <c r="I117" s="162" t="s">
        <v>3505</v>
      </c>
      <c r="J117" s="3">
        <v>0</v>
      </c>
      <c r="K117" s="162" t="s">
        <v>3505</v>
      </c>
      <c r="L117" s="12">
        <v>0</v>
      </c>
      <c r="M117" s="200" t="s">
        <v>3528</v>
      </c>
      <c r="N117" s="3"/>
    </row>
    <row r="118" spans="1:14" ht="109" customHeight="1">
      <c r="A118" s="23" t="s">
        <v>3491</v>
      </c>
      <c r="B118" s="3" t="s">
        <v>3502</v>
      </c>
      <c r="C118" s="3" t="s">
        <v>1105</v>
      </c>
      <c r="D118" s="3" t="s">
        <v>1105</v>
      </c>
      <c r="E118" s="4" t="s">
        <v>45</v>
      </c>
      <c r="F118" s="3" t="s">
        <v>29</v>
      </c>
      <c r="G118" s="3">
        <v>2009</v>
      </c>
      <c r="H118" s="22">
        <v>0</v>
      </c>
      <c r="I118" s="162" t="s">
        <v>3505</v>
      </c>
      <c r="J118" s="3">
        <v>0</v>
      </c>
      <c r="K118" s="162" t="s">
        <v>3505</v>
      </c>
      <c r="L118" s="12">
        <v>0</v>
      </c>
      <c r="M118" s="200" t="s">
        <v>3528</v>
      </c>
      <c r="N118" s="3"/>
    </row>
    <row r="119" spans="1:14" ht="109" customHeight="1">
      <c r="A119" s="23" t="s">
        <v>3491</v>
      </c>
      <c r="B119" s="3" t="s">
        <v>3503</v>
      </c>
      <c r="C119" s="3" t="s">
        <v>1105</v>
      </c>
      <c r="D119" s="3" t="s">
        <v>1105</v>
      </c>
      <c r="E119" s="4" t="s">
        <v>397</v>
      </c>
      <c r="F119" s="3" t="s">
        <v>28</v>
      </c>
      <c r="G119" s="3">
        <v>2010</v>
      </c>
      <c r="H119" s="22">
        <v>0</v>
      </c>
      <c r="I119" s="162" t="s">
        <v>3507</v>
      </c>
      <c r="J119" s="3">
        <v>0</v>
      </c>
      <c r="K119" s="162" t="s">
        <v>3507</v>
      </c>
      <c r="L119" s="12">
        <v>0</v>
      </c>
      <c r="M119" s="200" t="s">
        <v>3528</v>
      </c>
      <c r="N119" s="3"/>
    </row>
    <row r="120" spans="1:14" ht="109" customHeight="1">
      <c r="A120" s="23" t="s">
        <v>3491</v>
      </c>
      <c r="B120" s="3" t="s">
        <v>3504</v>
      </c>
      <c r="C120" s="3" t="s">
        <v>1105</v>
      </c>
      <c r="D120" s="3" t="s">
        <v>1105</v>
      </c>
      <c r="E120" s="4" t="s">
        <v>396</v>
      </c>
      <c r="F120" s="3" t="s">
        <v>28</v>
      </c>
      <c r="G120" s="3">
        <v>2010</v>
      </c>
      <c r="H120" s="22">
        <v>0</v>
      </c>
      <c r="I120" s="162" t="s">
        <v>3507</v>
      </c>
      <c r="J120" s="3">
        <v>0</v>
      </c>
      <c r="K120" s="162" t="s">
        <v>3507</v>
      </c>
      <c r="L120" s="12">
        <v>0</v>
      </c>
      <c r="M120" s="200" t="s">
        <v>3528</v>
      </c>
      <c r="N120" s="3"/>
    </row>
    <row r="121" spans="1:14" ht="109" customHeight="1">
      <c r="A121" s="23" t="s">
        <v>3491</v>
      </c>
      <c r="B121" s="3" t="s">
        <v>3506</v>
      </c>
      <c r="C121" s="3" t="s">
        <v>1105</v>
      </c>
      <c r="D121" s="3" t="s">
        <v>1105</v>
      </c>
      <c r="E121" s="4" t="s">
        <v>45</v>
      </c>
      <c r="F121" s="3" t="s">
        <v>29</v>
      </c>
      <c r="G121" s="3">
        <v>2010</v>
      </c>
      <c r="H121" s="22">
        <v>0</v>
      </c>
      <c r="I121" s="162" t="s">
        <v>3507</v>
      </c>
      <c r="J121" s="3">
        <v>0</v>
      </c>
      <c r="K121" s="162" t="s">
        <v>3507</v>
      </c>
      <c r="L121" s="12">
        <v>0</v>
      </c>
      <c r="M121" s="200" t="s">
        <v>3528</v>
      </c>
      <c r="N121" s="3"/>
    </row>
    <row r="122" spans="1:14" ht="109" customHeight="1">
      <c r="A122" s="23" t="s">
        <v>3491</v>
      </c>
      <c r="B122" s="3" t="s">
        <v>3508</v>
      </c>
      <c r="C122" s="3" t="s">
        <v>1105</v>
      </c>
      <c r="D122" s="3" t="s">
        <v>1105</v>
      </c>
      <c r="E122" s="4" t="s">
        <v>397</v>
      </c>
      <c r="F122" s="3" t="s">
        <v>28</v>
      </c>
      <c r="G122" s="3">
        <v>2011</v>
      </c>
      <c r="H122" s="22">
        <v>1</v>
      </c>
      <c r="I122" s="162" t="s">
        <v>3511</v>
      </c>
      <c r="J122" s="22">
        <v>1</v>
      </c>
      <c r="K122" s="162" t="s">
        <v>3511</v>
      </c>
      <c r="L122" s="12">
        <v>1</v>
      </c>
      <c r="M122" s="200" t="s">
        <v>3524</v>
      </c>
      <c r="N122" s="3"/>
    </row>
    <row r="123" spans="1:14" ht="109" customHeight="1">
      <c r="A123" s="23" t="s">
        <v>3491</v>
      </c>
      <c r="B123" s="3" t="s">
        <v>3509</v>
      </c>
      <c r="C123" s="3" t="s">
        <v>1105</v>
      </c>
      <c r="D123" s="3" t="s">
        <v>1105</v>
      </c>
      <c r="E123" s="4" t="s">
        <v>396</v>
      </c>
      <c r="F123" s="3" t="s">
        <v>28</v>
      </c>
      <c r="G123" s="3">
        <v>2011</v>
      </c>
      <c r="H123" s="22">
        <v>1</v>
      </c>
      <c r="I123" s="162" t="s">
        <v>3511</v>
      </c>
      <c r="J123" s="22">
        <v>1</v>
      </c>
      <c r="K123" s="162" t="s">
        <v>3511</v>
      </c>
      <c r="L123" s="12">
        <v>1</v>
      </c>
      <c r="M123" s="200" t="s">
        <v>3524</v>
      </c>
      <c r="N123" s="3"/>
    </row>
    <row r="124" spans="1:14" ht="109" customHeight="1">
      <c r="A124" s="23" t="s">
        <v>3491</v>
      </c>
      <c r="B124" s="3" t="s">
        <v>3510</v>
      </c>
      <c r="C124" s="3" t="s">
        <v>1105</v>
      </c>
      <c r="D124" s="3" t="s">
        <v>1105</v>
      </c>
      <c r="E124" s="4" t="s">
        <v>45</v>
      </c>
      <c r="F124" s="3" t="s">
        <v>29</v>
      </c>
      <c r="G124" s="3">
        <v>2011</v>
      </c>
      <c r="H124" s="22">
        <v>1</v>
      </c>
      <c r="I124" s="162" t="s">
        <v>3511</v>
      </c>
      <c r="J124" s="22">
        <v>1</v>
      </c>
      <c r="K124" s="162" t="s">
        <v>3511</v>
      </c>
      <c r="L124" s="12">
        <v>1</v>
      </c>
      <c r="M124" s="200" t="s">
        <v>3524</v>
      </c>
      <c r="N124" s="3"/>
    </row>
    <row r="125" spans="1:14" ht="109" customHeight="1">
      <c r="A125" s="23" t="s">
        <v>3491</v>
      </c>
      <c r="B125" s="3" t="s">
        <v>3512</v>
      </c>
      <c r="C125" s="3" t="s">
        <v>1105</v>
      </c>
      <c r="D125" s="3" t="s">
        <v>1105</v>
      </c>
      <c r="E125" s="4" t="s">
        <v>397</v>
      </c>
      <c r="F125" s="3" t="s">
        <v>28</v>
      </c>
      <c r="G125" s="3">
        <v>2012</v>
      </c>
      <c r="H125" s="22">
        <v>1</v>
      </c>
      <c r="I125" s="162" t="s">
        <v>3515</v>
      </c>
      <c r="J125" s="22">
        <v>1</v>
      </c>
      <c r="K125" s="162" t="s">
        <v>3515</v>
      </c>
      <c r="L125" s="12">
        <v>1</v>
      </c>
      <c r="M125" s="200" t="s">
        <v>3523</v>
      </c>
      <c r="N125" s="3"/>
    </row>
    <row r="126" spans="1:14" ht="109" customHeight="1">
      <c r="A126" s="23" t="s">
        <v>3491</v>
      </c>
      <c r="B126" s="3" t="s">
        <v>3513</v>
      </c>
      <c r="C126" s="3" t="s">
        <v>1105</v>
      </c>
      <c r="D126" s="3" t="s">
        <v>1105</v>
      </c>
      <c r="E126" s="4" t="s">
        <v>396</v>
      </c>
      <c r="F126" s="3" t="s">
        <v>28</v>
      </c>
      <c r="G126" s="3">
        <v>2012</v>
      </c>
      <c r="H126" s="22">
        <v>1</v>
      </c>
      <c r="I126" s="162" t="s">
        <v>3515</v>
      </c>
      <c r="J126" s="22">
        <v>1</v>
      </c>
      <c r="K126" s="162" t="s">
        <v>3515</v>
      </c>
      <c r="L126" s="12">
        <v>1</v>
      </c>
      <c r="M126" s="200" t="s">
        <v>3523</v>
      </c>
      <c r="N126" s="3"/>
    </row>
    <row r="127" spans="1:14" ht="109" customHeight="1">
      <c r="A127" s="23" t="s">
        <v>3491</v>
      </c>
      <c r="B127" s="3" t="s">
        <v>3514</v>
      </c>
      <c r="C127" s="3" t="s">
        <v>1105</v>
      </c>
      <c r="D127" s="3" t="s">
        <v>1105</v>
      </c>
      <c r="E127" s="4" t="s">
        <v>45</v>
      </c>
      <c r="F127" s="3" t="s">
        <v>29</v>
      </c>
      <c r="G127" s="3">
        <v>2012</v>
      </c>
      <c r="H127" s="22">
        <v>1</v>
      </c>
      <c r="I127" s="162" t="s">
        <v>3515</v>
      </c>
      <c r="J127" s="22">
        <v>1</v>
      </c>
      <c r="K127" s="162" t="s">
        <v>3515</v>
      </c>
      <c r="L127" s="12">
        <v>1</v>
      </c>
      <c r="M127" s="200" t="s">
        <v>3523</v>
      </c>
      <c r="N127" s="3"/>
    </row>
    <row r="128" spans="1:14" ht="109" customHeight="1">
      <c r="A128" s="23" t="s">
        <v>3491</v>
      </c>
      <c r="B128" s="3" t="s">
        <v>3516</v>
      </c>
      <c r="C128" s="3" t="s">
        <v>1105</v>
      </c>
      <c r="D128" s="3" t="s">
        <v>1105</v>
      </c>
      <c r="E128" s="4" t="s">
        <v>397</v>
      </c>
      <c r="F128" s="3" t="s">
        <v>28</v>
      </c>
      <c r="G128" s="3">
        <v>2013</v>
      </c>
      <c r="H128" s="22">
        <v>1</v>
      </c>
      <c r="I128" s="162" t="s">
        <v>3515</v>
      </c>
      <c r="J128" s="22">
        <v>1</v>
      </c>
      <c r="K128" s="162" t="s">
        <v>3515</v>
      </c>
      <c r="L128" s="12">
        <v>1</v>
      </c>
      <c r="M128" s="200" t="s">
        <v>3525</v>
      </c>
      <c r="N128" s="3"/>
    </row>
    <row r="129" spans="1:14" ht="109" customHeight="1">
      <c r="A129" s="23" t="s">
        <v>3491</v>
      </c>
      <c r="B129" s="3" t="s">
        <v>3517</v>
      </c>
      <c r="C129" s="3" t="s">
        <v>1105</v>
      </c>
      <c r="D129" s="3" t="s">
        <v>1105</v>
      </c>
      <c r="E129" s="4" t="s">
        <v>396</v>
      </c>
      <c r="F129" s="3" t="s">
        <v>28</v>
      </c>
      <c r="G129" s="3">
        <v>2013</v>
      </c>
      <c r="H129" s="22">
        <v>1</v>
      </c>
      <c r="I129" s="162" t="s">
        <v>3515</v>
      </c>
      <c r="J129" s="22">
        <v>1</v>
      </c>
      <c r="K129" s="162" t="s">
        <v>3515</v>
      </c>
      <c r="L129" s="12">
        <v>1</v>
      </c>
      <c r="M129" s="200" t="s">
        <v>3525</v>
      </c>
      <c r="N129" s="3"/>
    </row>
    <row r="130" spans="1:14" ht="109" customHeight="1">
      <c r="A130" s="23" t="s">
        <v>3491</v>
      </c>
      <c r="B130" s="3" t="s">
        <v>3518</v>
      </c>
      <c r="C130" s="3" t="s">
        <v>1105</v>
      </c>
      <c r="D130" s="3" t="s">
        <v>1105</v>
      </c>
      <c r="E130" s="4" t="s">
        <v>45</v>
      </c>
      <c r="F130" s="3" t="s">
        <v>29</v>
      </c>
      <c r="G130" s="3">
        <v>2013</v>
      </c>
      <c r="H130" s="22">
        <v>1</v>
      </c>
      <c r="I130" s="162" t="s">
        <v>3515</v>
      </c>
      <c r="J130" s="22">
        <v>1</v>
      </c>
      <c r="K130" s="162" t="s">
        <v>3515</v>
      </c>
      <c r="L130" s="12">
        <v>1</v>
      </c>
      <c r="M130" s="200" t="s">
        <v>3525</v>
      </c>
      <c r="N130" s="3"/>
    </row>
    <row r="131" spans="1:14" ht="109" customHeight="1">
      <c r="A131" s="23" t="s">
        <v>3491</v>
      </c>
      <c r="B131" s="3" t="s">
        <v>3519</v>
      </c>
      <c r="C131" s="3" t="s">
        <v>1105</v>
      </c>
      <c r="D131" s="3" t="s">
        <v>1105</v>
      </c>
      <c r="E131" s="4" t="s">
        <v>397</v>
      </c>
      <c r="F131" s="3" t="s">
        <v>28</v>
      </c>
      <c r="G131" s="3">
        <v>2014</v>
      </c>
      <c r="H131" s="22">
        <v>1</v>
      </c>
      <c r="I131" s="162" t="s">
        <v>3522</v>
      </c>
      <c r="J131" s="22">
        <v>1</v>
      </c>
      <c r="K131" s="162" t="s">
        <v>3515</v>
      </c>
      <c r="L131" s="12">
        <v>1</v>
      </c>
      <c r="M131" s="200" t="s">
        <v>3526</v>
      </c>
      <c r="N131" s="3"/>
    </row>
    <row r="132" spans="1:14" ht="109" customHeight="1">
      <c r="A132" s="23" t="s">
        <v>3491</v>
      </c>
      <c r="B132" s="3" t="s">
        <v>3520</v>
      </c>
      <c r="C132" s="3" t="s">
        <v>1105</v>
      </c>
      <c r="D132" s="3" t="s">
        <v>1105</v>
      </c>
      <c r="E132" s="4" t="s">
        <v>396</v>
      </c>
      <c r="F132" s="3" t="s">
        <v>28</v>
      </c>
      <c r="G132" s="3">
        <v>2014</v>
      </c>
      <c r="H132" s="22">
        <v>1</v>
      </c>
      <c r="I132" s="162" t="s">
        <v>3515</v>
      </c>
      <c r="J132" s="22">
        <v>1</v>
      </c>
      <c r="K132" s="162" t="s">
        <v>3515</v>
      </c>
      <c r="L132" s="12">
        <v>1</v>
      </c>
      <c r="M132" s="200" t="s">
        <v>3526</v>
      </c>
      <c r="N132" s="3"/>
    </row>
    <row r="133" spans="1:14" ht="109" customHeight="1">
      <c r="A133" s="23" t="s">
        <v>3491</v>
      </c>
      <c r="B133" s="3" t="s">
        <v>3521</v>
      </c>
      <c r="C133" s="3" t="s">
        <v>1105</v>
      </c>
      <c r="D133" s="3" t="s">
        <v>1105</v>
      </c>
      <c r="E133" s="4" t="s">
        <v>45</v>
      </c>
      <c r="F133" s="3" t="s">
        <v>29</v>
      </c>
      <c r="G133" s="3">
        <v>2014</v>
      </c>
      <c r="H133" s="22">
        <v>1</v>
      </c>
      <c r="I133" s="162" t="s">
        <v>3515</v>
      </c>
      <c r="J133" s="22">
        <v>1</v>
      </c>
      <c r="K133" s="162" t="s">
        <v>3515</v>
      </c>
      <c r="L133" s="12">
        <v>1</v>
      </c>
      <c r="M133" s="200"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2"/>
    </row>
    <row r="195" spans="1:15" ht="35" customHeight="1">
      <c r="A195" s="35" t="s">
        <v>4197</v>
      </c>
      <c r="B195" s="35" t="s">
        <v>4200</v>
      </c>
      <c r="C195" s="38" t="s">
        <v>1105</v>
      </c>
      <c r="D195" s="38" t="s">
        <v>1105</v>
      </c>
      <c r="E195" s="168" t="s">
        <v>84</v>
      </c>
      <c r="F195" s="38" t="s">
        <v>55</v>
      </c>
      <c r="G195" s="38"/>
      <c r="H195" s="38" t="s">
        <v>2276</v>
      </c>
      <c r="I195" s="38" t="s">
        <v>2276</v>
      </c>
      <c r="J195">
        <v>2</v>
      </c>
      <c r="K195" s="151" t="s">
        <v>4207</v>
      </c>
      <c r="L195" s="38" t="s">
        <v>2276</v>
      </c>
      <c r="M195" s="199" t="s">
        <v>2276</v>
      </c>
      <c r="N195" s="3"/>
    </row>
    <row r="196" spans="1:15" ht="40" customHeight="1">
      <c r="A196" s="35" t="s">
        <v>4220</v>
      </c>
      <c r="B196" s="35" t="s">
        <v>4224</v>
      </c>
      <c r="C196" s="38" t="s">
        <v>24</v>
      </c>
      <c r="D196" s="38" t="s">
        <v>1242</v>
      </c>
      <c r="E196" s="168" t="s">
        <v>137</v>
      </c>
      <c r="F196" s="168" t="s">
        <v>2662</v>
      </c>
      <c r="G196" s="38"/>
      <c r="H196" s="38">
        <v>2</v>
      </c>
      <c r="I196" s="38" t="s">
        <v>4250</v>
      </c>
      <c r="J196" s="38">
        <v>2</v>
      </c>
      <c r="K196" s="55" t="s">
        <v>4251</v>
      </c>
      <c r="L196" s="38" t="s">
        <v>2276</v>
      </c>
      <c r="M196" s="199" t="s">
        <v>2276</v>
      </c>
      <c r="N196" s="3"/>
    </row>
    <row r="197" spans="1:15" ht="51.5" customHeight="1">
      <c r="A197" s="35" t="s">
        <v>4221</v>
      </c>
      <c r="B197" s="35" t="s">
        <v>4232</v>
      </c>
      <c r="C197" s="38" t="s">
        <v>24</v>
      </c>
      <c r="D197" s="38" t="s">
        <v>1242</v>
      </c>
      <c r="E197" s="168" t="s">
        <v>3854</v>
      </c>
      <c r="F197" s="168" t="s">
        <v>2662</v>
      </c>
      <c r="G197" s="38"/>
      <c r="H197" s="38">
        <v>1</v>
      </c>
      <c r="I197" s="38" t="s">
        <v>4252</v>
      </c>
      <c r="J197" s="38" t="s">
        <v>2276</v>
      </c>
      <c r="K197" s="38" t="s">
        <v>2276</v>
      </c>
      <c r="L197" s="38" t="s">
        <v>2276</v>
      </c>
      <c r="M197" s="199" t="s">
        <v>2276</v>
      </c>
      <c r="N197" s="3"/>
    </row>
    <row r="198" spans="1:15" ht="36" customHeight="1">
      <c r="A198" s="11" t="s">
        <v>4221</v>
      </c>
      <c r="B198" s="11" t="s">
        <v>4233</v>
      </c>
      <c r="C198" s="3" t="s">
        <v>24</v>
      </c>
      <c r="D198" s="3" t="s">
        <v>1245</v>
      </c>
      <c r="E198" s="4" t="s">
        <v>116</v>
      </c>
      <c r="F198" s="168" t="s">
        <v>2662</v>
      </c>
      <c r="G198" s="3"/>
      <c r="H198" s="3">
        <v>0</v>
      </c>
      <c r="I198" s="4" t="s">
        <v>3012</v>
      </c>
      <c r="J198" s="4">
        <v>0</v>
      </c>
      <c r="K198" s="4" t="s">
        <v>3012</v>
      </c>
      <c r="L198" s="38" t="s">
        <v>2276</v>
      </c>
      <c r="M198" s="199"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8" t="s">
        <v>3209</v>
      </c>
      <c r="F202" s="38" t="s">
        <v>74</v>
      </c>
      <c r="G202" s="38"/>
      <c r="H202" s="38" t="s">
        <v>2276</v>
      </c>
      <c r="I202" s="38" t="s">
        <v>2276</v>
      </c>
      <c r="J202" s="38" t="s">
        <v>2276</v>
      </c>
      <c r="K202" s="38" t="s">
        <v>2276</v>
      </c>
      <c r="L202" s="38">
        <v>2</v>
      </c>
      <c r="M202" s="201"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2" t="s">
        <v>4418</v>
      </c>
      <c r="B227" s="152"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2" t="s">
        <v>4448</v>
      </c>
      <c r="B228" s="152" t="s">
        <v>4457</v>
      </c>
      <c r="C228" s="3" t="s">
        <v>24</v>
      </c>
      <c r="D228" s="3" t="s">
        <v>1105</v>
      </c>
      <c r="E228" s="4" t="s">
        <v>130</v>
      </c>
      <c r="F228" s="3" t="s">
        <v>2276</v>
      </c>
      <c r="G228" s="3"/>
      <c r="H228" s="3">
        <v>2</v>
      </c>
      <c r="I228" s="19" t="s">
        <v>4470</v>
      </c>
      <c r="J228" s="3" t="s">
        <v>2276</v>
      </c>
      <c r="K228" s="3" t="s">
        <v>2276</v>
      </c>
      <c r="L228" s="3">
        <v>1</v>
      </c>
      <c r="M228" s="198"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5128</v>
      </c>
      <c r="B287" s="3" t="s">
        <v>5145</v>
      </c>
      <c r="C287" s="3" t="s">
        <v>24</v>
      </c>
      <c r="D287" s="3" t="s">
        <v>1242</v>
      </c>
      <c r="E287" s="4" t="s">
        <v>137</v>
      </c>
      <c r="F287" s="4" t="s">
        <v>2662</v>
      </c>
      <c r="G287" s="3"/>
      <c r="H287" s="3">
        <v>3</v>
      </c>
      <c r="I287" s="4" t="s">
        <v>5163</v>
      </c>
      <c r="J287" s="3">
        <v>3</v>
      </c>
      <c r="K287" s="4" t="s">
        <v>5155</v>
      </c>
      <c r="L287" s="3" t="s">
        <v>2276</v>
      </c>
      <c r="M287" s="52" t="s">
        <v>2276</v>
      </c>
      <c r="N287" s="3"/>
    </row>
    <row r="288" spans="1:14" ht="48" customHeight="1">
      <c r="A288" s="11" t="s">
        <v>5129</v>
      </c>
      <c r="B288" s="3" t="s">
        <v>5146</v>
      </c>
      <c r="C288" s="3" t="s">
        <v>24</v>
      </c>
      <c r="D288" s="3" t="s">
        <v>1242</v>
      </c>
      <c r="E288" s="4" t="s">
        <v>137</v>
      </c>
      <c r="F288" s="4" t="s">
        <v>2662</v>
      </c>
      <c r="G288" s="3"/>
      <c r="H288" s="3">
        <v>3</v>
      </c>
      <c r="I288" s="4" t="s">
        <v>5163</v>
      </c>
      <c r="J288" s="3">
        <v>3</v>
      </c>
      <c r="K288" s="4" t="s">
        <v>5155</v>
      </c>
      <c r="L288" s="3" t="s">
        <v>2276</v>
      </c>
      <c r="M288" s="52" t="s">
        <v>2276</v>
      </c>
      <c r="N288" s="3"/>
    </row>
    <row r="289" spans="1:14" ht="48" customHeight="1">
      <c r="A289" s="11" t="s">
        <v>5130</v>
      </c>
      <c r="B289" s="3" t="s">
        <v>5147</v>
      </c>
      <c r="C289" s="3" t="s">
        <v>24</v>
      </c>
      <c r="D289" s="3" t="s">
        <v>1242</v>
      </c>
      <c r="E289" s="4" t="s">
        <v>137</v>
      </c>
      <c r="F289" s="4" t="s">
        <v>2662</v>
      </c>
      <c r="G289" s="3"/>
      <c r="H289" s="3">
        <v>3</v>
      </c>
      <c r="I289" s="4" t="s">
        <v>5163</v>
      </c>
      <c r="J289" s="3">
        <v>3</v>
      </c>
      <c r="K289" s="4" t="s">
        <v>5155</v>
      </c>
      <c r="L289" s="3" t="s">
        <v>2276</v>
      </c>
      <c r="M289" s="52" t="s">
        <v>2276</v>
      </c>
      <c r="N289" s="3"/>
    </row>
    <row r="290" spans="1:14" ht="48" customHeight="1">
      <c r="A290" s="11" t="s">
        <v>5131</v>
      </c>
      <c r="B290" s="3" t="s">
        <v>5148</v>
      </c>
      <c r="C290" s="3" t="s">
        <v>24</v>
      </c>
      <c r="D290" s="3" t="s">
        <v>1242</v>
      </c>
      <c r="E290" s="4" t="s">
        <v>137</v>
      </c>
      <c r="F290" s="4" t="s">
        <v>2662</v>
      </c>
      <c r="G290" s="3"/>
      <c r="H290" s="3">
        <v>3</v>
      </c>
      <c r="I290" s="4" t="s">
        <v>5163</v>
      </c>
      <c r="J290" s="3">
        <v>3</v>
      </c>
      <c r="K290" s="4" t="s">
        <v>5155</v>
      </c>
      <c r="L290" s="3" t="s">
        <v>2276</v>
      </c>
      <c r="M290" s="52" t="s">
        <v>2276</v>
      </c>
      <c r="N290" s="3"/>
    </row>
    <row r="291" spans="1:14" ht="48" customHeight="1">
      <c r="A291" s="11" t="s">
        <v>5132</v>
      </c>
      <c r="B291" s="3" t="s">
        <v>5149</v>
      </c>
      <c r="C291" s="3" t="s">
        <v>24</v>
      </c>
      <c r="D291" s="3" t="s">
        <v>1242</v>
      </c>
      <c r="E291" s="4" t="s">
        <v>137</v>
      </c>
      <c r="F291" s="4" t="s">
        <v>2662</v>
      </c>
      <c r="G291" s="3"/>
      <c r="H291" s="3">
        <v>3</v>
      </c>
      <c r="I291" s="4" t="s">
        <v>5163</v>
      </c>
      <c r="J291" s="3">
        <v>3</v>
      </c>
      <c r="K291" s="4" t="s">
        <v>5155</v>
      </c>
      <c r="L291" s="3" t="s">
        <v>2276</v>
      </c>
      <c r="M291" s="52" t="s">
        <v>2276</v>
      </c>
      <c r="N291" s="3"/>
    </row>
    <row r="292" spans="1:14" ht="48" customHeight="1">
      <c r="A292" s="11" t="s">
        <v>5128</v>
      </c>
      <c r="B292" s="3" t="s">
        <v>5150</v>
      </c>
      <c r="C292" s="3" t="s">
        <v>31</v>
      </c>
      <c r="D292" s="3" t="s">
        <v>30</v>
      </c>
      <c r="E292" s="4" t="s">
        <v>137</v>
      </c>
      <c r="F292" s="4" t="s">
        <v>2662</v>
      </c>
      <c r="G292" s="3"/>
      <c r="H292" s="3" t="s">
        <v>2276</v>
      </c>
      <c r="I292" s="3" t="s">
        <v>2276</v>
      </c>
      <c r="J292" s="3">
        <v>3</v>
      </c>
      <c r="K292" s="4" t="s">
        <v>5155</v>
      </c>
      <c r="L292" s="3">
        <v>3</v>
      </c>
      <c r="M292" s="52" t="s">
        <v>5156</v>
      </c>
      <c r="N292" s="3"/>
    </row>
    <row r="293" spans="1:14" ht="48" customHeight="1">
      <c r="A293" s="11" t="s">
        <v>5129</v>
      </c>
      <c r="B293" s="3" t="s">
        <v>5151</v>
      </c>
      <c r="C293" s="3" t="s">
        <v>31</v>
      </c>
      <c r="D293" s="3" t="s">
        <v>30</v>
      </c>
      <c r="E293" s="4" t="s">
        <v>137</v>
      </c>
      <c r="F293" s="4" t="s">
        <v>2662</v>
      </c>
      <c r="G293" s="3"/>
      <c r="H293" s="3" t="s">
        <v>2276</v>
      </c>
      <c r="I293" s="3" t="s">
        <v>2276</v>
      </c>
      <c r="J293" s="3">
        <v>3</v>
      </c>
      <c r="K293" s="4" t="s">
        <v>5155</v>
      </c>
      <c r="L293" s="3">
        <v>3</v>
      </c>
      <c r="M293" s="52" t="s">
        <v>5156</v>
      </c>
      <c r="N293" s="3"/>
    </row>
    <row r="294" spans="1:14" ht="48" customHeight="1">
      <c r="A294" s="11" t="s">
        <v>5130</v>
      </c>
      <c r="B294" s="3" t="s">
        <v>5152</v>
      </c>
      <c r="C294" s="3" t="s">
        <v>31</v>
      </c>
      <c r="D294" s="3" t="s">
        <v>30</v>
      </c>
      <c r="E294" s="4" t="s">
        <v>137</v>
      </c>
      <c r="F294" s="4" t="s">
        <v>2662</v>
      </c>
      <c r="G294" s="3"/>
      <c r="H294" s="3" t="s">
        <v>2276</v>
      </c>
      <c r="I294" s="3" t="s">
        <v>2276</v>
      </c>
      <c r="J294" s="3">
        <v>3</v>
      </c>
      <c r="K294" s="4" t="s">
        <v>5155</v>
      </c>
      <c r="L294" s="3">
        <v>3</v>
      </c>
      <c r="M294" s="52" t="s">
        <v>5156</v>
      </c>
      <c r="N294" s="3"/>
    </row>
    <row r="295" spans="1:14" ht="48" customHeight="1">
      <c r="A295" s="11" t="s">
        <v>5131</v>
      </c>
      <c r="B295" s="3" t="s">
        <v>5153</v>
      </c>
      <c r="C295" s="3" t="s">
        <v>31</v>
      </c>
      <c r="D295" s="3" t="s">
        <v>30</v>
      </c>
      <c r="E295" s="4" t="s">
        <v>137</v>
      </c>
      <c r="F295" s="4" t="s">
        <v>2662</v>
      </c>
      <c r="G295" s="3"/>
      <c r="H295" s="3" t="s">
        <v>2276</v>
      </c>
      <c r="I295" s="3" t="s">
        <v>2276</v>
      </c>
      <c r="J295" s="3">
        <v>3</v>
      </c>
      <c r="K295" s="4" t="s">
        <v>5155</v>
      </c>
      <c r="L295" s="3">
        <v>3</v>
      </c>
      <c r="M295" s="52" t="s">
        <v>5156</v>
      </c>
      <c r="N295" s="3"/>
    </row>
    <row r="296" spans="1:14" ht="48" customHeight="1">
      <c r="A296" s="11" t="s">
        <v>5132</v>
      </c>
      <c r="B296" s="3" t="s">
        <v>5154</v>
      </c>
      <c r="C296" s="3" t="s">
        <v>31</v>
      </c>
      <c r="D296" s="3" t="s">
        <v>30</v>
      </c>
      <c r="E296" s="4" t="s">
        <v>137</v>
      </c>
      <c r="F296" s="4" t="s">
        <v>2662</v>
      </c>
      <c r="G296" s="3"/>
      <c r="H296" s="3" t="s">
        <v>2276</v>
      </c>
      <c r="I296" s="3" t="s">
        <v>2276</v>
      </c>
      <c r="J296" s="3">
        <v>3</v>
      </c>
      <c r="K296" s="4" t="s">
        <v>5155</v>
      </c>
      <c r="L296" s="3">
        <v>3</v>
      </c>
      <c r="M296" s="52" t="s">
        <v>5156</v>
      </c>
      <c r="N296" s="3"/>
    </row>
    <row r="297" spans="1:14" ht="33.5" customHeight="1">
      <c r="A297" s="11" t="s">
        <v>5128</v>
      </c>
      <c r="B297" s="3" t="s">
        <v>5158</v>
      </c>
      <c r="C297" s="3" t="s">
        <v>31</v>
      </c>
      <c r="D297" s="3" t="s">
        <v>30</v>
      </c>
      <c r="E297" s="4" t="s">
        <v>2652</v>
      </c>
      <c r="F297" s="4" t="s">
        <v>2662</v>
      </c>
      <c r="G297" s="3"/>
      <c r="H297" s="3">
        <v>0</v>
      </c>
      <c r="I297" s="3" t="s">
        <v>5157</v>
      </c>
      <c r="J297" s="3" t="s">
        <v>2276</v>
      </c>
      <c r="K297" s="3" t="s">
        <v>2276</v>
      </c>
      <c r="L297" s="3" t="s">
        <v>2276</v>
      </c>
      <c r="M297" s="52" t="s">
        <v>2276</v>
      </c>
      <c r="N297" s="3"/>
    </row>
    <row r="298" spans="1:14" ht="33.5" customHeight="1">
      <c r="A298" s="11" t="s">
        <v>5129</v>
      </c>
      <c r="B298" s="3" t="s">
        <v>5159</v>
      </c>
      <c r="C298" s="3" t="s">
        <v>31</v>
      </c>
      <c r="D298" s="3" t="s">
        <v>30</v>
      </c>
      <c r="E298" s="4" t="s">
        <v>2652</v>
      </c>
      <c r="F298" s="4" t="s">
        <v>2662</v>
      </c>
      <c r="G298" s="3"/>
      <c r="H298" s="3">
        <v>0</v>
      </c>
      <c r="I298" s="3" t="s">
        <v>5157</v>
      </c>
      <c r="J298" s="3" t="s">
        <v>2276</v>
      </c>
      <c r="K298" s="3" t="s">
        <v>2276</v>
      </c>
      <c r="L298" s="3" t="s">
        <v>2276</v>
      </c>
      <c r="M298" s="52" t="s">
        <v>2276</v>
      </c>
      <c r="N298" s="3"/>
    </row>
    <row r="299" spans="1:14" ht="33.5" customHeight="1">
      <c r="A299" s="11" t="s">
        <v>5130</v>
      </c>
      <c r="B299" s="3" t="s">
        <v>5160</v>
      </c>
      <c r="C299" s="3" t="s">
        <v>31</v>
      </c>
      <c r="D299" s="3" t="s">
        <v>30</v>
      </c>
      <c r="E299" s="4" t="s">
        <v>2652</v>
      </c>
      <c r="F299" s="4" t="s">
        <v>2662</v>
      </c>
      <c r="G299" s="3"/>
      <c r="H299" s="3">
        <v>0</v>
      </c>
      <c r="I299" s="3" t="s">
        <v>5157</v>
      </c>
      <c r="J299" s="3" t="s">
        <v>2276</v>
      </c>
      <c r="K299" s="3" t="s">
        <v>2276</v>
      </c>
      <c r="L299" s="3" t="s">
        <v>2276</v>
      </c>
      <c r="M299" s="52" t="s">
        <v>2276</v>
      </c>
      <c r="N299" s="3"/>
    </row>
    <row r="300" spans="1:14" ht="33.5" customHeight="1">
      <c r="A300" s="11" t="s">
        <v>5131</v>
      </c>
      <c r="B300" s="3" t="s">
        <v>5161</v>
      </c>
      <c r="C300" s="3" t="s">
        <v>31</v>
      </c>
      <c r="D300" s="3" t="s">
        <v>30</v>
      </c>
      <c r="E300" s="4" t="s">
        <v>2652</v>
      </c>
      <c r="F300" s="4" t="s">
        <v>2662</v>
      </c>
      <c r="G300" s="3"/>
      <c r="H300" s="3">
        <v>0</v>
      </c>
      <c r="I300" s="3" t="s">
        <v>5157</v>
      </c>
      <c r="J300" s="3" t="s">
        <v>2276</v>
      </c>
      <c r="K300" s="3" t="s">
        <v>2276</v>
      </c>
      <c r="L300" s="3" t="s">
        <v>2276</v>
      </c>
      <c r="M300" s="52" t="s">
        <v>2276</v>
      </c>
      <c r="N300" s="3"/>
    </row>
    <row r="301" spans="1:14" ht="33.5" customHeight="1">
      <c r="A301" s="11" t="s">
        <v>5132</v>
      </c>
      <c r="B301" s="3" t="s">
        <v>5162</v>
      </c>
      <c r="C301" s="3" t="s">
        <v>31</v>
      </c>
      <c r="D301" s="3" t="s">
        <v>30</v>
      </c>
      <c r="E301" s="4" t="s">
        <v>2652</v>
      </c>
      <c r="F301" s="4" t="s">
        <v>2662</v>
      </c>
      <c r="G301" s="3"/>
      <c r="H301" s="3">
        <v>0</v>
      </c>
      <c r="I301" s="3" t="s">
        <v>5157</v>
      </c>
      <c r="J301" s="3" t="s">
        <v>2276</v>
      </c>
      <c r="K301" s="3" t="s">
        <v>2276</v>
      </c>
      <c r="L301" s="3" t="s">
        <v>2276</v>
      </c>
      <c r="M301" s="52" t="s">
        <v>2276</v>
      </c>
      <c r="N301" s="3"/>
    </row>
    <row r="302" spans="1:14" ht="29">
      <c r="A302" s="3" t="s">
        <v>5190</v>
      </c>
      <c r="B302" s="11" t="s">
        <v>5193</v>
      </c>
      <c r="C302" s="4" t="s">
        <v>24</v>
      </c>
      <c r="D302" s="4" t="s">
        <v>396</v>
      </c>
      <c r="E302" s="3" t="s">
        <v>1105</v>
      </c>
      <c r="F302" s="3" t="s">
        <v>74</v>
      </c>
      <c r="G302" s="3">
        <v>2015</v>
      </c>
      <c r="H302" s="3">
        <v>0</v>
      </c>
      <c r="I302" s="4" t="s">
        <v>5207</v>
      </c>
      <c r="J302" s="3" t="s">
        <v>2276</v>
      </c>
      <c r="K302" s="3" t="s">
        <v>2276</v>
      </c>
      <c r="L302" s="3" t="s">
        <v>2276</v>
      </c>
      <c r="M302" s="52" t="s">
        <v>2276</v>
      </c>
      <c r="N302" s="3"/>
    </row>
    <row r="303" spans="1:14" ht="29">
      <c r="A303" s="3" t="s">
        <v>5190</v>
      </c>
      <c r="B303" s="11" t="s">
        <v>5194</v>
      </c>
      <c r="C303" s="4" t="s">
        <v>24</v>
      </c>
      <c r="D303" s="4" t="s">
        <v>130</v>
      </c>
      <c r="E303" s="3" t="s">
        <v>1105</v>
      </c>
      <c r="F303" s="3" t="s">
        <v>74</v>
      </c>
      <c r="G303" s="3">
        <v>2015</v>
      </c>
      <c r="H303" s="3">
        <v>0</v>
      </c>
      <c r="I303" s="4" t="s">
        <v>5207</v>
      </c>
      <c r="J303" s="3" t="s">
        <v>2276</v>
      </c>
      <c r="K303" s="3" t="s">
        <v>2276</v>
      </c>
      <c r="L303" s="3" t="s">
        <v>2276</v>
      </c>
      <c r="M303" s="52" t="s">
        <v>2276</v>
      </c>
      <c r="N303" s="3"/>
    </row>
    <row r="304" spans="1:14" ht="29">
      <c r="A304" s="3" t="s">
        <v>5190</v>
      </c>
      <c r="B304" s="11" t="s">
        <v>5195</v>
      </c>
      <c r="C304" s="4" t="s">
        <v>24</v>
      </c>
      <c r="D304" s="4" t="s">
        <v>863</v>
      </c>
      <c r="E304" s="3" t="s">
        <v>1105</v>
      </c>
      <c r="F304" s="3" t="s">
        <v>74</v>
      </c>
      <c r="G304" s="3">
        <v>2015</v>
      </c>
      <c r="H304" s="3">
        <v>0</v>
      </c>
      <c r="I304" s="4" t="s">
        <v>5207</v>
      </c>
      <c r="J304" s="3" t="s">
        <v>2276</v>
      </c>
      <c r="K304" s="3" t="s">
        <v>2276</v>
      </c>
      <c r="L304" s="3" t="s">
        <v>2276</v>
      </c>
      <c r="M304" s="52" t="s">
        <v>2276</v>
      </c>
      <c r="N304" s="3"/>
    </row>
    <row r="305" spans="1:14" ht="29">
      <c r="A305" s="4" t="s">
        <v>5209</v>
      </c>
      <c r="B305" s="19" t="s">
        <v>5216</v>
      </c>
      <c r="C305" s="4" t="s">
        <v>24</v>
      </c>
      <c r="D305" s="4" t="s">
        <v>144</v>
      </c>
      <c r="E305" s="4" t="s">
        <v>137</v>
      </c>
      <c r="F305" s="4" t="s">
        <v>55</v>
      </c>
      <c r="G305" s="3"/>
      <c r="H305" s="3">
        <v>3</v>
      </c>
      <c r="I305" s="19" t="s">
        <v>5219</v>
      </c>
      <c r="J305" s="3" t="s">
        <v>2276</v>
      </c>
      <c r="K305" s="3" t="s">
        <v>2276</v>
      </c>
      <c r="L305" s="3">
        <v>3</v>
      </c>
      <c r="M305" s="52" t="s">
        <v>5220</v>
      </c>
      <c r="N305" s="3"/>
    </row>
    <row r="306" spans="1:14" ht="35.5" customHeight="1">
      <c r="A306" s="4" t="s">
        <v>5209</v>
      </c>
      <c r="B306" s="19" t="s">
        <v>5217</v>
      </c>
      <c r="C306" s="4" t="s">
        <v>24</v>
      </c>
      <c r="D306" s="4" t="s">
        <v>406</v>
      </c>
      <c r="E306" s="4" t="s">
        <v>137</v>
      </c>
      <c r="F306" s="4" t="s">
        <v>55</v>
      </c>
      <c r="G306" s="3"/>
      <c r="H306" s="3">
        <v>3</v>
      </c>
      <c r="I306" s="19" t="s">
        <v>5219</v>
      </c>
      <c r="J306" s="3" t="s">
        <v>2276</v>
      </c>
      <c r="K306" s="3" t="s">
        <v>2276</v>
      </c>
      <c r="L306" s="3">
        <v>3</v>
      </c>
      <c r="M306" s="52" t="s">
        <v>5220</v>
      </c>
      <c r="N306" s="3"/>
    </row>
    <row r="307" spans="1:14" ht="30" customHeight="1">
      <c r="A307" s="156" t="s">
        <v>5370</v>
      </c>
      <c r="B307" s="156" t="s">
        <v>5374</v>
      </c>
      <c r="C307" s="156" t="s">
        <v>24</v>
      </c>
      <c r="D307" s="156" t="s">
        <v>1242</v>
      </c>
      <c r="E307" s="156" t="s">
        <v>116</v>
      </c>
      <c r="F307" s="156" t="s">
        <v>74</v>
      </c>
      <c r="G307" s="156"/>
      <c r="H307" s="3" t="s">
        <v>2276</v>
      </c>
      <c r="I307" s="3" t="s">
        <v>2276</v>
      </c>
      <c r="J307" s="3">
        <v>2</v>
      </c>
      <c r="K307" s="3" t="s">
        <v>5380</v>
      </c>
      <c r="L307" s="3" t="s">
        <v>2276</v>
      </c>
      <c r="M307" s="52" t="s">
        <v>2276</v>
      </c>
      <c r="N307" s="3"/>
    </row>
    <row r="308" spans="1:14" ht="42" customHeight="1">
      <c r="A308" s="185" t="s">
        <v>5370</v>
      </c>
      <c r="B308" s="185" t="s">
        <v>5375</v>
      </c>
      <c r="C308" s="185" t="s">
        <v>24</v>
      </c>
      <c r="D308" s="185" t="s">
        <v>25</v>
      </c>
      <c r="E308" s="185" t="s">
        <v>45</v>
      </c>
      <c r="F308" s="185" t="s">
        <v>55</v>
      </c>
      <c r="G308" s="185"/>
      <c r="H308" s="38">
        <v>2</v>
      </c>
      <c r="I308" s="151" t="s">
        <v>5379</v>
      </c>
      <c r="J308" s="38" t="s">
        <v>2276</v>
      </c>
      <c r="K308" s="38" t="s">
        <v>2276</v>
      </c>
      <c r="L308" s="38" t="s">
        <v>2276</v>
      </c>
      <c r="M308" s="199" t="s">
        <v>2276</v>
      </c>
      <c r="N308" s="3"/>
    </row>
    <row r="309" spans="1:14" ht="40.5" customHeight="1">
      <c r="A309" s="11" t="s">
        <v>5385</v>
      </c>
      <c r="B309" s="11" t="s">
        <v>5388</v>
      </c>
      <c r="C309" s="3" t="s">
        <v>24</v>
      </c>
      <c r="D309" s="3" t="s">
        <v>1242</v>
      </c>
      <c r="E309" s="4" t="s">
        <v>137</v>
      </c>
      <c r="F309" s="4" t="s">
        <v>2662</v>
      </c>
      <c r="G309" s="152"/>
      <c r="H309" s="3">
        <v>2</v>
      </c>
      <c r="I309" s="4" t="s">
        <v>5394</v>
      </c>
      <c r="J309" s="3" t="s">
        <v>2276</v>
      </c>
      <c r="K309" s="3" t="s">
        <v>5398</v>
      </c>
      <c r="L309" s="3">
        <v>3</v>
      </c>
      <c r="M309" s="52" t="s">
        <v>5399</v>
      </c>
      <c r="N309" s="3"/>
    </row>
    <row r="310" spans="1:14" ht="33.5" customHeight="1">
      <c r="A310" s="11" t="s">
        <v>5385</v>
      </c>
      <c r="B310" s="11" t="s">
        <v>5389</v>
      </c>
      <c r="C310" s="3" t="s">
        <v>24</v>
      </c>
      <c r="D310" s="3" t="s">
        <v>1242</v>
      </c>
      <c r="E310" s="4" t="s">
        <v>116</v>
      </c>
      <c r="F310" s="4" t="s">
        <v>2662</v>
      </c>
      <c r="G310" s="152"/>
      <c r="H310" s="3">
        <v>3</v>
      </c>
      <c r="I310" s="3" t="s">
        <v>5393</v>
      </c>
      <c r="J310" s="3">
        <v>2</v>
      </c>
      <c r="K310" s="3" t="s">
        <v>5395</v>
      </c>
      <c r="L310" s="3">
        <v>3</v>
      </c>
      <c r="M310" s="52" t="s">
        <v>5399</v>
      </c>
      <c r="N310" s="3"/>
    </row>
    <row r="311" spans="1:14" ht="36.5" customHeight="1">
      <c r="A311" s="11" t="s">
        <v>5421</v>
      </c>
      <c r="B311" s="11" t="s">
        <v>5423</v>
      </c>
      <c r="C311" s="3" t="s">
        <v>24</v>
      </c>
      <c r="D311" s="3" t="s">
        <v>1242</v>
      </c>
      <c r="E311" s="4" t="s">
        <v>137</v>
      </c>
      <c r="F311" s="4" t="s">
        <v>2662</v>
      </c>
      <c r="G311" s="152"/>
      <c r="H311" s="3">
        <v>3</v>
      </c>
      <c r="I311" s="4" t="s">
        <v>5425</v>
      </c>
      <c r="J311" s="3" t="s">
        <v>2276</v>
      </c>
      <c r="K311" s="3" t="s">
        <v>2276</v>
      </c>
      <c r="L311" s="3" t="s">
        <v>2276</v>
      </c>
      <c r="M311" s="52" t="s">
        <v>2276</v>
      </c>
      <c r="N311" s="3"/>
    </row>
    <row r="312" spans="1:14" ht="39.5" customHeight="1">
      <c r="A312" s="11" t="s">
        <v>5421</v>
      </c>
      <c r="B312" s="11" t="s">
        <v>5424</v>
      </c>
      <c r="C312" s="3" t="s">
        <v>24</v>
      </c>
      <c r="D312" s="3" t="s">
        <v>1242</v>
      </c>
      <c r="E312" s="4" t="s">
        <v>116</v>
      </c>
      <c r="F312" s="4" t="s">
        <v>2662</v>
      </c>
      <c r="G312" s="3"/>
      <c r="H312" s="3">
        <v>3</v>
      </c>
      <c r="I312" s="4" t="s">
        <v>5425</v>
      </c>
      <c r="J312" s="3" t="s">
        <v>2276</v>
      </c>
      <c r="K312" s="3" t="s">
        <v>2276</v>
      </c>
      <c r="L312" s="3" t="s">
        <v>2276</v>
      </c>
      <c r="M312" s="52" t="s">
        <v>2276</v>
      </c>
      <c r="N312" s="3"/>
    </row>
    <row r="313" spans="1:14" ht="51" customHeight="1">
      <c r="A313" s="11" t="s">
        <v>5440</v>
      </c>
      <c r="B313" s="11" t="s">
        <v>5456</v>
      </c>
      <c r="C313" s="3" t="s">
        <v>24</v>
      </c>
      <c r="D313" s="3" t="s">
        <v>1105</v>
      </c>
      <c r="E313" s="3" t="s">
        <v>130</v>
      </c>
      <c r="F313" s="3" t="s">
        <v>1105</v>
      </c>
      <c r="G313" s="3"/>
      <c r="H313" s="3">
        <v>0</v>
      </c>
      <c r="I313" s="19" t="s">
        <v>5476</v>
      </c>
      <c r="J313" s="3" t="s">
        <v>2276</v>
      </c>
      <c r="K313" s="3" t="s">
        <v>2276</v>
      </c>
      <c r="L313" s="3" t="s">
        <v>2276</v>
      </c>
      <c r="M313" s="52" t="s">
        <v>2276</v>
      </c>
      <c r="N313" s="3"/>
    </row>
    <row r="314" spans="1:14" ht="65.5" customHeight="1">
      <c r="A314" s="11" t="s">
        <v>5440</v>
      </c>
      <c r="B314" s="11" t="s">
        <v>5457</v>
      </c>
      <c r="C314" s="3" t="s">
        <v>24</v>
      </c>
      <c r="D314" s="3" t="s">
        <v>1105</v>
      </c>
      <c r="E314" s="4" t="s">
        <v>396</v>
      </c>
      <c r="F314" s="3" t="s">
        <v>1105</v>
      </c>
      <c r="G314" s="3"/>
      <c r="H314" s="3">
        <v>2</v>
      </c>
      <c r="I314" s="4" t="s">
        <v>5477</v>
      </c>
      <c r="J314" s="3">
        <v>1</v>
      </c>
      <c r="K314" s="3" t="s">
        <v>5478</v>
      </c>
      <c r="L314" s="3">
        <v>1</v>
      </c>
      <c r="M314" s="52" t="s">
        <v>5479</v>
      </c>
      <c r="N314" s="3"/>
    </row>
    <row r="315" spans="1:14" ht="51" customHeight="1">
      <c r="A315" s="11" t="s">
        <v>5443</v>
      </c>
      <c r="B315" s="11" t="s">
        <v>5483</v>
      </c>
      <c r="C315" s="3" t="s">
        <v>24</v>
      </c>
      <c r="D315" s="3" t="s">
        <v>1105</v>
      </c>
      <c r="E315" s="3" t="s">
        <v>130</v>
      </c>
      <c r="F315" s="3" t="s">
        <v>1105</v>
      </c>
      <c r="G315" s="3"/>
      <c r="H315" s="3">
        <v>0</v>
      </c>
      <c r="I315" s="19" t="s">
        <v>5476</v>
      </c>
      <c r="J315" s="3" t="s">
        <v>2276</v>
      </c>
      <c r="K315" s="3" t="s">
        <v>2276</v>
      </c>
      <c r="L315" s="3" t="s">
        <v>2276</v>
      </c>
      <c r="M315" s="52" t="s">
        <v>2276</v>
      </c>
      <c r="N315" s="3"/>
    </row>
    <row r="316" spans="1:14" ht="70" customHeight="1">
      <c r="A316" s="11" t="s">
        <v>5443</v>
      </c>
      <c r="B316" s="11" t="s">
        <v>5484</v>
      </c>
      <c r="C316" s="3" t="s">
        <v>24</v>
      </c>
      <c r="D316" s="3" t="s">
        <v>1105</v>
      </c>
      <c r="E316" s="4" t="s">
        <v>396</v>
      </c>
      <c r="F316" s="3" t="s">
        <v>1105</v>
      </c>
      <c r="G316" s="3"/>
      <c r="H316" s="3">
        <v>2</v>
      </c>
      <c r="I316" s="4" t="s">
        <v>5477</v>
      </c>
      <c r="J316" s="3">
        <v>1</v>
      </c>
      <c r="K316" s="3" t="s">
        <v>5478</v>
      </c>
      <c r="L316" s="3">
        <v>1</v>
      </c>
      <c r="M316" s="52" t="s">
        <v>5479</v>
      </c>
      <c r="N316" s="3"/>
    </row>
    <row r="317" spans="1:14" ht="51.5" customHeight="1">
      <c r="A317" s="11" t="s">
        <v>5444</v>
      </c>
      <c r="B317" s="11" t="s">
        <v>5495</v>
      </c>
      <c r="C317" s="3" t="s">
        <v>24</v>
      </c>
      <c r="D317" s="3" t="s">
        <v>1105</v>
      </c>
      <c r="E317" s="3" t="s">
        <v>130</v>
      </c>
      <c r="F317" s="3" t="s">
        <v>1105</v>
      </c>
      <c r="G317" s="3"/>
      <c r="H317" s="3">
        <v>1</v>
      </c>
      <c r="I317" s="4" t="s">
        <v>5506</v>
      </c>
      <c r="J317" s="3" t="s">
        <v>2276</v>
      </c>
      <c r="K317" s="3" t="s">
        <v>2276</v>
      </c>
      <c r="L317" s="3" t="s">
        <v>2276</v>
      </c>
      <c r="M317" s="52" t="s">
        <v>2276</v>
      </c>
      <c r="N317" s="3"/>
    </row>
    <row r="318" spans="1:14" ht="68.5" customHeight="1">
      <c r="A318" s="11" t="s">
        <v>5444</v>
      </c>
      <c r="B318" s="11" t="s">
        <v>5496</v>
      </c>
      <c r="C318" s="3" t="s">
        <v>24</v>
      </c>
      <c r="D318" s="3" t="s">
        <v>1105</v>
      </c>
      <c r="E318" s="4" t="s">
        <v>396</v>
      </c>
      <c r="F318" s="3" t="s">
        <v>1105</v>
      </c>
      <c r="G318" s="3"/>
      <c r="H318" s="3">
        <v>2</v>
      </c>
      <c r="I318" s="4" t="s">
        <v>5477</v>
      </c>
      <c r="J318" s="3">
        <v>1</v>
      </c>
      <c r="K318" s="3" t="s">
        <v>5478</v>
      </c>
      <c r="L318" s="3">
        <v>1</v>
      </c>
      <c r="M318" s="52" t="s">
        <v>5479</v>
      </c>
      <c r="N318" s="3"/>
    </row>
    <row r="319" spans="1:14" ht="45.5" customHeight="1">
      <c r="A319" s="11" t="s">
        <v>5446</v>
      </c>
      <c r="B319" s="11" t="s">
        <v>5507</v>
      </c>
      <c r="C319" s="3" t="s">
        <v>24</v>
      </c>
      <c r="D319" s="3" t="s">
        <v>1105</v>
      </c>
      <c r="E319" s="3" t="s">
        <v>130</v>
      </c>
      <c r="F319" s="3" t="s">
        <v>1105</v>
      </c>
      <c r="G319" s="3"/>
      <c r="H319" s="3">
        <v>0</v>
      </c>
      <c r="I319" s="19" t="s">
        <v>5476</v>
      </c>
      <c r="J319" s="3" t="s">
        <v>2276</v>
      </c>
      <c r="K319" s="3" t="s">
        <v>2276</v>
      </c>
      <c r="L319" s="3" t="s">
        <v>2276</v>
      </c>
      <c r="M319" s="52" t="s">
        <v>2276</v>
      </c>
      <c r="N319" s="3"/>
    </row>
    <row r="320" spans="1:14" ht="43.5">
      <c r="A320" s="11" t="s">
        <v>5446</v>
      </c>
      <c r="B320" s="11" t="s">
        <v>5508</v>
      </c>
      <c r="C320" s="3" t="s">
        <v>24</v>
      </c>
      <c r="D320" s="3" t="s">
        <v>1105</v>
      </c>
      <c r="E320" s="4" t="s">
        <v>396</v>
      </c>
      <c r="F320" s="3" t="s">
        <v>1105</v>
      </c>
      <c r="G320" s="3"/>
      <c r="H320" s="3">
        <v>2</v>
      </c>
      <c r="I320" s="4" t="s">
        <v>5477</v>
      </c>
      <c r="J320" s="3">
        <v>1</v>
      </c>
      <c r="K320" s="3" t="s">
        <v>5478</v>
      </c>
      <c r="L320" s="3">
        <v>1</v>
      </c>
      <c r="M320" s="52" t="s">
        <v>5479</v>
      </c>
      <c r="N320" s="3"/>
    </row>
    <row r="321" spans="1:14" ht="43.5">
      <c r="A321" s="11" t="s">
        <v>5445</v>
      </c>
      <c r="B321" s="11" t="s">
        <v>5517</v>
      </c>
      <c r="C321" s="3" t="s">
        <v>24</v>
      </c>
      <c r="D321" s="3" t="s">
        <v>1105</v>
      </c>
      <c r="E321" s="3" t="s">
        <v>130</v>
      </c>
      <c r="F321" s="3" t="s">
        <v>1105</v>
      </c>
      <c r="G321" s="3"/>
      <c r="H321" s="3">
        <v>1</v>
      </c>
      <c r="I321" s="4" t="s">
        <v>5506</v>
      </c>
      <c r="J321" s="3" t="s">
        <v>2276</v>
      </c>
      <c r="K321" s="3" t="s">
        <v>2276</v>
      </c>
      <c r="L321" s="3" t="s">
        <v>2276</v>
      </c>
      <c r="M321" s="52" t="s">
        <v>2276</v>
      </c>
      <c r="N321" s="3"/>
    </row>
    <row r="322" spans="1:14" ht="43.5">
      <c r="A322" s="11" t="s">
        <v>5445</v>
      </c>
      <c r="B322" s="11" t="s">
        <v>5518</v>
      </c>
      <c r="C322" s="3" t="s">
        <v>24</v>
      </c>
      <c r="D322" s="3" t="s">
        <v>1105</v>
      </c>
      <c r="E322" s="4" t="s">
        <v>396</v>
      </c>
      <c r="F322" s="3" t="s">
        <v>1105</v>
      </c>
      <c r="G322" s="3"/>
      <c r="H322" s="3">
        <v>2</v>
      </c>
      <c r="I322" s="4" t="s">
        <v>5477</v>
      </c>
      <c r="J322" s="3">
        <v>1</v>
      </c>
      <c r="K322" s="3" t="s">
        <v>5478</v>
      </c>
      <c r="L322" s="3">
        <v>1</v>
      </c>
      <c r="M322" s="52" t="s">
        <v>5479</v>
      </c>
      <c r="N322" s="3"/>
    </row>
    <row r="323" spans="1:14" ht="34.5" customHeight="1">
      <c r="A323" s="11" t="s">
        <v>5578</v>
      </c>
      <c r="B323" s="11" t="s">
        <v>5582</v>
      </c>
      <c r="C323" s="3" t="s">
        <v>1105</v>
      </c>
      <c r="D323" s="3" t="s">
        <v>1105</v>
      </c>
      <c r="E323" s="4" t="s">
        <v>2651</v>
      </c>
      <c r="F323" t="s">
        <v>55</v>
      </c>
      <c r="G323" s="3"/>
      <c r="H323" s="3" t="s">
        <v>2276</v>
      </c>
      <c r="I323" s="3" t="s">
        <v>2276</v>
      </c>
      <c r="J323" s="3">
        <v>2</v>
      </c>
      <c r="K323" s="4" t="s">
        <v>5584</v>
      </c>
      <c r="L323" s="3" t="s">
        <v>2276</v>
      </c>
      <c r="M323" s="52" t="s">
        <v>2276</v>
      </c>
      <c r="N323" s="3"/>
    </row>
    <row r="324" spans="1:14" ht="54.5" customHeight="1">
      <c r="A324" s="11" t="s">
        <v>5578</v>
      </c>
      <c r="B324" s="11" t="s">
        <v>5583</v>
      </c>
      <c r="C324" s="3" t="s">
        <v>1105</v>
      </c>
      <c r="D324" s="3" t="s">
        <v>1105</v>
      </c>
      <c r="E324" s="4" t="s">
        <v>397</v>
      </c>
      <c r="F324" s="3" t="s">
        <v>55</v>
      </c>
      <c r="G324" s="3"/>
      <c r="H324" s="3" t="s">
        <v>2276</v>
      </c>
      <c r="I324" s="3" t="s">
        <v>2276</v>
      </c>
      <c r="J324" s="3">
        <v>2</v>
      </c>
      <c r="K324" s="4" t="s">
        <v>5584</v>
      </c>
      <c r="L324" s="3" t="s">
        <v>2276</v>
      </c>
      <c r="M324" s="52" t="s">
        <v>2276</v>
      </c>
      <c r="N324" s="3"/>
    </row>
    <row r="325" spans="1:14" ht="49.5" customHeight="1">
      <c r="A325" s="11" t="s">
        <v>5599</v>
      </c>
      <c r="B325" s="11" t="s">
        <v>5603</v>
      </c>
      <c r="C325" s="3" t="s">
        <v>24</v>
      </c>
      <c r="D325" s="3" t="s">
        <v>1105</v>
      </c>
      <c r="E325" s="3" t="s">
        <v>130</v>
      </c>
      <c r="F325" s="3" t="s">
        <v>1105</v>
      </c>
      <c r="G325" s="3"/>
      <c r="H325" s="3">
        <v>1</v>
      </c>
      <c r="I325" s="4" t="s">
        <v>5615</v>
      </c>
      <c r="J325" s="3">
        <v>1</v>
      </c>
      <c r="K325" s="4" t="s">
        <v>5617</v>
      </c>
      <c r="L325" s="3">
        <v>1</v>
      </c>
      <c r="M325" s="48" t="s">
        <v>5616</v>
      </c>
      <c r="N325" s="3"/>
    </row>
    <row r="326" spans="1:14" ht="49.5" customHeight="1">
      <c r="A326" s="11" t="s">
        <v>5600</v>
      </c>
      <c r="B326" s="11" t="s">
        <v>5604</v>
      </c>
      <c r="C326" s="3" t="s">
        <v>24</v>
      </c>
      <c r="D326" s="3" t="s">
        <v>1105</v>
      </c>
      <c r="E326" s="3" t="s">
        <v>130</v>
      </c>
      <c r="F326" s="3" t="s">
        <v>1105</v>
      </c>
      <c r="G326" s="3"/>
      <c r="H326" s="3">
        <v>1</v>
      </c>
      <c r="I326" s="4" t="s">
        <v>5615</v>
      </c>
      <c r="J326" s="3">
        <v>1</v>
      </c>
      <c r="K326" s="4" t="s">
        <v>5617</v>
      </c>
      <c r="L326" s="3">
        <v>1</v>
      </c>
      <c r="M326" s="48" t="s">
        <v>5616</v>
      </c>
      <c r="N326" s="3"/>
    </row>
    <row r="327" spans="1:14" ht="49.5" customHeight="1">
      <c r="A327" s="11" t="s">
        <v>5599</v>
      </c>
      <c r="B327" s="11" t="s">
        <v>5605</v>
      </c>
      <c r="C327" s="3" t="s">
        <v>24</v>
      </c>
      <c r="D327" s="3" t="s">
        <v>1105</v>
      </c>
      <c r="E327" s="152" t="s">
        <v>45</v>
      </c>
      <c r="F327" s="3" t="s">
        <v>1105</v>
      </c>
      <c r="G327" s="3"/>
      <c r="H327" s="3">
        <v>1</v>
      </c>
      <c r="I327" s="4" t="s">
        <v>5615</v>
      </c>
      <c r="J327" s="3">
        <v>1</v>
      </c>
      <c r="K327" s="4" t="s">
        <v>5617</v>
      </c>
      <c r="L327" s="3">
        <v>1</v>
      </c>
      <c r="M327" s="48" t="s">
        <v>5616</v>
      </c>
      <c r="N327" s="3"/>
    </row>
    <row r="328" spans="1:14" ht="49.5" customHeight="1">
      <c r="A328" s="11" t="s">
        <v>5600</v>
      </c>
      <c r="B328" s="11" t="s">
        <v>5606</v>
      </c>
      <c r="C328" s="3" t="s">
        <v>24</v>
      </c>
      <c r="D328" s="3" t="s">
        <v>1105</v>
      </c>
      <c r="E328" s="152" t="s">
        <v>45</v>
      </c>
      <c r="F328" s="3" t="s">
        <v>1105</v>
      </c>
      <c r="G328" s="3"/>
      <c r="H328" s="3">
        <v>1</v>
      </c>
      <c r="I328" s="4" t="s">
        <v>5615</v>
      </c>
      <c r="J328" s="3">
        <v>1</v>
      </c>
      <c r="K328" s="4" t="s">
        <v>5617</v>
      </c>
      <c r="L328" s="3">
        <v>1</v>
      </c>
      <c r="M328" s="48" t="s">
        <v>5616</v>
      </c>
      <c r="N328" s="3"/>
    </row>
    <row r="329" spans="1:14" ht="34.5" customHeight="1">
      <c r="A329" s="11" t="s">
        <v>5599</v>
      </c>
      <c r="B329" s="11" t="s">
        <v>5607</v>
      </c>
      <c r="C329" s="3" t="s">
        <v>1105</v>
      </c>
      <c r="D329" s="3" t="s">
        <v>1105</v>
      </c>
      <c r="E329" s="4" t="s">
        <v>3209</v>
      </c>
      <c r="F329" s="3" t="s">
        <v>1105</v>
      </c>
      <c r="G329" s="3"/>
      <c r="H329" s="3" t="s">
        <v>2276</v>
      </c>
      <c r="I329" s="3" t="s">
        <v>2276</v>
      </c>
      <c r="J329" s="3" t="s">
        <v>2276</v>
      </c>
      <c r="K329" s="3" t="s">
        <v>2276</v>
      </c>
      <c r="L329" s="3">
        <v>1</v>
      </c>
      <c r="M329" s="48" t="s">
        <v>5624</v>
      </c>
      <c r="N329" s="3"/>
    </row>
    <row r="330" spans="1:14" ht="34.5" customHeight="1">
      <c r="A330" s="11" t="s">
        <v>5600</v>
      </c>
      <c r="B330" s="11" t="s">
        <v>5608</v>
      </c>
      <c r="C330" s="3" t="s">
        <v>1105</v>
      </c>
      <c r="D330" s="3" t="s">
        <v>1105</v>
      </c>
      <c r="E330" s="4" t="s">
        <v>3209</v>
      </c>
      <c r="F330" s="3" t="s">
        <v>1105</v>
      </c>
      <c r="G330" s="3"/>
      <c r="H330" s="3" t="s">
        <v>2276</v>
      </c>
      <c r="I330" s="3" t="s">
        <v>2276</v>
      </c>
      <c r="J330" s="3">
        <v>2</v>
      </c>
      <c r="K330" s="4" t="s">
        <v>5623</v>
      </c>
      <c r="L330" s="3" t="s">
        <v>2276</v>
      </c>
      <c r="M330" s="52" t="s">
        <v>2276</v>
      </c>
      <c r="N330" s="3"/>
    </row>
    <row r="331" spans="1:14" ht="39" customHeight="1">
      <c r="A331" s="19" t="s">
        <v>5676</v>
      </c>
      <c r="B331" s="19" t="s">
        <v>5679</v>
      </c>
      <c r="C331" s="3" t="s">
        <v>1105</v>
      </c>
      <c r="D331" s="3" t="s">
        <v>1105</v>
      </c>
      <c r="E331" s="4" t="s">
        <v>137</v>
      </c>
      <c r="F331" s="3" t="s">
        <v>74</v>
      </c>
      <c r="G331" s="3"/>
      <c r="H331" s="3" t="s">
        <v>2276</v>
      </c>
      <c r="I331" s="3" t="s">
        <v>2276</v>
      </c>
      <c r="J331" s="3">
        <v>3</v>
      </c>
      <c r="K331" s="4" t="s">
        <v>5682</v>
      </c>
      <c r="L331" s="3" t="s">
        <v>2276</v>
      </c>
      <c r="M331" s="52" t="s">
        <v>2276</v>
      </c>
      <c r="N331" s="3"/>
    </row>
    <row r="332" spans="1:14" ht="32.5" customHeight="1">
      <c r="A332" s="19" t="s">
        <v>5676</v>
      </c>
      <c r="B332" s="19" t="s">
        <v>5680</v>
      </c>
      <c r="C332" s="3" t="s">
        <v>1105</v>
      </c>
      <c r="D332" s="3" t="s">
        <v>1105</v>
      </c>
      <c r="E332" s="4" t="s">
        <v>2649</v>
      </c>
      <c r="F332" s="3" t="s">
        <v>74</v>
      </c>
      <c r="G332" s="3"/>
      <c r="H332" s="3" t="s">
        <v>2276</v>
      </c>
      <c r="I332" s="3" t="s">
        <v>2276</v>
      </c>
      <c r="J332" s="3">
        <v>3</v>
      </c>
      <c r="K332" s="4" t="s">
        <v>5682</v>
      </c>
      <c r="L332" s="3" t="s">
        <v>2276</v>
      </c>
      <c r="M332" s="52" t="s">
        <v>2276</v>
      </c>
      <c r="N332" s="3"/>
    </row>
    <row r="333" spans="1:14" ht="29">
      <c r="A333" s="19" t="s">
        <v>5684</v>
      </c>
      <c r="B333" s="19" t="s">
        <v>5686</v>
      </c>
      <c r="C333" s="3" t="s">
        <v>24</v>
      </c>
      <c r="D333" s="3" t="s">
        <v>406</v>
      </c>
      <c r="E333" s="3" t="s">
        <v>116</v>
      </c>
      <c r="F333" s="4" t="s">
        <v>74</v>
      </c>
      <c r="G333" s="3"/>
      <c r="H333" s="3">
        <v>2</v>
      </c>
      <c r="I333" s="19" t="s">
        <v>5691</v>
      </c>
      <c r="J333" s="3" t="s">
        <v>2276</v>
      </c>
      <c r="K333" s="3" t="s">
        <v>2276</v>
      </c>
      <c r="L333" s="3" t="s">
        <v>2276</v>
      </c>
      <c r="M333" s="52" t="s">
        <v>2276</v>
      </c>
      <c r="N333" s="3"/>
    </row>
    <row r="334" spans="1:14" ht="29">
      <c r="A334" s="19" t="s">
        <v>5684</v>
      </c>
      <c r="B334" s="19" t="s">
        <v>5687</v>
      </c>
      <c r="C334" s="3" t="s">
        <v>24</v>
      </c>
      <c r="D334" s="3" t="s">
        <v>3480</v>
      </c>
      <c r="E334" s="3" t="s">
        <v>116</v>
      </c>
      <c r="F334" s="4" t="s">
        <v>74</v>
      </c>
      <c r="G334" s="3"/>
      <c r="H334" s="3">
        <v>2</v>
      </c>
      <c r="I334" s="19" t="s">
        <v>5691</v>
      </c>
      <c r="J334" s="3" t="s">
        <v>2276</v>
      </c>
      <c r="K334" s="3" t="s">
        <v>2276</v>
      </c>
      <c r="L334" s="3" t="s">
        <v>2276</v>
      </c>
      <c r="M334" s="52" t="s">
        <v>2276</v>
      </c>
      <c r="N334" s="3"/>
    </row>
    <row r="335" spans="1:14" ht="32.5" customHeight="1">
      <c r="A335" s="3" t="s">
        <v>5693</v>
      </c>
      <c r="B335" s="19" t="s">
        <v>5698</v>
      </c>
      <c r="C335" s="3" t="s">
        <v>24</v>
      </c>
      <c r="D335" s="3" t="s">
        <v>27</v>
      </c>
      <c r="E335" s="3" t="s">
        <v>130</v>
      </c>
      <c r="F335" s="4" t="s">
        <v>74</v>
      </c>
      <c r="G335" s="3"/>
      <c r="H335" s="3">
        <v>1</v>
      </c>
      <c r="I335" s="19" t="s">
        <v>5711</v>
      </c>
      <c r="J335" s="3" t="s">
        <v>2276</v>
      </c>
      <c r="K335" s="3" t="s">
        <v>2276</v>
      </c>
      <c r="L335" s="3" t="s">
        <v>2276</v>
      </c>
      <c r="M335" s="52" t="s">
        <v>2276</v>
      </c>
      <c r="N335" s="3"/>
    </row>
    <row r="336" spans="1:14" ht="32.5" customHeight="1">
      <c r="A336" s="3" t="s">
        <v>5693</v>
      </c>
      <c r="B336" s="19" t="s">
        <v>5699</v>
      </c>
      <c r="C336" s="3" t="s">
        <v>24</v>
      </c>
      <c r="D336" s="3" t="s">
        <v>25</v>
      </c>
      <c r="E336" s="3" t="s">
        <v>45</v>
      </c>
      <c r="F336" s="4" t="s">
        <v>55</v>
      </c>
      <c r="G336" s="3"/>
      <c r="H336" s="3">
        <v>1</v>
      </c>
      <c r="I336" s="19" t="s">
        <v>5710</v>
      </c>
      <c r="J336" s="3">
        <v>1</v>
      </c>
      <c r="K336" s="19" t="s">
        <v>5712</v>
      </c>
      <c r="L336" s="3" t="s">
        <v>2276</v>
      </c>
      <c r="M336" s="52" t="s">
        <v>2276</v>
      </c>
      <c r="N336" s="3"/>
    </row>
    <row r="337" spans="1:14" ht="28" customHeight="1">
      <c r="A337" s="19" t="s">
        <v>5739</v>
      </c>
      <c r="B337" s="19" t="s">
        <v>5746</v>
      </c>
      <c r="C337" s="3" t="s">
        <v>24</v>
      </c>
      <c r="D337" s="3" t="s">
        <v>1105</v>
      </c>
      <c r="E337" s="3" t="s">
        <v>45</v>
      </c>
      <c r="F337" s="4" t="s">
        <v>2276</v>
      </c>
      <c r="G337" s="3"/>
      <c r="H337" s="3">
        <v>1</v>
      </c>
      <c r="I337" s="19" t="s">
        <v>5753</v>
      </c>
      <c r="J337" s="3" t="s">
        <v>2276</v>
      </c>
      <c r="K337" s="3" t="s">
        <v>5777</v>
      </c>
      <c r="L337" s="3">
        <v>1</v>
      </c>
      <c r="M337" s="197" t="s">
        <v>5754</v>
      </c>
      <c r="N337" s="3"/>
    </row>
    <row r="338" spans="1:14" ht="28" customHeight="1">
      <c r="A338" s="19" t="s">
        <v>5743</v>
      </c>
      <c r="B338" s="19" t="s">
        <v>5747</v>
      </c>
      <c r="C338" s="3" t="s">
        <v>24</v>
      </c>
      <c r="D338" s="3" t="s">
        <v>1105</v>
      </c>
      <c r="E338" s="3" t="s">
        <v>45</v>
      </c>
      <c r="F338" s="4" t="s">
        <v>2276</v>
      </c>
      <c r="G338" s="3"/>
      <c r="H338" s="3">
        <v>1</v>
      </c>
      <c r="I338" s="19" t="s">
        <v>5753</v>
      </c>
      <c r="J338" s="3" t="s">
        <v>2276</v>
      </c>
      <c r="K338" s="3" t="s">
        <v>5777</v>
      </c>
      <c r="L338" s="3">
        <v>1</v>
      </c>
      <c r="M338" s="197" t="s">
        <v>5754</v>
      </c>
      <c r="N338" s="3"/>
    </row>
    <row r="339" spans="1:14" ht="28" customHeight="1">
      <c r="A339" s="19" t="s">
        <v>5744</v>
      </c>
      <c r="B339" s="19" t="s">
        <v>5748</v>
      </c>
      <c r="C339" s="3" t="s">
        <v>24</v>
      </c>
      <c r="D339" s="3" t="s">
        <v>1105</v>
      </c>
      <c r="E339" s="3" t="s">
        <v>45</v>
      </c>
      <c r="F339" s="4" t="s">
        <v>2276</v>
      </c>
      <c r="G339" s="3"/>
      <c r="H339" s="3">
        <v>1</v>
      </c>
      <c r="I339" s="19" t="s">
        <v>5753</v>
      </c>
      <c r="J339" s="3" t="s">
        <v>2276</v>
      </c>
      <c r="K339" s="3" t="s">
        <v>5777</v>
      </c>
      <c r="L339" s="3">
        <v>1</v>
      </c>
      <c r="M339" s="197" t="s">
        <v>5754</v>
      </c>
      <c r="N339" s="3"/>
    </row>
    <row r="340" spans="1:14" ht="42" customHeight="1">
      <c r="A340" s="19" t="s">
        <v>5739</v>
      </c>
      <c r="B340" s="19" t="s">
        <v>5750</v>
      </c>
      <c r="C340" s="3" t="s">
        <v>24</v>
      </c>
      <c r="D340" s="3" t="s">
        <v>1105</v>
      </c>
      <c r="E340" s="4" t="s">
        <v>397</v>
      </c>
      <c r="F340" s="4" t="s">
        <v>2276</v>
      </c>
      <c r="G340" s="3"/>
      <c r="H340" s="3">
        <v>1</v>
      </c>
      <c r="I340" s="19" t="s">
        <v>5753</v>
      </c>
      <c r="J340" s="3">
        <v>1</v>
      </c>
      <c r="K340" s="3" t="s">
        <v>5759</v>
      </c>
      <c r="L340" s="3">
        <v>1</v>
      </c>
      <c r="M340" s="197" t="s">
        <v>5754</v>
      </c>
      <c r="N340" s="3"/>
    </row>
    <row r="341" spans="1:14" ht="42" customHeight="1">
      <c r="A341" s="19" t="s">
        <v>5743</v>
      </c>
      <c r="B341" s="19" t="s">
        <v>5751</v>
      </c>
      <c r="C341" s="3" t="s">
        <v>24</v>
      </c>
      <c r="D341" s="3" t="s">
        <v>1105</v>
      </c>
      <c r="E341" s="4" t="s">
        <v>397</v>
      </c>
      <c r="F341" s="4" t="s">
        <v>2276</v>
      </c>
      <c r="G341" s="3"/>
      <c r="H341" s="3">
        <v>1</v>
      </c>
      <c r="I341" s="19" t="s">
        <v>5753</v>
      </c>
      <c r="J341" s="3">
        <v>1</v>
      </c>
      <c r="K341" s="3" t="s">
        <v>5759</v>
      </c>
      <c r="L341" s="3">
        <v>1</v>
      </c>
      <c r="M341" s="197" t="s">
        <v>5754</v>
      </c>
      <c r="N341" s="3"/>
    </row>
    <row r="342" spans="1:14" ht="42" customHeight="1">
      <c r="A342" s="19" t="s">
        <v>5744</v>
      </c>
      <c r="B342" s="19" t="s">
        <v>5752</v>
      </c>
      <c r="C342" s="3" t="s">
        <v>24</v>
      </c>
      <c r="D342" s="3" t="s">
        <v>1105</v>
      </c>
      <c r="E342" s="4" t="s">
        <v>397</v>
      </c>
      <c r="F342" s="4" t="s">
        <v>2276</v>
      </c>
      <c r="G342" s="3"/>
      <c r="H342" s="3">
        <v>1</v>
      </c>
      <c r="I342" s="19" t="s">
        <v>5753</v>
      </c>
      <c r="J342" s="3">
        <v>1</v>
      </c>
      <c r="K342" s="3" t="s">
        <v>5759</v>
      </c>
      <c r="L342" s="3">
        <v>1</v>
      </c>
      <c r="M342" s="197" t="s">
        <v>5754</v>
      </c>
      <c r="N342" s="3"/>
    </row>
    <row r="343" spans="1:14" ht="32" customHeight="1">
      <c r="A343" s="19" t="s">
        <v>5739</v>
      </c>
      <c r="B343" s="19" t="s">
        <v>5746</v>
      </c>
      <c r="C343" s="3" t="s">
        <v>1105</v>
      </c>
      <c r="D343" s="3" t="s">
        <v>1105</v>
      </c>
      <c r="E343" s="4" t="s">
        <v>3209</v>
      </c>
      <c r="F343" s="3" t="s">
        <v>74</v>
      </c>
      <c r="G343" s="3">
        <v>1950</v>
      </c>
      <c r="H343" s="3"/>
      <c r="I343" s="3" t="s">
        <v>2276</v>
      </c>
      <c r="J343" s="3" t="s">
        <v>2276</v>
      </c>
      <c r="K343" s="3" t="s">
        <v>2276</v>
      </c>
      <c r="L343" s="3">
        <v>3</v>
      </c>
      <c r="M343" s="49" t="s">
        <v>5791</v>
      </c>
      <c r="N343" s="3"/>
    </row>
    <row r="344" spans="1:14" ht="32" customHeight="1">
      <c r="A344" s="19" t="s">
        <v>5739</v>
      </c>
      <c r="B344" s="19" t="s">
        <v>5750</v>
      </c>
      <c r="C344" s="3" t="s">
        <v>1105</v>
      </c>
      <c r="D344" s="3" t="s">
        <v>1105</v>
      </c>
      <c r="E344" s="4" t="s">
        <v>3209</v>
      </c>
      <c r="F344" s="3" t="s">
        <v>74</v>
      </c>
      <c r="G344" s="3">
        <v>1984</v>
      </c>
      <c r="H344" s="3"/>
      <c r="I344" s="3" t="s">
        <v>2276</v>
      </c>
      <c r="J344" s="3" t="s">
        <v>2276</v>
      </c>
      <c r="K344" s="3" t="s">
        <v>2276</v>
      </c>
      <c r="L344" s="3">
        <v>0</v>
      </c>
      <c r="M344" s="49" t="s">
        <v>5792</v>
      </c>
      <c r="N344" s="3"/>
    </row>
    <row r="345" spans="1:14" ht="38.5" customHeight="1">
      <c r="A345" s="3" t="s">
        <v>5739</v>
      </c>
      <c r="B345" s="19" t="s">
        <v>5755</v>
      </c>
      <c r="C345" s="3" t="s">
        <v>1105</v>
      </c>
      <c r="D345" s="3" t="s">
        <v>1105</v>
      </c>
      <c r="E345" s="4" t="s">
        <v>3209</v>
      </c>
      <c r="F345" s="3" t="s">
        <v>74</v>
      </c>
      <c r="G345" s="3">
        <v>2004</v>
      </c>
      <c r="H345" s="3"/>
      <c r="I345" s="3" t="s">
        <v>2276</v>
      </c>
      <c r="J345" s="3" t="s">
        <v>2276</v>
      </c>
      <c r="K345" s="3" t="s">
        <v>2276</v>
      </c>
      <c r="L345" s="3">
        <v>2</v>
      </c>
      <c r="M345" s="49" t="s">
        <v>5793</v>
      </c>
      <c r="N345" s="3"/>
    </row>
    <row r="346" spans="1:14" ht="33.5" customHeight="1">
      <c r="A346" s="19" t="s">
        <v>5743</v>
      </c>
      <c r="B346" s="19" t="s">
        <v>5747</v>
      </c>
      <c r="C346" s="3" t="s">
        <v>1105</v>
      </c>
      <c r="D346" s="3" t="s">
        <v>1105</v>
      </c>
      <c r="E346" s="4" t="s">
        <v>3209</v>
      </c>
      <c r="F346" s="3" t="s">
        <v>74</v>
      </c>
      <c r="G346" s="3">
        <v>1950</v>
      </c>
      <c r="H346" s="3"/>
      <c r="I346" s="3" t="s">
        <v>2276</v>
      </c>
      <c r="J346" s="3" t="s">
        <v>2276</v>
      </c>
      <c r="K346" s="3" t="s">
        <v>2276</v>
      </c>
      <c r="L346" s="3">
        <v>3</v>
      </c>
      <c r="M346" s="49" t="s">
        <v>5791</v>
      </c>
      <c r="N346" s="3"/>
    </row>
    <row r="347" spans="1:14" ht="33.5" customHeight="1">
      <c r="A347" s="19" t="s">
        <v>5743</v>
      </c>
      <c r="B347" s="19" t="s">
        <v>5751</v>
      </c>
      <c r="C347" s="3" t="s">
        <v>1105</v>
      </c>
      <c r="D347" s="3" t="s">
        <v>1105</v>
      </c>
      <c r="E347" s="4" t="s">
        <v>3209</v>
      </c>
      <c r="F347" s="3" t="s">
        <v>74</v>
      </c>
      <c r="G347" s="3">
        <v>1984</v>
      </c>
      <c r="H347" s="3"/>
      <c r="I347" s="3" t="s">
        <v>2276</v>
      </c>
      <c r="J347" s="3" t="s">
        <v>2276</v>
      </c>
      <c r="K347" s="3" t="s">
        <v>2276</v>
      </c>
      <c r="L347" s="3">
        <v>0</v>
      </c>
      <c r="M347" s="49" t="s">
        <v>5792</v>
      </c>
      <c r="N347" s="3"/>
    </row>
    <row r="348" spans="1:14" ht="33.5" customHeight="1">
      <c r="A348" s="19" t="s">
        <v>5743</v>
      </c>
      <c r="B348" s="19" t="s">
        <v>5756</v>
      </c>
      <c r="C348" s="3" t="s">
        <v>1105</v>
      </c>
      <c r="D348" s="3" t="s">
        <v>1105</v>
      </c>
      <c r="E348" s="4" t="s">
        <v>3209</v>
      </c>
      <c r="F348" s="3" t="s">
        <v>74</v>
      </c>
      <c r="G348" s="3">
        <v>2004</v>
      </c>
      <c r="H348" s="3"/>
      <c r="I348" s="3" t="s">
        <v>2276</v>
      </c>
      <c r="J348" s="3" t="s">
        <v>2276</v>
      </c>
      <c r="K348" s="3" t="s">
        <v>2276</v>
      </c>
      <c r="L348" s="3">
        <v>2</v>
      </c>
      <c r="M348" s="49" t="s">
        <v>5793</v>
      </c>
      <c r="N348" s="3"/>
    </row>
    <row r="349" spans="1:14" ht="31" customHeight="1">
      <c r="A349" s="19" t="s">
        <v>5797</v>
      </c>
      <c r="B349" s="19" t="s">
        <v>5802</v>
      </c>
      <c r="C349" s="3" t="s">
        <v>24</v>
      </c>
      <c r="D349" s="3" t="s">
        <v>1105</v>
      </c>
      <c r="E349" s="4" t="s">
        <v>396</v>
      </c>
      <c r="F349" s="3" t="s">
        <v>2276</v>
      </c>
      <c r="G349" s="3"/>
      <c r="H349" s="3">
        <v>2</v>
      </c>
      <c r="I349" s="19" t="s">
        <v>5810</v>
      </c>
      <c r="J349" s="3">
        <v>2</v>
      </c>
      <c r="K349" s="11" t="s">
        <v>5811</v>
      </c>
      <c r="L349" s="3" t="s">
        <v>2276</v>
      </c>
      <c r="M349" s="52" t="s">
        <v>2276</v>
      </c>
      <c r="N349" s="3"/>
    </row>
    <row r="350" spans="1:14" ht="31.5" customHeight="1">
      <c r="A350" s="19" t="s">
        <v>5797</v>
      </c>
      <c r="B350" s="19" t="s">
        <v>5803</v>
      </c>
      <c r="C350" s="3" t="s">
        <v>2658</v>
      </c>
      <c r="D350" s="3" t="s">
        <v>1105</v>
      </c>
      <c r="E350" s="4" t="s">
        <v>5801</v>
      </c>
      <c r="F350" s="4" t="s">
        <v>2662</v>
      </c>
      <c r="G350" s="3"/>
      <c r="H350" s="3">
        <v>0</v>
      </c>
      <c r="I350" s="11" t="s">
        <v>5812</v>
      </c>
      <c r="J350" s="3">
        <v>0</v>
      </c>
      <c r="K350" s="11" t="s">
        <v>5812</v>
      </c>
      <c r="L350" s="3">
        <v>0</v>
      </c>
      <c r="M350" s="197" t="s">
        <v>5812</v>
      </c>
      <c r="N350" s="3"/>
    </row>
    <row r="351" spans="1:14" ht="33.5" customHeight="1">
      <c r="A351" s="19" t="s">
        <v>5797</v>
      </c>
      <c r="B351" s="19" t="s">
        <v>5804</v>
      </c>
      <c r="C351" s="3" t="s">
        <v>1105</v>
      </c>
      <c r="D351" s="3" t="s">
        <v>1105</v>
      </c>
      <c r="E351" s="4" t="s">
        <v>3209</v>
      </c>
      <c r="F351" s="3" t="s">
        <v>2276</v>
      </c>
      <c r="G351" s="3"/>
      <c r="H351" s="3" t="s">
        <v>2276</v>
      </c>
      <c r="I351" s="3" t="s">
        <v>2276</v>
      </c>
      <c r="J351" s="3" t="s">
        <v>2276</v>
      </c>
      <c r="K351" s="3" t="s">
        <v>2276</v>
      </c>
      <c r="L351" s="3">
        <v>3</v>
      </c>
      <c r="M351" s="49" t="s">
        <v>5813</v>
      </c>
      <c r="N351" s="3"/>
    </row>
    <row r="352" spans="1:14" ht="54.5" customHeight="1">
      <c r="A352" s="19" t="s">
        <v>5862</v>
      </c>
      <c r="B352" s="19" t="s">
        <v>5884</v>
      </c>
      <c r="C352" s="3" t="s">
        <v>24</v>
      </c>
      <c r="D352" s="3" t="s">
        <v>1105</v>
      </c>
      <c r="E352" s="4" t="s">
        <v>45</v>
      </c>
      <c r="F352" s="3" t="s">
        <v>2276</v>
      </c>
      <c r="G352" s="3"/>
      <c r="H352" s="3">
        <v>1</v>
      </c>
      <c r="I352" s="4" t="s">
        <v>5891</v>
      </c>
      <c r="J352" s="3">
        <v>1</v>
      </c>
      <c r="K352" s="4" t="s">
        <v>5892</v>
      </c>
      <c r="L352" s="3" t="s">
        <v>2276</v>
      </c>
      <c r="M352" s="52" t="s">
        <v>2276</v>
      </c>
      <c r="N352" s="3"/>
    </row>
    <row r="353" spans="1:14" ht="54.5" customHeight="1">
      <c r="A353" s="19" t="s">
        <v>5862</v>
      </c>
      <c r="B353" s="19" t="s">
        <v>5885</v>
      </c>
      <c r="C353" s="3" t="s">
        <v>24</v>
      </c>
      <c r="D353" s="3" t="s">
        <v>2994</v>
      </c>
      <c r="E353" s="4" t="s">
        <v>2652</v>
      </c>
      <c r="F353" s="3" t="s">
        <v>2276</v>
      </c>
      <c r="G353" s="3"/>
      <c r="H353" s="3">
        <v>1</v>
      </c>
      <c r="I353" s="4" t="s">
        <v>5891</v>
      </c>
      <c r="J353" s="3">
        <v>1</v>
      </c>
      <c r="K353" s="4" t="s">
        <v>5892</v>
      </c>
      <c r="L353" s="3" t="s">
        <v>2276</v>
      </c>
      <c r="M353" s="52" t="s">
        <v>2276</v>
      </c>
      <c r="N353" s="3"/>
    </row>
    <row r="354" spans="1:14" ht="48" customHeight="1">
      <c r="A354" s="19" t="s">
        <v>5862</v>
      </c>
      <c r="B354" s="19" t="s">
        <v>5886</v>
      </c>
      <c r="C354" s="3" t="s">
        <v>1105</v>
      </c>
      <c r="D354" s="3" t="s">
        <v>1105</v>
      </c>
      <c r="E354" s="4" t="s">
        <v>3209</v>
      </c>
      <c r="F354" s="3" t="s">
        <v>2276</v>
      </c>
      <c r="G354" s="3"/>
      <c r="H354" s="3" t="s">
        <v>2276</v>
      </c>
      <c r="I354" s="3" t="s">
        <v>2276</v>
      </c>
      <c r="J354" s="3" t="s">
        <v>2276</v>
      </c>
      <c r="K354" s="3" t="s">
        <v>2276</v>
      </c>
      <c r="L354" s="3">
        <v>3</v>
      </c>
      <c r="M354" s="49" t="s">
        <v>5894</v>
      </c>
      <c r="N354" s="3"/>
    </row>
    <row r="355" spans="1:14" ht="33" customHeight="1">
      <c r="A355" s="152" t="s">
        <v>5909</v>
      </c>
      <c r="B355" s="152" t="s">
        <v>5912</v>
      </c>
      <c r="C355" s="3" t="s">
        <v>2458</v>
      </c>
      <c r="D355" s="3" t="s">
        <v>1105</v>
      </c>
      <c r="E355" s="4" t="s">
        <v>137</v>
      </c>
      <c r="F355" s="3" t="s">
        <v>2276</v>
      </c>
      <c r="G355" s="3"/>
      <c r="H355" s="3" t="s">
        <v>2276</v>
      </c>
      <c r="I355" s="3" t="s">
        <v>2276</v>
      </c>
      <c r="J355" s="3" t="s">
        <v>2276</v>
      </c>
      <c r="K355" s="3" t="s">
        <v>2276</v>
      </c>
      <c r="L355" s="3">
        <v>2</v>
      </c>
      <c r="M355" s="48" t="s">
        <v>5927</v>
      </c>
      <c r="N355" s="3"/>
    </row>
    <row r="356" spans="1:14" ht="41.5" customHeight="1">
      <c r="A356" s="192" t="s">
        <v>5932</v>
      </c>
      <c r="B356" s="192" t="s">
        <v>5934</v>
      </c>
      <c r="C356" s="3" t="s">
        <v>24</v>
      </c>
      <c r="D356" s="3" t="s">
        <v>1105</v>
      </c>
      <c r="E356" s="4" t="s">
        <v>116</v>
      </c>
      <c r="F356" s="4" t="s">
        <v>2662</v>
      </c>
      <c r="G356" s="3"/>
      <c r="H356" s="3">
        <v>2</v>
      </c>
      <c r="I356" s="19" t="s">
        <v>5943</v>
      </c>
      <c r="J356" s="3">
        <v>2</v>
      </c>
      <c r="K356" s="11" t="s">
        <v>5942</v>
      </c>
      <c r="L356" s="3">
        <v>0</v>
      </c>
      <c r="M356" s="49" t="s">
        <v>5944</v>
      </c>
      <c r="N356" s="3"/>
    </row>
    <row r="357" spans="1:14" ht="34.5" customHeight="1">
      <c r="A357" s="192" t="s">
        <v>5932</v>
      </c>
      <c r="B357" s="192" t="s">
        <v>5935</v>
      </c>
      <c r="C357" s="3" t="s">
        <v>24</v>
      </c>
      <c r="D357" s="3" t="s">
        <v>1105</v>
      </c>
      <c r="E357" s="4" t="s">
        <v>116</v>
      </c>
      <c r="F357" s="4" t="s">
        <v>2662</v>
      </c>
      <c r="G357" s="3"/>
      <c r="H357" s="3">
        <v>2</v>
      </c>
      <c r="I357" s="3" t="s">
        <v>5940</v>
      </c>
      <c r="J357" s="3">
        <v>0</v>
      </c>
      <c r="K357" s="11" t="s">
        <v>5941</v>
      </c>
      <c r="L357" s="3">
        <v>2</v>
      </c>
      <c r="M357" s="52" t="s">
        <v>5939</v>
      </c>
      <c r="N357" s="3"/>
    </row>
    <row r="358" spans="1:14" ht="35.5" customHeight="1">
      <c r="A358" s="3" t="s">
        <v>5956</v>
      </c>
      <c r="B358" s="3" t="s">
        <v>5957</v>
      </c>
      <c r="C358" s="3" t="s">
        <v>24</v>
      </c>
      <c r="D358" s="3" t="s">
        <v>144</v>
      </c>
      <c r="E358" s="4" t="s">
        <v>137</v>
      </c>
      <c r="F358" s="3" t="s">
        <v>74</v>
      </c>
      <c r="G358" s="3"/>
      <c r="H358" s="3">
        <v>3</v>
      </c>
      <c r="I358" s="4" t="s">
        <v>5963</v>
      </c>
      <c r="J358" s="3" t="s">
        <v>2276</v>
      </c>
      <c r="K358" s="3" t="s">
        <v>2276</v>
      </c>
      <c r="L358" s="3" t="s">
        <v>2276</v>
      </c>
      <c r="M358" s="52" t="s">
        <v>2276</v>
      </c>
      <c r="N358" s="3"/>
    </row>
    <row r="359" spans="1:14" ht="35.5" customHeight="1">
      <c r="A359" s="3" t="s">
        <v>5956</v>
      </c>
      <c r="B359" s="3" t="s">
        <v>5960</v>
      </c>
      <c r="C359" s="3" t="s">
        <v>24</v>
      </c>
      <c r="D359" s="3" t="s">
        <v>144</v>
      </c>
      <c r="E359" s="4" t="s">
        <v>116</v>
      </c>
      <c r="F359" s="3" t="s">
        <v>74</v>
      </c>
      <c r="G359" s="3"/>
      <c r="H359" s="3">
        <v>3</v>
      </c>
      <c r="I359" s="4" t="s">
        <v>5963</v>
      </c>
      <c r="J359" s="3" t="s">
        <v>2276</v>
      </c>
      <c r="K359" s="3" t="s">
        <v>2276</v>
      </c>
      <c r="L359" s="3" t="s">
        <v>2276</v>
      </c>
      <c r="M359" s="52" t="s">
        <v>2276</v>
      </c>
      <c r="N359" s="3"/>
    </row>
    <row r="360" spans="1:14" ht="35.5" customHeight="1">
      <c r="A360" s="3" t="s">
        <v>5956</v>
      </c>
      <c r="B360" s="3" t="s">
        <v>5961</v>
      </c>
      <c r="C360" s="3" t="s">
        <v>24</v>
      </c>
      <c r="D360" s="3" t="s">
        <v>3480</v>
      </c>
      <c r="E360" s="4" t="s">
        <v>116</v>
      </c>
      <c r="F360" s="3" t="s">
        <v>74</v>
      </c>
      <c r="G360" s="3"/>
      <c r="H360" s="3">
        <v>3</v>
      </c>
      <c r="I360" s="4" t="s">
        <v>5963</v>
      </c>
      <c r="J360" s="3" t="s">
        <v>2276</v>
      </c>
      <c r="K360" s="3" t="s">
        <v>2276</v>
      </c>
      <c r="L360" s="3" t="s">
        <v>2276</v>
      </c>
      <c r="M360" s="52" t="s">
        <v>2276</v>
      </c>
      <c r="N360" s="3"/>
    </row>
    <row r="361" spans="1:14" ht="41.5" customHeight="1">
      <c r="A361" s="11" t="s">
        <v>5969</v>
      </c>
      <c r="B361" s="11" t="s">
        <v>5971</v>
      </c>
      <c r="C361" s="3" t="s">
        <v>24</v>
      </c>
      <c r="D361" s="3" t="s">
        <v>1105</v>
      </c>
      <c r="E361" s="4" t="s">
        <v>130</v>
      </c>
      <c r="F361" s="3" t="s">
        <v>2276</v>
      </c>
      <c r="G361" s="3"/>
      <c r="H361" s="3" t="s">
        <v>2276</v>
      </c>
      <c r="I361" s="3" t="s">
        <v>2276</v>
      </c>
      <c r="J361" s="3" t="s">
        <v>2276</v>
      </c>
      <c r="K361" s="3" t="s">
        <v>2276</v>
      </c>
      <c r="L361" s="3">
        <v>0</v>
      </c>
      <c r="M361" s="49" t="s">
        <v>5976</v>
      </c>
      <c r="N361" s="3"/>
    </row>
    <row r="362" spans="1:14" ht="57" customHeight="1">
      <c r="A362" s="11" t="s">
        <v>5969</v>
      </c>
      <c r="B362" s="11" t="s">
        <v>5972</v>
      </c>
      <c r="C362" s="3" t="s">
        <v>24</v>
      </c>
      <c r="D362" s="3" t="s">
        <v>1105</v>
      </c>
      <c r="E362" s="4" t="s">
        <v>396</v>
      </c>
      <c r="F362" s="3" t="s">
        <v>2276</v>
      </c>
      <c r="G362" s="3"/>
      <c r="H362" s="3" t="s">
        <v>2276</v>
      </c>
      <c r="I362" s="3" t="s">
        <v>2276</v>
      </c>
      <c r="J362" s="3" t="s">
        <v>2276</v>
      </c>
      <c r="K362" s="3" t="s">
        <v>2276</v>
      </c>
      <c r="L362" s="3">
        <v>0</v>
      </c>
      <c r="M362" s="49" t="s">
        <v>5976</v>
      </c>
      <c r="N362" s="3"/>
    </row>
    <row r="363" spans="1:14" ht="41.5" customHeight="1">
      <c r="A363" s="11" t="s">
        <v>5969</v>
      </c>
      <c r="B363" s="11" t="s">
        <v>5973</v>
      </c>
      <c r="C363" s="3" t="s">
        <v>24</v>
      </c>
      <c r="D363" s="3" t="s">
        <v>1105</v>
      </c>
      <c r="E363" s="4" t="s">
        <v>84</v>
      </c>
      <c r="F363" s="3" t="s">
        <v>74</v>
      </c>
      <c r="G363" s="3"/>
      <c r="H363" s="3" t="s">
        <v>2276</v>
      </c>
      <c r="I363" s="3" t="s">
        <v>2276</v>
      </c>
      <c r="J363" s="3" t="s">
        <v>2276</v>
      </c>
      <c r="K363" s="3" t="s">
        <v>2276</v>
      </c>
      <c r="L363" s="3">
        <v>3</v>
      </c>
      <c r="M363" s="49" t="s">
        <v>5977</v>
      </c>
      <c r="N363" s="3"/>
    </row>
    <row r="364" spans="1:14" ht="41.5" customHeight="1">
      <c r="A364" s="11" t="s">
        <v>5969</v>
      </c>
      <c r="B364" s="11" t="s">
        <v>5974</v>
      </c>
      <c r="C364" s="3" t="s">
        <v>24</v>
      </c>
      <c r="D364" s="3" t="s">
        <v>1105</v>
      </c>
      <c r="E364" s="4" t="s">
        <v>84</v>
      </c>
      <c r="F364" s="3" t="s">
        <v>28</v>
      </c>
      <c r="G364" s="3"/>
      <c r="H364" s="3" t="s">
        <v>2276</v>
      </c>
      <c r="I364" s="3" t="s">
        <v>2276</v>
      </c>
      <c r="J364" s="3" t="s">
        <v>2276</v>
      </c>
      <c r="K364" s="3" t="s">
        <v>2276</v>
      </c>
      <c r="L364" s="3">
        <v>0</v>
      </c>
      <c r="M364" s="49" t="s">
        <v>5977</v>
      </c>
      <c r="N364" s="3"/>
    </row>
    <row r="365" spans="1:14" ht="41.5" customHeight="1">
      <c r="A365" s="11" t="s">
        <v>5982</v>
      </c>
      <c r="B365" s="11" t="s">
        <v>5987</v>
      </c>
      <c r="C365" s="3" t="s">
        <v>24</v>
      </c>
      <c r="D365" s="3" t="s">
        <v>27</v>
      </c>
      <c r="E365" s="4" t="s">
        <v>130</v>
      </c>
      <c r="F365" s="3" t="s">
        <v>160</v>
      </c>
      <c r="G365" s="3"/>
      <c r="H365" s="3">
        <v>2</v>
      </c>
      <c r="I365" s="19" t="s">
        <v>5992</v>
      </c>
      <c r="J365" s="3" t="s">
        <v>2276</v>
      </c>
      <c r="K365" s="3" t="s">
        <v>2276</v>
      </c>
      <c r="L365" s="3" t="s">
        <v>2276</v>
      </c>
      <c r="M365" s="52" t="s">
        <v>2276</v>
      </c>
      <c r="N365" s="3"/>
    </row>
    <row r="366" spans="1:14" ht="117.5" customHeight="1">
      <c r="A366" s="19" t="s">
        <v>5994</v>
      </c>
      <c r="B366" s="19" t="s">
        <v>6001</v>
      </c>
      <c r="C366" s="4" t="s">
        <v>24</v>
      </c>
      <c r="D366" s="4" t="s">
        <v>1242</v>
      </c>
      <c r="E366" s="4" t="s">
        <v>116</v>
      </c>
      <c r="F366" s="4" t="s">
        <v>2662</v>
      </c>
      <c r="G366" s="3"/>
      <c r="H366" s="3">
        <v>2</v>
      </c>
      <c r="I366" s="19" t="s">
        <v>6009</v>
      </c>
      <c r="J366" s="4">
        <v>2</v>
      </c>
      <c r="K366" s="19" t="s">
        <v>6007</v>
      </c>
      <c r="L366" s="3" t="s">
        <v>2276</v>
      </c>
      <c r="M366" s="52" t="s">
        <v>2276</v>
      </c>
      <c r="N366" s="3"/>
    </row>
    <row r="367" spans="1:14" ht="34.5" customHeight="1">
      <c r="A367" s="11" t="s">
        <v>6000</v>
      </c>
      <c r="B367" s="11" t="s">
        <v>6012</v>
      </c>
      <c r="C367" s="3" t="s">
        <v>24</v>
      </c>
      <c r="D367" s="3" t="s">
        <v>27</v>
      </c>
      <c r="E367" s="4" t="s">
        <v>130</v>
      </c>
      <c r="F367" s="3" t="s">
        <v>160</v>
      </c>
      <c r="G367" s="3"/>
      <c r="H367" s="3">
        <v>2</v>
      </c>
      <c r="I367" s="19" t="s">
        <v>6015</v>
      </c>
      <c r="J367" s="3" t="s">
        <v>2276</v>
      </c>
      <c r="K367" s="3" t="s">
        <v>2276</v>
      </c>
      <c r="L367" s="3" t="s">
        <v>2276</v>
      </c>
      <c r="M367" s="52" t="s">
        <v>2276</v>
      </c>
      <c r="N367" s="3"/>
    </row>
    <row r="368" spans="1:14" ht="43.5" customHeight="1">
      <c r="A368" s="3" t="s">
        <v>6000</v>
      </c>
      <c r="B368" s="11" t="s">
        <v>6013</v>
      </c>
      <c r="C368" s="3" t="s">
        <v>24</v>
      </c>
      <c r="D368" s="3" t="s">
        <v>25</v>
      </c>
      <c r="E368" s="4" t="s">
        <v>45</v>
      </c>
      <c r="F368" s="4" t="s">
        <v>2662</v>
      </c>
      <c r="G368" s="3"/>
      <c r="H368" s="3">
        <v>2</v>
      </c>
      <c r="I368" s="19" t="s">
        <v>6015</v>
      </c>
      <c r="J368" s="3" t="s">
        <v>2276</v>
      </c>
      <c r="K368" s="3" t="s">
        <v>2276</v>
      </c>
      <c r="L368" s="3" t="s">
        <v>2276</v>
      </c>
      <c r="M368" s="52" t="s">
        <v>2276</v>
      </c>
      <c r="N368" s="3"/>
    </row>
    <row r="369" spans="1:14" ht="37" customHeight="1">
      <c r="A369" s="3" t="s">
        <v>6000</v>
      </c>
      <c r="B369" s="3" t="s">
        <v>6014</v>
      </c>
      <c r="C369" s="3" t="s">
        <v>24</v>
      </c>
      <c r="D369" s="3" t="s">
        <v>25</v>
      </c>
      <c r="E369" s="4" t="s">
        <v>45</v>
      </c>
      <c r="F369" s="3" t="s">
        <v>29</v>
      </c>
      <c r="G369" s="3"/>
      <c r="H369" s="3">
        <v>2</v>
      </c>
      <c r="I369" s="19" t="s">
        <v>6015</v>
      </c>
      <c r="J369" s="3" t="s">
        <v>2276</v>
      </c>
      <c r="K369" s="3" t="s">
        <v>2276</v>
      </c>
      <c r="L369" s="3" t="s">
        <v>2276</v>
      </c>
      <c r="M369" s="52" t="s">
        <v>2276</v>
      </c>
      <c r="N369" s="3"/>
    </row>
    <row r="370" spans="1:14" ht="44.5" customHeight="1">
      <c r="A370" s="11" t="s">
        <v>6048</v>
      </c>
      <c r="B370" s="11" t="s">
        <v>6052</v>
      </c>
      <c r="C370" s="3" t="s">
        <v>24</v>
      </c>
      <c r="D370" s="3" t="s">
        <v>27</v>
      </c>
      <c r="E370" s="4" t="s">
        <v>130</v>
      </c>
      <c r="F370" s="3" t="s">
        <v>160</v>
      </c>
      <c r="G370" s="3"/>
      <c r="H370" s="3">
        <v>2</v>
      </c>
      <c r="I370" s="19" t="s">
        <v>6054</v>
      </c>
      <c r="J370" s="3" t="s">
        <v>2276</v>
      </c>
      <c r="K370" s="3" t="s">
        <v>2276</v>
      </c>
      <c r="L370" s="3">
        <v>1</v>
      </c>
      <c r="M370" s="52" t="s">
        <v>6055</v>
      </c>
      <c r="N370" s="3"/>
    </row>
    <row r="371" spans="1:14" ht="43" customHeight="1">
      <c r="A371" s="11" t="s">
        <v>6048</v>
      </c>
      <c r="B371" s="11" t="s">
        <v>6053</v>
      </c>
      <c r="C371" s="3" t="s">
        <v>24</v>
      </c>
      <c r="D371" s="3" t="s">
        <v>25</v>
      </c>
      <c r="E371" s="4" t="s">
        <v>45</v>
      </c>
      <c r="F371" s="3" t="s">
        <v>29</v>
      </c>
      <c r="G371" s="3"/>
      <c r="H371" s="3">
        <v>2</v>
      </c>
      <c r="I371" s="19" t="s">
        <v>6054</v>
      </c>
      <c r="J371" s="3" t="s">
        <v>2276</v>
      </c>
      <c r="K371" s="3" t="s">
        <v>2276</v>
      </c>
      <c r="L371" s="3">
        <v>1</v>
      </c>
      <c r="M371" s="52" t="s">
        <v>6055</v>
      </c>
      <c r="N371" s="3"/>
    </row>
    <row r="372" spans="1:14" ht="36" customHeight="1">
      <c r="A372" s="11" t="s">
        <v>6075</v>
      </c>
      <c r="B372" s="11" t="s">
        <v>6078</v>
      </c>
      <c r="C372" s="3" t="s">
        <v>1105</v>
      </c>
      <c r="D372" s="3" t="s">
        <v>1105</v>
      </c>
      <c r="E372" s="4" t="s">
        <v>3209</v>
      </c>
      <c r="F372" s="4" t="s">
        <v>2662</v>
      </c>
      <c r="G372" s="3"/>
      <c r="H372" s="205" t="s">
        <v>2276</v>
      </c>
      <c r="I372" s="205" t="s">
        <v>2276</v>
      </c>
      <c r="J372" s="205" t="s">
        <v>2276</v>
      </c>
      <c r="K372" s="205" t="s">
        <v>2276</v>
      </c>
      <c r="L372" s="3">
        <v>2</v>
      </c>
      <c r="M372" s="49" t="s">
        <v>6082</v>
      </c>
      <c r="N372" s="3"/>
    </row>
    <row r="373" spans="1:14" ht="43.5" customHeight="1">
      <c r="A373" s="11" t="s">
        <v>6083</v>
      </c>
      <c r="B373" s="11" t="s">
        <v>7051</v>
      </c>
      <c r="C373" s="11" t="s">
        <v>1105</v>
      </c>
      <c r="D373" s="11" t="s">
        <v>1105</v>
      </c>
      <c r="E373" s="19" t="s">
        <v>5005</v>
      </c>
      <c r="F373" s="19" t="s">
        <v>2662</v>
      </c>
      <c r="G373" s="11"/>
      <c r="H373" s="205" t="s">
        <v>2276</v>
      </c>
      <c r="I373" s="205" t="s">
        <v>2276</v>
      </c>
      <c r="J373" s="11">
        <v>2</v>
      </c>
      <c r="K373" s="19" t="s">
        <v>7056</v>
      </c>
      <c r="L373" s="205" t="s">
        <v>2276</v>
      </c>
      <c r="M373" s="205" t="s">
        <v>2276</v>
      </c>
      <c r="N373" s="11"/>
    </row>
    <row r="374" spans="1:14" ht="51" customHeight="1">
      <c r="A374" s="11" t="s">
        <v>6084</v>
      </c>
      <c r="B374" s="11" t="s">
        <v>7053</v>
      </c>
      <c r="C374" s="11" t="s">
        <v>1105</v>
      </c>
      <c r="D374" s="11" t="s">
        <v>1105</v>
      </c>
      <c r="E374" s="19" t="s">
        <v>397</v>
      </c>
      <c r="F374" s="19" t="s">
        <v>28</v>
      </c>
      <c r="G374" s="11"/>
      <c r="H374" s="205" t="s">
        <v>2276</v>
      </c>
      <c r="I374" s="205" t="s">
        <v>2276</v>
      </c>
      <c r="J374" s="11">
        <v>2</v>
      </c>
      <c r="K374" s="19" t="s">
        <v>7057</v>
      </c>
      <c r="L374" s="205" t="s">
        <v>2276</v>
      </c>
      <c r="M374" s="205" t="s">
        <v>2276</v>
      </c>
      <c r="N374" s="11"/>
    </row>
    <row r="375" spans="1:14" s="204" customFormat="1" ht="51" customHeight="1">
      <c r="A375" s="11" t="s">
        <v>6083</v>
      </c>
      <c r="B375" s="11" t="s">
        <v>7052</v>
      </c>
      <c r="C375" s="11" t="s">
        <v>1105</v>
      </c>
      <c r="D375" s="11" t="s">
        <v>1105</v>
      </c>
      <c r="E375" s="19" t="s">
        <v>5005</v>
      </c>
      <c r="F375" s="19" t="s">
        <v>2662</v>
      </c>
      <c r="G375" s="11"/>
      <c r="H375" s="205" t="s">
        <v>2276</v>
      </c>
      <c r="I375" s="205" t="s">
        <v>2276</v>
      </c>
      <c r="J375" s="11">
        <v>2</v>
      </c>
      <c r="K375" s="19" t="s">
        <v>7056</v>
      </c>
      <c r="L375" s="205" t="s">
        <v>2276</v>
      </c>
      <c r="M375" s="205" t="s">
        <v>2276</v>
      </c>
      <c r="N375" s="11"/>
    </row>
    <row r="376" spans="1:14" s="204" customFormat="1" ht="51" customHeight="1">
      <c r="A376" s="11" t="s">
        <v>6084</v>
      </c>
      <c r="B376" s="11" t="s">
        <v>7054</v>
      </c>
      <c r="C376" s="11" t="s">
        <v>1105</v>
      </c>
      <c r="D376" s="11" t="s">
        <v>1105</v>
      </c>
      <c r="E376" s="19" t="s">
        <v>397</v>
      </c>
      <c r="F376" s="19" t="s">
        <v>28</v>
      </c>
      <c r="G376" s="11"/>
      <c r="H376" s="205" t="s">
        <v>2276</v>
      </c>
      <c r="I376" s="205" t="s">
        <v>2276</v>
      </c>
      <c r="J376" s="11">
        <v>2</v>
      </c>
      <c r="K376" s="19" t="s">
        <v>7057</v>
      </c>
      <c r="L376" s="205" t="s">
        <v>2276</v>
      </c>
      <c r="M376" s="205" t="s">
        <v>2276</v>
      </c>
      <c r="N376" s="11"/>
    </row>
    <row r="377" spans="1:14" ht="69.5" customHeight="1">
      <c r="A377" s="3" t="s">
        <v>6148</v>
      </c>
      <c r="B377" s="3" t="s">
        <v>6190</v>
      </c>
      <c r="C377" s="3" t="s">
        <v>24</v>
      </c>
      <c r="D377" s="3" t="s">
        <v>1242</v>
      </c>
      <c r="E377" s="4" t="s">
        <v>137</v>
      </c>
      <c r="F377" s="3" t="s">
        <v>74</v>
      </c>
      <c r="G377" s="3"/>
      <c r="H377" s="3">
        <v>2</v>
      </c>
      <c r="I377" s="3" t="s">
        <v>6249</v>
      </c>
      <c r="J377" s="3">
        <v>2</v>
      </c>
      <c r="K377" s="3" t="s">
        <v>6249</v>
      </c>
      <c r="L377" s="205" t="s">
        <v>2276</v>
      </c>
      <c r="M377" s="205" t="s">
        <v>2276</v>
      </c>
      <c r="N377" s="3"/>
    </row>
    <row r="378" spans="1:14" s="204" customFormat="1" ht="69.5" customHeight="1">
      <c r="A378" s="205" t="s">
        <v>6148</v>
      </c>
      <c r="B378" s="205" t="s">
        <v>6191</v>
      </c>
      <c r="C378" s="205" t="s">
        <v>24</v>
      </c>
      <c r="D378" s="205" t="s">
        <v>1242</v>
      </c>
      <c r="E378" s="4" t="s">
        <v>2649</v>
      </c>
      <c r="F378" s="205" t="s">
        <v>74</v>
      </c>
      <c r="G378" s="205"/>
      <c r="H378" s="205">
        <v>2</v>
      </c>
      <c r="I378" s="205" t="s">
        <v>6725</v>
      </c>
      <c r="J378" s="205">
        <v>2</v>
      </c>
      <c r="K378" s="205" t="s">
        <v>6725</v>
      </c>
      <c r="L378" s="205" t="s">
        <v>2276</v>
      </c>
      <c r="M378" s="205" t="s">
        <v>2276</v>
      </c>
      <c r="N378" s="205"/>
    </row>
    <row r="379" spans="1:14" ht="69.5" customHeight="1">
      <c r="A379" s="3" t="s">
        <v>6148</v>
      </c>
      <c r="B379" s="205" t="s">
        <v>6192</v>
      </c>
      <c r="C379" s="3" t="s">
        <v>2656</v>
      </c>
      <c r="D379" s="205" t="s">
        <v>2276</v>
      </c>
      <c r="E379" s="4" t="s">
        <v>137</v>
      </c>
      <c r="F379" s="3" t="s">
        <v>74</v>
      </c>
      <c r="G379" s="3"/>
      <c r="H379" s="3">
        <v>2</v>
      </c>
      <c r="I379" s="205" t="s">
        <v>6724</v>
      </c>
      <c r="J379" s="3">
        <v>2</v>
      </c>
      <c r="K379" s="205" t="s">
        <v>6724</v>
      </c>
      <c r="L379" s="3">
        <v>0</v>
      </c>
      <c r="M379" s="3" t="s">
        <v>6724</v>
      </c>
      <c r="N379" s="3"/>
    </row>
    <row r="380" spans="1:14" s="204" customFormat="1" ht="69.5" customHeight="1">
      <c r="A380" s="205" t="s">
        <v>6148</v>
      </c>
      <c r="B380" s="205" t="s">
        <v>6193</v>
      </c>
      <c r="C380" s="205" t="s">
        <v>2656</v>
      </c>
      <c r="D380" s="205" t="s">
        <v>2276</v>
      </c>
      <c r="E380" s="4" t="s">
        <v>2649</v>
      </c>
      <c r="F380" s="205" t="s">
        <v>74</v>
      </c>
      <c r="G380" s="205"/>
      <c r="H380" s="205">
        <v>2</v>
      </c>
      <c r="I380" s="205" t="s">
        <v>6724</v>
      </c>
      <c r="J380" s="205">
        <v>2</v>
      </c>
      <c r="K380" s="205" t="s">
        <v>6724</v>
      </c>
      <c r="L380" s="205">
        <v>0</v>
      </c>
      <c r="M380" s="205" t="s">
        <v>6724</v>
      </c>
      <c r="N380" s="205"/>
    </row>
    <row r="381" spans="1:14" ht="69.5" customHeight="1">
      <c r="A381" s="3" t="s">
        <v>6149</v>
      </c>
      <c r="B381" s="3" t="s">
        <v>6194</v>
      </c>
      <c r="C381" s="3" t="s">
        <v>24</v>
      </c>
      <c r="D381" s="3" t="s">
        <v>1242</v>
      </c>
      <c r="E381" s="4" t="s">
        <v>137</v>
      </c>
      <c r="F381" s="3" t="s">
        <v>74</v>
      </c>
      <c r="G381" s="3"/>
      <c r="H381" s="3">
        <v>2</v>
      </c>
      <c r="I381" s="3" t="s">
        <v>6249</v>
      </c>
      <c r="J381" s="3">
        <v>2</v>
      </c>
      <c r="K381" s="3" t="s">
        <v>6249</v>
      </c>
      <c r="L381" s="205" t="s">
        <v>2276</v>
      </c>
      <c r="M381" s="205" t="s">
        <v>2276</v>
      </c>
      <c r="N381" s="3"/>
    </row>
    <row r="382" spans="1:14" s="204" customFormat="1" ht="69.5" customHeight="1">
      <c r="A382" s="205" t="s">
        <v>6149</v>
      </c>
      <c r="B382" s="205" t="s">
        <v>6195</v>
      </c>
      <c r="C382" s="205" t="s">
        <v>24</v>
      </c>
      <c r="D382" s="205" t="s">
        <v>1242</v>
      </c>
      <c r="E382" s="4" t="s">
        <v>2649</v>
      </c>
      <c r="F382" s="205" t="s">
        <v>74</v>
      </c>
      <c r="G382" s="205"/>
      <c r="H382" s="205">
        <v>2</v>
      </c>
      <c r="I382" s="205" t="s">
        <v>6725</v>
      </c>
      <c r="J382" s="205">
        <v>2</v>
      </c>
      <c r="K382" s="205" t="s">
        <v>6725</v>
      </c>
      <c r="L382" s="205" t="s">
        <v>2276</v>
      </c>
      <c r="M382" s="205" t="s">
        <v>2276</v>
      </c>
      <c r="N382" s="205"/>
    </row>
    <row r="383" spans="1:14" s="204" customFormat="1" ht="69.5" customHeight="1">
      <c r="A383" s="205" t="s">
        <v>6711</v>
      </c>
      <c r="B383" s="205" t="s">
        <v>6718</v>
      </c>
      <c r="C383" s="205" t="s">
        <v>24</v>
      </c>
      <c r="D383" s="205" t="s">
        <v>1242</v>
      </c>
      <c r="E383" s="4" t="s">
        <v>137</v>
      </c>
      <c r="F383" s="205" t="s">
        <v>74</v>
      </c>
      <c r="G383" s="205"/>
      <c r="H383" s="205">
        <v>2</v>
      </c>
      <c r="I383" s="205" t="s">
        <v>6249</v>
      </c>
      <c r="J383" s="205">
        <v>2</v>
      </c>
      <c r="K383" s="205" t="s">
        <v>6249</v>
      </c>
      <c r="L383" s="205" t="s">
        <v>2276</v>
      </c>
      <c r="M383" s="205" t="s">
        <v>2276</v>
      </c>
      <c r="N383" s="205" t="s">
        <v>6726</v>
      </c>
    </row>
    <row r="384" spans="1:14" s="204" customFormat="1" ht="69.5" customHeight="1">
      <c r="A384" s="205" t="s">
        <v>6711</v>
      </c>
      <c r="B384" s="205" t="s">
        <v>6719</v>
      </c>
      <c r="C384" s="205" t="s">
        <v>24</v>
      </c>
      <c r="D384" s="205" t="s">
        <v>1242</v>
      </c>
      <c r="E384" s="4" t="s">
        <v>2649</v>
      </c>
      <c r="F384" s="205" t="s">
        <v>74</v>
      </c>
      <c r="G384" s="205"/>
      <c r="H384" s="205">
        <v>2</v>
      </c>
      <c r="I384" s="205" t="s">
        <v>6725</v>
      </c>
      <c r="J384" s="205">
        <v>2</v>
      </c>
      <c r="K384" s="205" t="s">
        <v>6725</v>
      </c>
      <c r="L384" s="205" t="s">
        <v>2276</v>
      </c>
      <c r="M384" s="205" t="s">
        <v>2276</v>
      </c>
      <c r="N384" s="205" t="s">
        <v>6727</v>
      </c>
    </row>
    <row r="385" spans="1:14" s="204" customFormat="1" ht="69.5" customHeight="1">
      <c r="A385" s="205" t="s">
        <v>6712</v>
      </c>
      <c r="B385" s="205" t="s">
        <v>6720</v>
      </c>
      <c r="C385" s="205" t="s">
        <v>24</v>
      </c>
      <c r="D385" s="205" t="s">
        <v>1242</v>
      </c>
      <c r="E385" s="4" t="s">
        <v>137</v>
      </c>
      <c r="F385" s="205" t="s">
        <v>74</v>
      </c>
      <c r="G385" s="205"/>
      <c r="H385" s="205">
        <v>2</v>
      </c>
      <c r="I385" s="205" t="s">
        <v>6249</v>
      </c>
      <c r="J385" s="205">
        <v>2</v>
      </c>
      <c r="K385" s="205" t="s">
        <v>6249</v>
      </c>
      <c r="L385" s="205" t="s">
        <v>2276</v>
      </c>
      <c r="M385" s="205" t="s">
        <v>2276</v>
      </c>
      <c r="N385" s="205" t="s">
        <v>6726</v>
      </c>
    </row>
    <row r="386" spans="1:14" s="204" customFormat="1" ht="69.5" customHeight="1">
      <c r="A386" s="205" t="s">
        <v>6712</v>
      </c>
      <c r="B386" s="205" t="s">
        <v>6721</v>
      </c>
      <c r="C386" s="205" t="s">
        <v>24</v>
      </c>
      <c r="D386" s="205" t="s">
        <v>1242</v>
      </c>
      <c r="E386" s="4" t="s">
        <v>2649</v>
      </c>
      <c r="F386" s="205" t="s">
        <v>74</v>
      </c>
      <c r="G386" s="205"/>
      <c r="H386" s="205">
        <v>2</v>
      </c>
      <c r="I386" s="205" t="s">
        <v>6725</v>
      </c>
      <c r="J386" s="205">
        <v>2</v>
      </c>
      <c r="K386" s="205" t="s">
        <v>6725</v>
      </c>
      <c r="L386" s="205" t="s">
        <v>2276</v>
      </c>
      <c r="M386" s="205" t="s">
        <v>2276</v>
      </c>
      <c r="N386" s="205" t="s">
        <v>6727</v>
      </c>
    </row>
    <row r="387" spans="1:14" s="204" customFormat="1" ht="69.5" customHeight="1">
      <c r="A387" s="205" t="s">
        <v>6713</v>
      </c>
      <c r="B387" s="205" t="s">
        <v>6722</v>
      </c>
      <c r="C387" s="205" t="s">
        <v>24</v>
      </c>
      <c r="D387" s="205" t="s">
        <v>1242</v>
      </c>
      <c r="E387" s="4" t="s">
        <v>137</v>
      </c>
      <c r="F387" s="205" t="s">
        <v>74</v>
      </c>
      <c r="G387" s="205"/>
      <c r="H387" s="205">
        <v>2</v>
      </c>
      <c r="I387" s="205" t="s">
        <v>6249</v>
      </c>
      <c r="J387" s="205">
        <v>2</v>
      </c>
      <c r="K387" s="205" t="s">
        <v>6249</v>
      </c>
      <c r="L387" s="205" t="s">
        <v>2276</v>
      </c>
      <c r="M387" s="205" t="s">
        <v>2276</v>
      </c>
      <c r="N387" s="205" t="s">
        <v>6726</v>
      </c>
    </row>
    <row r="388" spans="1:14" s="204" customFormat="1" ht="69.5" customHeight="1">
      <c r="A388" s="205" t="s">
        <v>6713</v>
      </c>
      <c r="B388" s="205" t="s">
        <v>6723</v>
      </c>
      <c r="C388" s="205" t="s">
        <v>24</v>
      </c>
      <c r="D388" s="205" t="s">
        <v>1242</v>
      </c>
      <c r="E388" s="4" t="s">
        <v>2649</v>
      </c>
      <c r="F388" s="205" t="s">
        <v>74</v>
      </c>
      <c r="G388" s="205"/>
      <c r="H388" s="205">
        <v>2</v>
      </c>
      <c r="I388" s="205" t="s">
        <v>6725</v>
      </c>
      <c r="J388" s="205">
        <v>2</v>
      </c>
      <c r="K388" s="205" t="s">
        <v>6725</v>
      </c>
      <c r="L388" s="205" t="s">
        <v>2276</v>
      </c>
      <c r="M388" s="205" t="s">
        <v>2276</v>
      </c>
      <c r="N388" s="205" t="s">
        <v>6727</v>
      </c>
    </row>
    <row r="389" spans="1:14" ht="69.5" customHeight="1">
      <c r="A389" s="3" t="s">
        <v>6150</v>
      </c>
      <c r="B389" s="3" t="s">
        <v>6198</v>
      </c>
      <c r="C389" s="205" t="s">
        <v>1105</v>
      </c>
      <c r="D389" s="205" t="s">
        <v>1105</v>
      </c>
      <c r="E389" s="4" t="s">
        <v>5801</v>
      </c>
      <c r="F389" s="205" t="s">
        <v>160</v>
      </c>
      <c r="G389" s="3"/>
      <c r="H389" s="3" t="s">
        <v>2276</v>
      </c>
      <c r="I389" s="3" t="s">
        <v>2276</v>
      </c>
      <c r="J389" s="3">
        <v>0</v>
      </c>
      <c r="K389" s="3" t="s">
        <v>5215</v>
      </c>
      <c r="L389" s="3" t="s">
        <v>2276</v>
      </c>
      <c r="M389" s="3" t="s">
        <v>2276</v>
      </c>
      <c r="N389" s="3"/>
    </row>
    <row r="390" spans="1:14" ht="130" customHeight="1">
      <c r="A390" s="3" t="s">
        <v>6151</v>
      </c>
      <c r="B390" s="3" t="s">
        <v>6199</v>
      </c>
      <c r="C390" s="205" t="s">
        <v>1105</v>
      </c>
      <c r="D390" s="205" t="s">
        <v>1105</v>
      </c>
      <c r="E390" s="4" t="s">
        <v>3209</v>
      </c>
      <c r="F390" s="205" t="s">
        <v>1105</v>
      </c>
      <c r="G390" s="3">
        <v>2004</v>
      </c>
      <c r="H390" s="205" t="s">
        <v>2276</v>
      </c>
      <c r="I390" s="205" t="s">
        <v>2276</v>
      </c>
      <c r="J390" s="3" t="s">
        <v>2276</v>
      </c>
      <c r="K390" s="3" t="s">
        <v>2276</v>
      </c>
      <c r="L390" s="3">
        <v>3</v>
      </c>
      <c r="M390" s="3" t="s">
        <v>6250</v>
      </c>
      <c r="N390" s="4" t="s">
        <v>6251</v>
      </c>
    </row>
    <row r="391" spans="1:14" s="204" customFormat="1" ht="130" customHeight="1">
      <c r="A391" s="205" t="s">
        <v>6151</v>
      </c>
      <c r="B391" s="205" t="s">
        <v>6200</v>
      </c>
      <c r="C391" s="205" t="s">
        <v>1105</v>
      </c>
      <c r="D391" s="205" t="s">
        <v>1105</v>
      </c>
      <c r="E391" s="4" t="s">
        <v>3209</v>
      </c>
      <c r="F391" s="205" t="s">
        <v>1105</v>
      </c>
      <c r="G391" s="205">
        <v>2003</v>
      </c>
      <c r="H391" s="205" t="s">
        <v>2276</v>
      </c>
      <c r="I391" s="205" t="s">
        <v>2276</v>
      </c>
      <c r="J391" s="205" t="s">
        <v>2276</v>
      </c>
      <c r="K391" s="205" t="s">
        <v>2276</v>
      </c>
      <c r="L391" s="205">
        <v>2</v>
      </c>
      <c r="M391" s="4" t="s">
        <v>6746</v>
      </c>
      <c r="N391" s="4"/>
    </row>
    <row r="392" spans="1:14" ht="59" customHeight="1">
      <c r="A392" s="205" t="s">
        <v>6151</v>
      </c>
      <c r="B392" s="205" t="s">
        <v>6201</v>
      </c>
      <c r="C392" s="205" t="s">
        <v>1105</v>
      </c>
      <c r="D392" s="205" t="s">
        <v>1105</v>
      </c>
      <c r="E392" s="4" t="s">
        <v>5801</v>
      </c>
      <c r="F392" s="205" t="s">
        <v>160</v>
      </c>
      <c r="G392" s="3"/>
      <c r="H392" s="3" t="s">
        <v>2276</v>
      </c>
      <c r="I392" s="3" t="s">
        <v>2276</v>
      </c>
      <c r="J392" s="3">
        <v>0</v>
      </c>
      <c r="K392" s="205" t="s">
        <v>5215</v>
      </c>
      <c r="L392" s="3" t="s">
        <v>2276</v>
      </c>
      <c r="M392" s="3" t="s">
        <v>2276</v>
      </c>
      <c r="N392" s="4"/>
    </row>
    <row r="393" spans="1:14" ht="130" customHeight="1">
      <c r="A393" s="3" t="s">
        <v>6152</v>
      </c>
      <c r="B393" s="3" t="s">
        <v>6202</v>
      </c>
      <c r="C393" s="205" t="s">
        <v>1105</v>
      </c>
      <c r="D393" s="205" t="s">
        <v>1105</v>
      </c>
      <c r="E393" s="4" t="s">
        <v>3209</v>
      </c>
      <c r="F393" s="205" t="s">
        <v>1105</v>
      </c>
      <c r="G393" s="3"/>
      <c r="H393" s="205" t="s">
        <v>2276</v>
      </c>
      <c r="I393" s="205" t="s">
        <v>2276</v>
      </c>
      <c r="J393" s="3" t="s">
        <v>2276</v>
      </c>
      <c r="K393" s="3" t="s">
        <v>2276</v>
      </c>
      <c r="L393" s="3">
        <v>3</v>
      </c>
      <c r="M393" s="3" t="s">
        <v>6250</v>
      </c>
      <c r="N393" s="4" t="s">
        <v>6252</v>
      </c>
    </row>
    <row r="394" spans="1:14" ht="43.5" customHeight="1">
      <c r="A394" s="3" t="s">
        <v>6152</v>
      </c>
      <c r="B394" s="3" t="s">
        <v>6259</v>
      </c>
      <c r="C394" s="205" t="s">
        <v>1105</v>
      </c>
      <c r="D394" s="205" t="s">
        <v>1105</v>
      </c>
      <c r="E394" s="4" t="s">
        <v>5801</v>
      </c>
      <c r="F394" s="205" t="s">
        <v>160</v>
      </c>
      <c r="G394" s="3"/>
      <c r="H394" s="3" t="s">
        <v>2276</v>
      </c>
      <c r="I394" s="3" t="s">
        <v>2276</v>
      </c>
      <c r="J394" s="3">
        <v>0</v>
      </c>
      <c r="K394" s="3" t="s">
        <v>5215</v>
      </c>
      <c r="L394" s="3" t="s">
        <v>2276</v>
      </c>
      <c r="M394" s="3" t="s">
        <v>2276</v>
      </c>
      <c r="N394" s="4"/>
    </row>
    <row r="395" spans="1:14" ht="153.5" customHeight="1">
      <c r="A395" s="205" t="s">
        <v>6153</v>
      </c>
      <c r="B395" s="205" t="s">
        <v>6203</v>
      </c>
      <c r="C395" s="205" t="s">
        <v>1105</v>
      </c>
      <c r="D395" s="205" t="s">
        <v>1105</v>
      </c>
      <c r="E395" s="4" t="s">
        <v>3209</v>
      </c>
      <c r="F395" s="205" t="s">
        <v>1105</v>
      </c>
      <c r="G395" s="3"/>
      <c r="H395" s="205" t="s">
        <v>2276</v>
      </c>
      <c r="I395" s="205" t="s">
        <v>2276</v>
      </c>
      <c r="J395" s="3" t="s">
        <v>2276</v>
      </c>
      <c r="K395" s="3" t="s">
        <v>2276</v>
      </c>
      <c r="L395" s="3">
        <v>3</v>
      </c>
      <c r="M395" s="3" t="s">
        <v>6250</v>
      </c>
      <c r="N395" s="4" t="s">
        <v>6252</v>
      </c>
    </row>
    <row r="396" spans="1:14" ht="65.5" customHeight="1">
      <c r="A396" s="205" t="s">
        <v>6153</v>
      </c>
      <c r="B396" s="205" t="s">
        <v>6260</v>
      </c>
      <c r="C396" s="205" t="s">
        <v>1105</v>
      </c>
      <c r="D396" s="205" t="s">
        <v>1105</v>
      </c>
      <c r="E396" s="4" t="s">
        <v>5801</v>
      </c>
      <c r="F396" s="205" t="s">
        <v>160</v>
      </c>
      <c r="G396" s="3"/>
      <c r="H396" s="3" t="s">
        <v>2276</v>
      </c>
      <c r="I396" s="3" t="s">
        <v>2276</v>
      </c>
      <c r="J396" s="3">
        <v>0</v>
      </c>
      <c r="K396" s="3" t="s">
        <v>5215</v>
      </c>
      <c r="L396" s="3" t="s">
        <v>2276</v>
      </c>
      <c r="M396" s="3" t="s">
        <v>2276</v>
      </c>
      <c r="N396" s="4"/>
    </row>
    <row r="397" spans="1:14" s="204" customFormat="1" ht="142.5" customHeight="1">
      <c r="A397" s="3" t="s">
        <v>6747</v>
      </c>
      <c r="B397" s="3" t="s">
        <v>6748</v>
      </c>
      <c r="C397" s="205" t="s">
        <v>1105</v>
      </c>
      <c r="D397" s="205" t="s">
        <v>1105</v>
      </c>
      <c r="E397" s="4" t="s">
        <v>3209</v>
      </c>
      <c r="F397" s="205" t="s">
        <v>1105</v>
      </c>
      <c r="G397" s="205"/>
      <c r="H397" s="205" t="s">
        <v>2276</v>
      </c>
      <c r="I397" s="205" t="s">
        <v>2276</v>
      </c>
      <c r="J397" s="205" t="s">
        <v>2276</v>
      </c>
      <c r="K397" s="205" t="s">
        <v>2276</v>
      </c>
      <c r="L397" s="205">
        <v>3</v>
      </c>
      <c r="M397" s="205" t="s">
        <v>6250</v>
      </c>
      <c r="N397" s="4" t="s">
        <v>6253</v>
      </c>
    </row>
    <row r="398" spans="1:14" s="204" customFormat="1" ht="46.5" customHeight="1">
      <c r="A398" s="3" t="s">
        <v>6747</v>
      </c>
      <c r="B398" s="205" t="s">
        <v>6750</v>
      </c>
      <c r="C398" s="205" t="s">
        <v>1105</v>
      </c>
      <c r="D398" s="205" t="s">
        <v>1105</v>
      </c>
      <c r="E398" s="4" t="s">
        <v>5801</v>
      </c>
      <c r="F398" s="205" t="s">
        <v>160</v>
      </c>
      <c r="G398" s="205"/>
      <c r="H398" s="205" t="s">
        <v>2276</v>
      </c>
      <c r="I398" s="205" t="s">
        <v>2276</v>
      </c>
      <c r="J398" s="205">
        <v>0</v>
      </c>
      <c r="K398" s="205" t="s">
        <v>5215</v>
      </c>
      <c r="L398" s="205" t="s">
        <v>2276</v>
      </c>
      <c r="M398" s="205" t="s">
        <v>2276</v>
      </c>
      <c r="N398" s="4"/>
    </row>
    <row r="399" spans="1:14" s="204" customFormat="1" ht="46.5" customHeight="1">
      <c r="A399" s="4" t="s">
        <v>6154</v>
      </c>
      <c r="B399" s="4" t="s">
        <v>6204</v>
      </c>
      <c r="C399" s="205" t="s">
        <v>1105</v>
      </c>
      <c r="D399" s="205" t="s">
        <v>1105</v>
      </c>
      <c r="E399" s="4" t="s">
        <v>5801</v>
      </c>
      <c r="F399" s="205" t="s">
        <v>160</v>
      </c>
      <c r="G399" s="205"/>
      <c r="H399" s="205" t="s">
        <v>2276</v>
      </c>
      <c r="I399" s="205" t="s">
        <v>2276</v>
      </c>
      <c r="J399" s="205">
        <v>0</v>
      </c>
      <c r="K399" s="205" t="s">
        <v>5215</v>
      </c>
      <c r="L399" s="205" t="s">
        <v>2276</v>
      </c>
      <c r="M399" s="205" t="s">
        <v>2276</v>
      </c>
      <c r="N399" s="4"/>
    </row>
    <row r="400" spans="1:14" s="204" customFormat="1" ht="46.5" customHeight="1">
      <c r="A400" s="4" t="s">
        <v>6155</v>
      </c>
      <c r="B400" s="4" t="s">
        <v>6205</v>
      </c>
      <c r="C400" s="205" t="s">
        <v>1105</v>
      </c>
      <c r="D400" s="205" t="s">
        <v>1105</v>
      </c>
      <c r="E400" s="4" t="s">
        <v>5801</v>
      </c>
      <c r="F400" s="205" t="s">
        <v>160</v>
      </c>
      <c r="G400" s="205"/>
      <c r="H400" s="205" t="s">
        <v>2276</v>
      </c>
      <c r="I400" s="205" t="s">
        <v>2276</v>
      </c>
      <c r="J400" s="205">
        <v>0</v>
      </c>
      <c r="K400" s="205" t="s">
        <v>5215</v>
      </c>
      <c r="L400" s="205" t="s">
        <v>2276</v>
      </c>
      <c r="M400" s="205" t="s">
        <v>2276</v>
      </c>
      <c r="N400" s="4"/>
    </row>
    <row r="401" spans="1:14" s="204" customFormat="1" ht="46.5" customHeight="1">
      <c r="A401" s="4" t="s">
        <v>6156</v>
      </c>
      <c r="B401" s="4" t="s">
        <v>6206</v>
      </c>
      <c r="C401" s="205" t="s">
        <v>1105</v>
      </c>
      <c r="D401" s="205" t="s">
        <v>1105</v>
      </c>
      <c r="E401" s="4" t="s">
        <v>5801</v>
      </c>
      <c r="F401" s="205" t="s">
        <v>160</v>
      </c>
      <c r="G401" s="205"/>
      <c r="H401" s="205" t="s">
        <v>2276</v>
      </c>
      <c r="I401" s="205" t="s">
        <v>2276</v>
      </c>
      <c r="J401" s="205">
        <v>0</v>
      </c>
      <c r="K401" s="205" t="s">
        <v>5215</v>
      </c>
      <c r="L401" s="205" t="s">
        <v>2276</v>
      </c>
      <c r="M401" s="205" t="s">
        <v>2276</v>
      </c>
      <c r="N401" s="4"/>
    </row>
    <row r="402" spans="1:14" s="204" customFormat="1" ht="46.5" customHeight="1">
      <c r="A402" s="4" t="s">
        <v>6157</v>
      </c>
      <c r="B402" s="4" t="s">
        <v>6207</v>
      </c>
      <c r="C402" s="205" t="s">
        <v>1105</v>
      </c>
      <c r="D402" s="205" t="s">
        <v>1105</v>
      </c>
      <c r="E402" s="4" t="s">
        <v>5801</v>
      </c>
      <c r="F402" s="205" t="s">
        <v>160</v>
      </c>
      <c r="G402" s="205"/>
      <c r="H402" s="205" t="s">
        <v>2276</v>
      </c>
      <c r="I402" s="205" t="s">
        <v>2276</v>
      </c>
      <c r="J402" s="205">
        <v>0</v>
      </c>
      <c r="K402" s="205" t="s">
        <v>5215</v>
      </c>
      <c r="L402" s="205" t="s">
        <v>2276</v>
      </c>
      <c r="M402" s="205" t="s">
        <v>2276</v>
      </c>
      <c r="N402" s="4"/>
    </row>
    <row r="403" spans="1:14" s="204" customFormat="1" ht="46.5" customHeight="1">
      <c r="A403" s="4" t="s">
        <v>6158</v>
      </c>
      <c r="B403" s="4" t="s">
        <v>6208</v>
      </c>
      <c r="C403" s="205" t="s">
        <v>1105</v>
      </c>
      <c r="D403" s="205" t="s">
        <v>1105</v>
      </c>
      <c r="E403" s="4" t="s">
        <v>5801</v>
      </c>
      <c r="F403" s="205" t="s">
        <v>160</v>
      </c>
      <c r="G403" s="205"/>
      <c r="H403" s="205" t="s">
        <v>2276</v>
      </c>
      <c r="I403" s="205" t="s">
        <v>2276</v>
      </c>
      <c r="J403" s="205">
        <v>0</v>
      </c>
      <c r="K403" s="205" t="s">
        <v>5215</v>
      </c>
      <c r="L403" s="205" t="s">
        <v>2276</v>
      </c>
      <c r="M403" s="205" t="s">
        <v>2276</v>
      </c>
      <c r="N403" s="4"/>
    </row>
    <row r="404" spans="1:14" s="204" customFormat="1" ht="46.5" customHeight="1">
      <c r="A404" s="4" t="s">
        <v>6159</v>
      </c>
      <c r="B404" s="4" t="s">
        <v>6209</v>
      </c>
      <c r="C404" s="205" t="s">
        <v>1105</v>
      </c>
      <c r="D404" s="205" t="s">
        <v>1105</v>
      </c>
      <c r="E404" s="4" t="s">
        <v>5801</v>
      </c>
      <c r="F404" s="205" t="s">
        <v>160</v>
      </c>
      <c r="G404" s="205"/>
      <c r="H404" s="205" t="s">
        <v>2276</v>
      </c>
      <c r="I404" s="205" t="s">
        <v>2276</v>
      </c>
      <c r="J404" s="205">
        <v>0</v>
      </c>
      <c r="K404" s="205" t="s">
        <v>5215</v>
      </c>
      <c r="L404" s="205" t="s">
        <v>2276</v>
      </c>
      <c r="M404" s="205" t="s">
        <v>2276</v>
      </c>
      <c r="N404" s="4"/>
    </row>
    <row r="405" spans="1:14" ht="46.5" customHeight="1">
      <c r="A405" s="44" t="s">
        <v>6161</v>
      </c>
      <c r="B405" s="44" t="s">
        <v>6211</v>
      </c>
      <c r="C405" s="44" t="s">
        <v>24</v>
      </c>
      <c r="D405" s="44" t="s">
        <v>2346</v>
      </c>
      <c r="E405" s="58" t="s">
        <v>5801</v>
      </c>
      <c r="F405" s="44" t="s">
        <v>74</v>
      </c>
      <c r="G405" s="3"/>
      <c r="H405" s="3" t="s">
        <v>2276</v>
      </c>
      <c r="I405" s="3" t="s">
        <v>2276</v>
      </c>
      <c r="J405" s="3">
        <v>0</v>
      </c>
      <c r="K405" s="3" t="s">
        <v>5215</v>
      </c>
      <c r="L405" s="3" t="s">
        <v>2276</v>
      </c>
      <c r="M405" s="3" t="s">
        <v>2276</v>
      </c>
      <c r="N405" s="3"/>
    </row>
    <row r="406" spans="1:14" ht="46.5" customHeight="1">
      <c r="A406" s="44" t="s">
        <v>6161</v>
      </c>
      <c r="B406" s="44" t="s">
        <v>6212</v>
      </c>
      <c r="C406" s="44" t="s">
        <v>2656</v>
      </c>
      <c r="D406" s="44" t="s">
        <v>2276</v>
      </c>
      <c r="E406" s="58" t="s">
        <v>5801</v>
      </c>
      <c r="F406" s="44" t="s">
        <v>74</v>
      </c>
      <c r="G406" s="3"/>
      <c r="H406" s="3" t="s">
        <v>2276</v>
      </c>
      <c r="I406" s="3" t="s">
        <v>2276</v>
      </c>
      <c r="J406" s="3">
        <v>0</v>
      </c>
      <c r="K406" s="3" t="s">
        <v>5215</v>
      </c>
      <c r="L406" s="3" t="s">
        <v>2276</v>
      </c>
      <c r="M406" s="3" t="s">
        <v>2276</v>
      </c>
      <c r="N406" s="3"/>
    </row>
    <row r="407" spans="1:14" ht="46.5" customHeight="1">
      <c r="A407" s="44" t="s">
        <v>6161</v>
      </c>
      <c r="B407" s="44" t="s">
        <v>6213</v>
      </c>
      <c r="C407" s="44" t="s">
        <v>2658</v>
      </c>
      <c r="D407" s="44" t="s">
        <v>2276</v>
      </c>
      <c r="E407" s="58" t="s">
        <v>5801</v>
      </c>
      <c r="F407" s="44" t="s">
        <v>74</v>
      </c>
      <c r="G407" s="3"/>
      <c r="H407" s="3" t="s">
        <v>2276</v>
      </c>
      <c r="I407" s="3" t="s">
        <v>2276</v>
      </c>
      <c r="J407" s="3">
        <v>0</v>
      </c>
      <c r="K407" s="3" t="s">
        <v>5215</v>
      </c>
      <c r="L407" s="3" t="s">
        <v>2276</v>
      </c>
      <c r="M407" s="3" t="s">
        <v>2276</v>
      </c>
      <c r="N407" s="3"/>
    </row>
    <row r="408" spans="1:14" ht="46.5" customHeight="1">
      <c r="A408" s="3" t="s">
        <v>6162</v>
      </c>
      <c r="B408" s="3" t="s">
        <v>6214</v>
      </c>
      <c r="C408" s="205" t="s">
        <v>1105</v>
      </c>
      <c r="D408" s="205" t="s">
        <v>1105</v>
      </c>
      <c r="E408" s="4" t="s">
        <v>5801</v>
      </c>
      <c r="F408" s="205" t="s">
        <v>160</v>
      </c>
      <c r="G408" s="3"/>
      <c r="H408" s="3" t="s">
        <v>2276</v>
      </c>
      <c r="I408" s="3" t="s">
        <v>2276</v>
      </c>
      <c r="J408" s="3">
        <v>0</v>
      </c>
      <c r="K408" s="3" t="s">
        <v>5215</v>
      </c>
      <c r="L408" s="205" t="s">
        <v>2276</v>
      </c>
      <c r="M408" s="205" t="s">
        <v>2276</v>
      </c>
      <c r="N408" s="3"/>
    </row>
    <row r="409" spans="1:14" ht="68" customHeight="1">
      <c r="A409" s="205" t="s">
        <v>6162</v>
      </c>
      <c r="B409" s="205" t="s">
        <v>6215</v>
      </c>
      <c r="C409" s="3" t="s">
        <v>1105</v>
      </c>
      <c r="D409" s="3" t="s">
        <v>1105</v>
      </c>
      <c r="E409" s="4" t="s">
        <v>3209</v>
      </c>
      <c r="F409" s="3" t="s">
        <v>74</v>
      </c>
      <c r="G409" s="3"/>
      <c r="H409" s="3">
        <v>2</v>
      </c>
      <c r="I409" s="3" t="s">
        <v>6254</v>
      </c>
      <c r="J409" s="3">
        <v>2</v>
      </c>
      <c r="K409" s="3" t="s">
        <v>6254</v>
      </c>
      <c r="L409" s="205">
        <v>3</v>
      </c>
      <c r="M409" s="205" t="s">
        <v>6768</v>
      </c>
      <c r="N409" s="3"/>
    </row>
    <row r="410" spans="1:14" s="204" customFormat="1" ht="68" customHeight="1">
      <c r="A410" s="205" t="s">
        <v>6163</v>
      </c>
      <c r="B410" s="205" t="s">
        <v>6218</v>
      </c>
      <c r="C410" s="205" t="s">
        <v>1105</v>
      </c>
      <c r="D410" s="205" t="s">
        <v>1105</v>
      </c>
      <c r="E410" s="4" t="s">
        <v>5801</v>
      </c>
      <c r="F410" s="205" t="s">
        <v>160</v>
      </c>
      <c r="G410" s="205"/>
      <c r="H410" s="205" t="s">
        <v>2276</v>
      </c>
      <c r="I410" s="205" t="s">
        <v>2276</v>
      </c>
      <c r="J410" s="205">
        <v>0</v>
      </c>
      <c r="K410" s="205" t="s">
        <v>5215</v>
      </c>
      <c r="L410" s="205" t="s">
        <v>2276</v>
      </c>
      <c r="M410" s="205" t="s">
        <v>2276</v>
      </c>
      <c r="N410" s="205" t="s">
        <v>6785</v>
      </c>
    </row>
    <row r="411" spans="1:14" s="204" customFormat="1" ht="68" customHeight="1">
      <c r="A411" s="205" t="s">
        <v>6164</v>
      </c>
      <c r="B411" s="205" t="s">
        <v>6219</v>
      </c>
      <c r="C411" s="205" t="s">
        <v>1105</v>
      </c>
      <c r="D411" s="205" t="s">
        <v>1105</v>
      </c>
      <c r="E411" s="4" t="s">
        <v>5801</v>
      </c>
      <c r="F411" s="205" t="s">
        <v>160</v>
      </c>
      <c r="G411" s="205"/>
      <c r="H411" s="205" t="s">
        <v>2276</v>
      </c>
      <c r="I411" s="205" t="s">
        <v>2276</v>
      </c>
      <c r="J411" s="205">
        <v>0</v>
      </c>
      <c r="K411" s="205" t="s">
        <v>5215</v>
      </c>
      <c r="L411" s="205" t="s">
        <v>2276</v>
      </c>
      <c r="M411" s="205" t="s">
        <v>2276</v>
      </c>
      <c r="N411" s="205" t="s">
        <v>6785</v>
      </c>
    </row>
    <row r="412" spans="1:14" s="204" customFormat="1" ht="68" customHeight="1">
      <c r="A412" s="205" t="s">
        <v>6165</v>
      </c>
      <c r="B412" s="205" t="s">
        <v>6220</v>
      </c>
      <c r="C412" s="205" t="s">
        <v>1105</v>
      </c>
      <c r="D412" s="205" t="s">
        <v>1105</v>
      </c>
      <c r="E412" s="4" t="s">
        <v>5801</v>
      </c>
      <c r="F412" s="205" t="s">
        <v>160</v>
      </c>
      <c r="G412" s="205"/>
      <c r="H412" s="205" t="s">
        <v>2276</v>
      </c>
      <c r="I412" s="205" t="s">
        <v>2276</v>
      </c>
      <c r="J412" s="205">
        <v>0</v>
      </c>
      <c r="K412" s="205" t="s">
        <v>5215</v>
      </c>
      <c r="L412" s="205" t="s">
        <v>2276</v>
      </c>
      <c r="M412" s="205" t="s">
        <v>2276</v>
      </c>
      <c r="N412" s="205" t="s">
        <v>6785</v>
      </c>
    </row>
    <row r="413" spans="1:14" s="204" customFormat="1" ht="68" customHeight="1">
      <c r="A413" s="205" t="s">
        <v>6164</v>
      </c>
      <c r="B413" s="205" t="s">
        <v>6777</v>
      </c>
      <c r="C413" s="205" t="s">
        <v>1105</v>
      </c>
      <c r="D413" s="205" t="s">
        <v>1105</v>
      </c>
      <c r="E413" s="4" t="s">
        <v>3209</v>
      </c>
      <c r="F413" s="205" t="s">
        <v>1105</v>
      </c>
      <c r="G413" s="205"/>
      <c r="H413" s="205" t="s">
        <v>2276</v>
      </c>
      <c r="I413" s="205" t="s">
        <v>2276</v>
      </c>
      <c r="J413" s="205" t="s">
        <v>2276</v>
      </c>
      <c r="K413" s="205" t="s">
        <v>2276</v>
      </c>
      <c r="L413" s="205">
        <v>3</v>
      </c>
      <c r="M413" s="205" t="s">
        <v>6784</v>
      </c>
      <c r="N413" s="205"/>
    </row>
    <row r="414" spans="1:14" s="204" customFormat="1" ht="68" customHeight="1">
      <c r="A414" s="205" t="s">
        <v>6165</v>
      </c>
      <c r="B414" s="205" t="s">
        <v>6778</v>
      </c>
      <c r="C414" s="205" t="s">
        <v>1105</v>
      </c>
      <c r="D414" s="205" t="s">
        <v>1105</v>
      </c>
      <c r="E414" s="4" t="s">
        <v>3209</v>
      </c>
      <c r="F414" s="205" t="s">
        <v>1105</v>
      </c>
      <c r="G414" s="205"/>
      <c r="H414" s="205" t="s">
        <v>2276</v>
      </c>
      <c r="I414" s="205" t="s">
        <v>2276</v>
      </c>
      <c r="J414" s="205" t="s">
        <v>2276</v>
      </c>
      <c r="K414" s="205" t="s">
        <v>2276</v>
      </c>
      <c r="L414" s="205">
        <v>3</v>
      </c>
      <c r="M414" s="205" t="s">
        <v>6784</v>
      </c>
      <c r="N414" s="205"/>
    </row>
    <row r="415" spans="1:14" s="204" customFormat="1" ht="68" customHeight="1">
      <c r="A415" s="205" t="s">
        <v>6166</v>
      </c>
      <c r="B415" s="205" t="s">
        <v>6221</v>
      </c>
      <c r="C415" s="205" t="s">
        <v>1105</v>
      </c>
      <c r="D415" s="205" t="s">
        <v>1105</v>
      </c>
      <c r="E415" s="4" t="s">
        <v>5801</v>
      </c>
      <c r="F415" s="205" t="s">
        <v>160</v>
      </c>
      <c r="G415" s="205"/>
      <c r="H415" s="205" t="s">
        <v>2276</v>
      </c>
      <c r="I415" s="205" t="s">
        <v>2276</v>
      </c>
      <c r="J415" s="205">
        <v>0</v>
      </c>
      <c r="K415" s="4" t="s">
        <v>6877</v>
      </c>
      <c r="L415" s="205" t="s">
        <v>2276</v>
      </c>
      <c r="M415" s="205" t="s">
        <v>2276</v>
      </c>
      <c r="N415" s="205"/>
    </row>
    <row r="416" spans="1:14" s="204" customFormat="1" ht="68" customHeight="1">
      <c r="A416" s="205" t="s">
        <v>6167</v>
      </c>
      <c r="B416" s="205" t="s">
        <v>6222</v>
      </c>
      <c r="C416" s="205" t="s">
        <v>1105</v>
      </c>
      <c r="D416" s="205" t="s">
        <v>1105</v>
      </c>
      <c r="E416" s="4" t="s">
        <v>5801</v>
      </c>
      <c r="F416" s="205" t="s">
        <v>160</v>
      </c>
      <c r="G416" s="205"/>
      <c r="H416" s="205" t="s">
        <v>2276</v>
      </c>
      <c r="I416" s="205" t="s">
        <v>2276</v>
      </c>
      <c r="J416" s="205">
        <v>0</v>
      </c>
      <c r="K416" s="4" t="s">
        <v>6877</v>
      </c>
      <c r="L416" s="205" t="s">
        <v>2276</v>
      </c>
      <c r="M416" s="205" t="s">
        <v>2276</v>
      </c>
      <c r="N416" s="205"/>
    </row>
    <row r="417" spans="1:14" ht="68" customHeight="1">
      <c r="A417" s="3" t="s">
        <v>6168</v>
      </c>
      <c r="B417" s="3" t="s">
        <v>6223</v>
      </c>
      <c r="C417" s="205" t="s">
        <v>24</v>
      </c>
      <c r="D417" s="205" t="s">
        <v>25</v>
      </c>
      <c r="E417" s="4" t="s">
        <v>3855</v>
      </c>
      <c r="F417" s="205" t="s">
        <v>29</v>
      </c>
      <c r="G417" s="3"/>
      <c r="H417" s="205">
        <v>1</v>
      </c>
      <c r="I417" s="4" t="s">
        <v>6853</v>
      </c>
      <c r="J417" s="205">
        <v>1</v>
      </c>
      <c r="K417" s="4" t="s">
        <v>6854</v>
      </c>
      <c r="L417" s="205" t="s">
        <v>2276</v>
      </c>
      <c r="M417" s="52" t="s">
        <v>2276</v>
      </c>
      <c r="N417" s="205"/>
    </row>
    <row r="418" spans="1:14" ht="68" customHeight="1">
      <c r="A418" s="3" t="s">
        <v>6168</v>
      </c>
      <c r="B418" s="3" t="s">
        <v>6224</v>
      </c>
      <c r="C418" s="205" t="s">
        <v>1105</v>
      </c>
      <c r="D418" s="205" t="s">
        <v>1105</v>
      </c>
      <c r="E418" s="4" t="s">
        <v>5801</v>
      </c>
      <c r="F418" s="205" t="s">
        <v>160</v>
      </c>
      <c r="G418" s="3"/>
      <c r="H418" s="3" t="s">
        <v>2276</v>
      </c>
      <c r="I418" s="3" t="s">
        <v>2276</v>
      </c>
      <c r="J418" s="3">
        <v>0</v>
      </c>
      <c r="K418" s="3" t="s">
        <v>5215</v>
      </c>
      <c r="L418" s="3" t="s">
        <v>2276</v>
      </c>
      <c r="M418" s="3" t="s">
        <v>2276</v>
      </c>
      <c r="N418" s="3"/>
    </row>
    <row r="419" spans="1:14" ht="68" customHeight="1">
      <c r="A419" s="205" t="s">
        <v>6168</v>
      </c>
      <c r="B419" s="205" t="s">
        <v>6225</v>
      </c>
      <c r="C419" s="205" t="s">
        <v>1105</v>
      </c>
      <c r="D419" s="205" t="s">
        <v>1105</v>
      </c>
      <c r="E419" s="4" t="s">
        <v>3209</v>
      </c>
      <c r="F419" s="4" t="s">
        <v>2276</v>
      </c>
      <c r="G419" s="3"/>
      <c r="H419" s="205">
        <v>1</v>
      </c>
      <c r="I419" s="4" t="s">
        <v>6855</v>
      </c>
      <c r="J419" s="205">
        <v>2</v>
      </c>
      <c r="K419" s="4" t="s">
        <v>6856</v>
      </c>
      <c r="L419" s="205">
        <v>3</v>
      </c>
      <c r="M419" s="4" t="s">
        <v>6857</v>
      </c>
      <c r="N419" s="3"/>
    </row>
    <row r="420" spans="1:14" s="204" customFormat="1" ht="68" customHeight="1">
      <c r="A420" s="205" t="s">
        <v>6168</v>
      </c>
      <c r="B420" s="205" t="s">
        <v>6226</v>
      </c>
      <c r="C420" s="205" t="s">
        <v>24</v>
      </c>
      <c r="D420" s="205" t="s">
        <v>2659</v>
      </c>
      <c r="E420" s="4" t="s">
        <v>3855</v>
      </c>
      <c r="F420" s="4" t="s">
        <v>28</v>
      </c>
      <c r="G420" s="205"/>
      <c r="H420" s="205">
        <v>0</v>
      </c>
      <c r="I420" s="4" t="s">
        <v>6860</v>
      </c>
      <c r="J420" s="205" t="s">
        <v>2276</v>
      </c>
      <c r="K420" s="205" t="s">
        <v>2276</v>
      </c>
      <c r="L420" s="205" t="s">
        <v>2276</v>
      </c>
      <c r="M420" s="205" t="s">
        <v>2276</v>
      </c>
      <c r="N420" s="205"/>
    </row>
    <row r="421" spans="1:14" ht="68" customHeight="1">
      <c r="A421" s="205" t="s">
        <v>6169</v>
      </c>
      <c r="B421" s="205" t="s">
        <v>6229</v>
      </c>
      <c r="C421" s="205" t="s">
        <v>24</v>
      </c>
      <c r="D421" s="205" t="s">
        <v>25</v>
      </c>
      <c r="E421" s="4" t="s">
        <v>3855</v>
      </c>
      <c r="F421" s="205" t="s">
        <v>29</v>
      </c>
      <c r="G421" s="205"/>
      <c r="H421" s="205">
        <v>1</v>
      </c>
      <c r="I421" s="4" t="s">
        <v>6853</v>
      </c>
      <c r="J421" s="205">
        <v>1</v>
      </c>
      <c r="K421" s="4" t="s">
        <v>6854</v>
      </c>
      <c r="L421" s="205" t="s">
        <v>2276</v>
      </c>
      <c r="M421" s="52" t="s">
        <v>2276</v>
      </c>
      <c r="N421" s="205"/>
    </row>
    <row r="422" spans="1:14" ht="68" customHeight="1">
      <c r="A422" s="205" t="s">
        <v>6169</v>
      </c>
      <c r="B422" s="205" t="s">
        <v>6787</v>
      </c>
      <c r="C422" s="205" t="s">
        <v>1105</v>
      </c>
      <c r="D422" s="205" t="s">
        <v>1105</v>
      </c>
      <c r="E422" s="4" t="s">
        <v>5801</v>
      </c>
      <c r="F422" s="205" t="s">
        <v>160</v>
      </c>
      <c r="G422" s="205"/>
      <c r="H422" s="205" t="s">
        <v>2276</v>
      </c>
      <c r="I422" s="205" t="s">
        <v>2276</v>
      </c>
      <c r="J422" s="205">
        <v>0</v>
      </c>
      <c r="K422" s="205" t="s">
        <v>5215</v>
      </c>
      <c r="L422" s="205" t="s">
        <v>2276</v>
      </c>
      <c r="M422" s="205" t="s">
        <v>2276</v>
      </c>
      <c r="N422" s="205"/>
    </row>
    <row r="423" spans="1:14" ht="68" customHeight="1">
      <c r="A423" s="205" t="s">
        <v>6169</v>
      </c>
      <c r="B423" s="205" t="s">
        <v>6788</v>
      </c>
      <c r="C423" s="205" t="s">
        <v>1105</v>
      </c>
      <c r="D423" s="205" t="s">
        <v>1105</v>
      </c>
      <c r="E423" s="4" t="s">
        <v>3209</v>
      </c>
      <c r="F423" s="4" t="s">
        <v>2276</v>
      </c>
      <c r="G423" s="205"/>
      <c r="H423" s="205">
        <v>1</v>
      </c>
      <c r="I423" s="4" t="s">
        <v>6855</v>
      </c>
      <c r="J423" s="205">
        <v>2</v>
      </c>
      <c r="K423" s="4" t="s">
        <v>6856</v>
      </c>
      <c r="L423" s="205">
        <v>3</v>
      </c>
      <c r="M423" s="4" t="s">
        <v>6857</v>
      </c>
      <c r="N423" s="205"/>
    </row>
    <row r="424" spans="1:14" s="204" customFormat="1" ht="68" customHeight="1">
      <c r="A424" s="205" t="s">
        <v>6169</v>
      </c>
      <c r="B424" s="205" t="s">
        <v>6789</v>
      </c>
      <c r="C424" s="205" t="s">
        <v>24</v>
      </c>
      <c r="D424" s="205" t="s">
        <v>2659</v>
      </c>
      <c r="E424" s="4" t="s">
        <v>3855</v>
      </c>
      <c r="F424" s="4" t="s">
        <v>28</v>
      </c>
      <c r="G424" s="205"/>
      <c r="H424" s="205">
        <v>0</v>
      </c>
      <c r="I424" s="4" t="s">
        <v>6860</v>
      </c>
      <c r="J424" s="205" t="s">
        <v>2276</v>
      </c>
      <c r="K424" s="205" t="s">
        <v>2276</v>
      </c>
      <c r="L424" s="205" t="s">
        <v>2276</v>
      </c>
      <c r="M424" s="205" t="s">
        <v>2276</v>
      </c>
      <c r="N424" s="205"/>
    </row>
    <row r="425" spans="1:14" ht="68" customHeight="1">
      <c r="A425" s="205" t="s">
        <v>6170</v>
      </c>
      <c r="B425" s="205" t="s">
        <v>6230</v>
      </c>
      <c r="C425" s="205" t="s">
        <v>24</v>
      </c>
      <c r="D425" s="205" t="s">
        <v>25</v>
      </c>
      <c r="E425" s="4" t="s">
        <v>3855</v>
      </c>
      <c r="F425" s="205" t="s">
        <v>29</v>
      </c>
      <c r="G425" s="205"/>
      <c r="H425" s="205">
        <v>1</v>
      </c>
      <c r="I425" s="4" t="s">
        <v>6853</v>
      </c>
      <c r="J425" s="205">
        <v>1</v>
      </c>
      <c r="K425" s="4" t="s">
        <v>6854</v>
      </c>
      <c r="L425" s="205" t="s">
        <v>2276</v>
      </c>
      <c r="M425" s="52" t="s">
        <v>2276</v>
      </c>
      <c r="N425" s="205"/>
    </row>
    <row r="426" spans="1:14" ht="68" customHeight="1">
      <c r="A426" s="205" t="s">
        <v>6170</v>
      </c>
      <c r="B426" s="205" t="s">
        <v>6793</v>
      </c>
      <c r="C426" s="205" t="s">
        <v>1105</v>
      </c>
      <c r="D426" s="205" t="s">
        <v>1105</v>
      </c>
      <c r="E426" s="4" t="s">
        <v>5801</v>
      </c>
      <c r="F426" s="205" t="s">
        <v>160</v>
      </c>
      <c r="G426" s="205"/>
      <c r="H426" s="205" t="s">
        <v>2276</v>
      </c>
      <c r="I426" s="205" t="s">
        <v>2276</v>
      </c>
      <c r="J426" s="205">
        <v>0</v>
      </c>
      <c r="K426" s="205" t="s">
        <v>5215</v>
      </c>
      <c r="L426" s="205" t="s">
        <v>2276</v>
      </c>
      <c r="M426" s="205" t="s">
        <v>2276</v>
      </c>
      <c r="N426" s="205"/>
    </row>
    <row r="427" spans="1:14" ht="68" customHeight="1">
      <c r="A427" s="205" t="s">
        <v>6170</v>
      </c>
      <c r="B427" s="205" t="s">
        <v>6794</v>
      </c>
      <c r="C427" s="205" t="s">
        <v>1105</v>
      </c>
      <c r="D427" s="205" t="s">
        <v>1105</v>
      </c>
      <c r="E427" s="4" t="s">
        <v>3209</v>
      </c>
      <c r="F427" s="4" t="s">
        <v>2276</v>
      </c>
      <c r="G427" s="205"/>
      <c r="H427" s="205">
        <v>1</v>
      </c>
      <c r="I427" s="4" t="s">
        <v>6855</v>
      </c>
      <c r="J427" s="205">
        <v>2</v>
      </c>
      <c r="K427" s="4" t="s">
        <v>6856</v>
      </c>
      <c r="L427" s="205">
        <v>3</v>
      </c>
      <c r="M427" s="4" t="s">
        <v>6857</v>
      </c>
      <c r="N427" s="205"/>
    </row>
    <row r="428" spans="1:14" ht="68" customHeight="1">
      <c r="A428" s="205" t="s">
        <v>6170</v>
      </c>
      <c r="B428" s="205" t="s">
        <v>6795</v>
      </c>
      <c r="C428" s="205" t="s">
        <v>24</v>
      </c>
      <c r="D428" s="205" t="s">
        <v>2659</v>
      </c>
      <c r="E428" s="4" t="s">
        <v>3855</v>
      </c>
      <c r="F428" s="4" t="s">
        <v>28</v>
      </c>
      <c r="G428" s="205"/>
      <c r="H428" s="205">
        <v>0</v>
      </c>
      <c r="I428" s="4" t="s">
        <v>6860</v>
      </c>
      <c r="J428" s="205" t="s">
        <v>2276</v>
      </c>
      <c r="K428" s="205" t="s">
        <v>2276</v>
      </c>
      <c r="L428" s="205" t="s">
        <v>2276</v>
      </c>
      <c r="M428" s="205" t="s">
        <v>2276</v>
      </c>
      <c r="N428" s="205"/>
    </row>
    <row r="429" spans="1:14" ht="68" customHeight="1">
      <c r="A429" s="205" t="s">
        <v>6171</v>
      </c>
      <c r="B429" s="205" t="s">
        <v>6231</v>
      </c>
      <c r="C429" s="205" t="s">
        <v>24</v>
      </c>
      <c r="D429" s="205" t="s">
        <v>25</v>
      </c>
      <c r="E429" s="4" t="s">
        <v>3855</v>
      </c>
      <c r="F429" s="205" t="s">
        <v>29</v>
      </c>
      <c r="G429" s="205"/>
      <c r="H429" s="205">
        <v>1</v>
      </c>
      <c r="I429" s="4" t="s">
        <v>6853</v>
      </c>
      <c r="J429" s="205">
        <v>1</v>
      </c>
      <c r="K429" s="4" t="s">
        <v>6854</v>
      </c>
      <c r="L429" s="205" t="s">
        <v>2276</v>
      </c>
      <c r="M429" s="52" t="s">
        <v>2276</v>
      </c>
      <c r="N429" s="205"/>
    </row>
    <row r="430" spans="1:14" ht="68" customHeight="1">
      <c r="A430" s="205" t="s">
        <v>6171</v>
      </c>
      <c r="B430" s="205" t="s">
        <v>6799</v>
      </c>
      <c r="C430" s="205" t="s">
        <v>1105</v>
      </c>
      <c r="D430" s="205" t="s">
        <v>1105</v>
      </c>
      <c r="E430" s="4" t="s">
        <v>5801</v>
      </c>
      <c r="F430" s="205" t="s">
        <v>160</v>
      </c>
      <c r="G430" s="205"/>
      <c r="H430" s="205" t="s">
        <v>2276</v>
      </c>
      <c r="I430" s="205" t="s">
        <v>2276</v>
      </c>
      <c r="J430" s="205">
        <v>0</v>
      </c>
      <c r="K430" s="205" t="s">
        <v>5215</v>
      </c>
      <c r="L430" s="205" t="s">
        <v>2276</v>
      </c>
      <c r="M430" s="205" t="s">
        <v>2276</v>
      </c>
      <c r="N430" s="205"/>
    </row>
    <row r="431" spans="1:14" ht="68" customHeight="1">
      <c r="A431" s="205" t="s">
        <v>6171</v>
      </c>
      <c r="B431" s="205" t="s">
        <v>6800</v>
      </c>
      <c r="C431" s="205" t="s">
        <v>1105</v>
      </c>
      <c r="D431" s="205" t="s">
        <v>1105</v>
      </c>
      <c r="E431" s="4" t="s">
        <v>3209</v>
      </c>
      <c r="F431" s="4" t="s">
        <v>2276</v>
      </c>
      <c r="G431" s="205"/>
      <c r="H431" s="205">
        <v>1</v>
      </c>
      <c r="I431" s="4" t="s">
        <v>6855</v>
      </c>
      <c r="J431" s="205">
        <v>2</v>
      </c>
      <c r="K431" s="4" t="s">
        <v>6856</v>
      </c>
      <c r="L431" s="205">
        <v>3</v>
      </c>
      <c r="M431" s="4" t="s">
        <v>6857</v>
      </c>
      <c r="N431" s="205"/>
    </row>
    <row r="432" spans="1:14" ht="68" customHeight="1">
      <c r="A432" s="205" t="s">
        <v>6171</v>
      </c>
      <c r="B432" s="205" t="s">
        <v>6801</v>
      </c>
      <c r="C432" s="205" t="s">
        <v>24</v>
      </c>
      <c r="D432" s="205" t="s">
        <v>2659</v>
      </c>
      <c r="E432" s="4" t="s">
        <v>3855</v>
      </c>
      <c r="F432" s="4" t="s">
        <v>28</v>
      </c>
      <c r="G432" s="205"/>
      <c r="H432" s="205">
        <v>0</v>
      </c>
      <c r="I432" s="4" t="s">
        <v>6860</v>
      </c>
      <c r="J432" s="205" t="s">
        <v>2276</v>
      </c>
      <c r="K432" s="205" t="s">
        <v>2276</v>
      </c>
      <c r="L432" s="205" t="s">
        <v>2276</v>
      </c>
      <c r="M432" s="205" t="s">
        <v>2276</v>
      </c>
      <c r="N432" s="205"/>
    </row>
    <row r="433" spans="1:14" ht="68" customHeight="1">
      <c r="A433" s="205" t="s">
        <v>6172</v>
      </c>
      <c r="B433" s="205" t="s">
        <v>6232</v>
      </c>
      <c r="C433" s="205" t="s">
        <v>24</v>
      </c>
      <c r="D433" s="205" t="s">
        <v>25</v>
      </c>
      <c r="E433" s="4" t="s">
        <v>3855</v>
      </c>
      <c r="F433" s="205" t="s">
        <v>29</v>
      </c>
      <c r="G433" s="205"/>
      <c r="H433" s="205">
        <v>1</v>
      </c>
      <c r="I433" s="4" t="s">
        <v>6853</v>
      </c>
      <c r="J433" s="205">
        <v>1</v>
      </c>
      <c r="K433" s="4" t="s">
        <v>6854</v>
      </c>
      <c r="L433" s="205" t="s">
        <v>2276</v>
      </c>
      <c r="M433" s="52" t="s">
        <v>2276</v>
      </c>
      <c r="N433" s="205"/>
    </row>
    <row r="434" spans="1:14" s="204" customFormat="1" ht="68" customHeight="1">
      <c r="A434" s="205" t="s">
        <v>6172</v>
      </c>
      <c r="B434" s="205" t="s">
        <v>6805</v>
      </c>
      <c r="C434" s="205" t="s">
        <v>1105</v>
      </c>
      <c r="D434" s="205" t="s">
        <v>1105</v>
      </c>
      <c r="E434" s="4" t="s">
        <v>5801</v>
      </c>
      <c r="F434" s="205" t="s">
        <v>160</v>
      </c>
      <c r="G434" s="205"/>
      <c r="H434" s="205" t="s">
        <v>2276</v>
      </c>
      <c r="I434" s="205" t="s">
        <v>2276</v>
      </c>
      <c r="J434" s="205">
        <v>0</v>
      </c>
      <c r="K434" s="205" t="s">
        <v>5215</v>
      </c>
      <c r="L434" s="205" t="s">
        <v>2276</v>
      </c>
      <c r="M434" s="205" t="s">
        <v>2276</v>
      </c>
      <c r="N434" s="205"/>
    </row>
    <row r="435" spans="1:14" s="204" customFormat="1" ht="68" customHeight="1">
      <c r="A435" s="205" t="s">
        <v>6172</v>
      </c>
      <c r="B435" s="205" t="s">
        <v>6806</v>
      </c>
      <c r="C435" s="205" t="s">
        <v>1105</v>
      </c>
      <c r="D435" s="205" t="s">
        <v>1105</v>
      </c>
      <c r="E435" s="4" t="s">
        <v>3209</v>
      </c>
      <c r="F435" s="4" t="s">
        <v>2276</v>
      </c>
      <c r="G435" s="205"/>
      <c r="H435" s="205">
        <v>1</v>
      </c>
      <c r="I435" s="4" t="s">
        <v>6855</v>
      </c>
      <c r="J435" s="205">
        <v>2</v>
      </c>
      <c r="K435" s="4" t="s">
        <v>6856</v>
      </c>
      <c r="L435" s="205">
        <v>3</v>
      </c>
      <c r="M435" s="4" t="s">
        <v>6857</v>
      </c>
      <c r="N435" s="205"/>
    </row>
    <row r="436" spans="1:14" s="204" customFormat="1" ht="68" customHeight="1">
      <c r="A436" s="205" t="s">
        <v>6172</v>
      </c>
      <c r="B436" s="205" t="s">
        <v>6807</v>
      </c>
      <c r="C436" s="205" t="s">
        <v>24</v>
      </c>
      <c r="D436" s="205" t="s">
        <v>2659</v>
      </c>
      <c r="E436" s="4" t="s">
        <v>3855</v>
      </c>
      <c r="F436" s="4" t="s">
        <v>28</v>
      </c>
      <c r="G436" s="205"/>
      <c r="H436" s="205">
        <v>0</v>
      </c>
      <c r="I436" s="4" t="s">
        <v>6860</v>
      </c>
      <c r="J436" s="205" t="s">
        <v>2276</v>
      </c>
      <c r="K436" s="205" t="s">
        <v>2276</v>
      </c>
      <c r="L436" s="205" t="s">
        <v>2276</v>
      </c>
      <c r="M436" s="205" t="s">
        <v>2276</v>
      </c>
      <c r="N436" s="205"/>
    </row>
    <row r="437" spans="1:14" s="204" customFormat="1" ht="68" customHeight="1">
      <c r="A437" s="205" t="s">
        <v>6173</v>
      </c>
      <c r="B437" s="205" t="s">
        <v>6233</v>
      </c>
      <c r="C437" s="205" t="s">
        <v>24</v>
      </c>
      <c r="D437" s="205" t="s">
        <v>25</v>
      </c>
      <c r="E437" s="4" t="s">
        <v>3855</v>
      </c>
      <c r="F437" s="205" t="s">
        <v>29</v>
      </c>
      <c r="G437" s="205"/>
      <c r="H437" s="205">
        <v>1</v>
      </c>
      <c r="I437" s="4" t="s">
        <v>6853</v>
      </c>
      <c r="J437" s="205">
        <v>1</v>
      </c>
      <c r="K437" s="4" t="s">
        <v>6854</v>
      </c>
      <c r="L437" s="205" t="s">
        <v>2276</v>
      </c>
      <c r="M437" s="52" t="s">
        <v>2276</v>
      </c>
      <c r="N437" s="205"/>
    </row>
    <row r="438" spans="1:14" s="204" customFormat="1" ht="68" customHeight="1">
      <c r="A438" s="205" t="s">
        <v>6173</v>
      </c>
      <c r="B438" s="205" t="s">
        <v>6811</v>
      </c>
      <c r="C438" s="205" t="s">
        <v>1105</v>
      </c>
      <c r="D438" s="205" t="s">
        <v>1105</v>
      </c>
      <c r="E438" s="4" t="s">
        <v>5801</v>
      </c>
      <c r="F438" s="205" t="s">
        <v>160</v>
      </c>
      <c r="G438" s="205"/>
      <c r="H438" s="205" t="s">
        <v>2276</v>
      </c>
      <c r="I438" s="205" t="s">
        <v>2276</v>
      </c>
      <c r="J438" s="205">
        <v>0</v>
      </c>
      <c r="K438" s="205" t="s">
        <v>5215</v>
      </c>
      <c r="L438" s="205" t="s">
        <v>2276</v>
      </c>
      <c r="M438" s="205" t="s">
        <v>2276</v>
      </c>
      <c r="N438" s="205"/>
    </row>
    <row r="439" spans="1:14" s="204" customFormat="1" ht="68" customHeight="1">
      <c r="A439" s="205" t="s">
        <v>6173</v>
      </c>
      <c r="B439" s="205" t="s">
        <v>6812</v>
      </c>
      <c r="C439" s="205" t="s">
        <v>1105</v>
      </c>
      <c r="D439" s="205" t="s">
        <v>1105</v>
      </c>
      <c r="E439" s="4" t="s">
        <v>3209</v>
      </c>
      <c r="F439" s="4" t="s">
        <v>2276</v>
      </c>
      <c r="G439" s="205"/>
      <c r="H439" s="205">
        <v>1</v>
      </c>
      <c r="I439" s="4" t="s">
        <v>6855</v>
      </c>
      <c r="J439" s="205">
        <v>2</v>
      </c>
      <c r="K439" s="4" t="s">
        <v>6856</v>
      </c>
      <c r="L439" s="205">
        <v>3</v>
      </c>
      <c r="M439" s="4" t="s">
        <v>6857</v>
      </c>
      <c r="N439" s="205"/>
    </row>
    <row r="440" spans="1:14" s="204" customFormat="1" ht="68" customHeight="1">
      <c r="A440" s="205" t="s">
        <v>6173</v>
      </c>
      <c r="B440" s="205" t="s">
        <v>6813</v>
      </c>
      <c r="C440" s="205" t="s">
        <v>24</v>
      </c>
      <c r="D440" s="205" t="s">
        <v>2659</v>
      </c>
      <c r="E440" s="4" t="s">
        <v>3855</v>
      </c>
      <c r="F440" s="4" t="s">
        <v>28</v>
      </c>
      <c r="G440" s="205"/>
      <c r="H440" s="205">
        <v>0</v>
      </c>
      <c r="I440" s="4" t="s">
        <v>6860</v>
      </c>
      <c r="J440" s="205" t="s">
        <v>2276</v>
      </c>
      <c r="K440" s="205" t="s">
        <v>2276</v>
      </c>
      <c r="L440" s="205" t="s">
        <v>2276</v>
      </c>
      <c r="M440" s="205" t="s">
        <v>2276</v>
      </c>
      <c r="N440" s="205"/>
    </row>
    <row r="441" spans="1:14" s="204" customFormat="1" ht="68" customHeight="1">
      <c r="A441" s="205" t="s">
        <v>6174</v>
      </c>
      <c r="B441" s="205" t="s">
        <v>6234</v>
      </c>
      <c r="C441" s="205" t="s">
        <v>24</v>
      </c>
      <c r="D441" s="205" t="s">
        <v>25</v>
      </c>
      <c r="E441" s="4" t="s">
        <v>3855</v>
      </c>
      <c r="F441" s="205" t="s">
        <v>29</v>
      </c>
      <c r="G441" s="205"/>
      <c r="H441" s="205">
        <v>1</v>
      </c>
      <c r="I441" s="4" t="s">
        <v>6853</v>
      </c>
      <c r="J441" s="205">
        <v>1</v>
      </c>
      <c r="K441" s="4" t="s">
        <v>6854</v>
      </c>
      <c r="L441" s="205" t="s">
        <v>2276</v>
      </c>
      <c r="M441" s="52" t="s">
        <v>2276</v>
      </c>
      <c r="N441" s="205"/>
    </row>
    <row r="442" spans="1:14" s="204" customFormat="1" ht="68" customHeight="1">
      <c r="A442" s="205" t="s">
        <v>6174</v>
      </c>
      <c r="B442" s="205" t="s">
        <v>6817</v>
      </c>
      <c r="C442" s="205" t="s">
        <v>1105</v>
      </c>
      <c r="D442" s="205" t="s">
        <v>1105</v>
      </c>
      <c r="E442" s="4" t="s">
        <v>5801</v>
      </c>
      <c r="F442" s="205" t="s">
        <v>160</v>
      </c>
      <c r="G442" s="205"/>
      <c r="H442" s="205" t="s">
        <v>2276</v>
      </c>
      <c r="I442" s="205" t="s">
        <v>2276</v>
      </c>
      <c r="J442" s="205">
        <v>0</v>
      </c>
      <c r="K442" s="205" t="s">
        <v>5215</v>
      </c>
      <c r="L442" s="205" t="s">
        <v>2276</v>
      </c>
      <c r="M442" s="205" t="s">
        <v>2276</v>
      </c>
      <c r="N442" s="205"/>
    </row>
    <row r="443" spans="1:14" s="204" customFormat="1" ht="68" customHeight="1">
      <c r="A443" s="205" t="s">
        <v>6174</v>
      </c>
      <c r="B443" s="205" t="s">
        <v>6818</v>
      </c>
      <c r="C443" s="205" t="s">
        <v>1105</v>
      </c>
      <c r="D443" s="205" t="s">
        <v>1105</v>
      </c>
      <c r="E443" s="4" t="s">
        <v>3209</v>
      </c>
      <c r="F443" s="4" t="s">
        <v>2276</v>
      </c>
      <c r="G443" s="205"/>
      <c r="H443" s="205">
        <v>1</v>
      </c>
      <c r="I443" s="4" t="s">
        <v>6855</v>
      </c>
      <c r="J443" s="205">
        <v>2</v>
      </c>
      <c r="K443" s="4" t="s">
        <v>6856</v>
      </c>
      <c r="L443" s="205">
        <v>3</v>
      </c>
      <c r="M443" s="4" t="s">
        <v>6857</v>
      </c>
      <c r="N443" s="205"/>
    </row>
    <row r="444" spans="1:14" s="204" customFormat="1" ht="68" customHeight="1">
      <c r="A444" s="205" t="s">
        <v>6174</v>
      </c>
      <c r="B444" s="205" t="s">
        <v>6819</v>
      </c>
      <c r="C444" s="205" t="s">
        <v>24</v>
      </c>
      <c r="D444" s="205" t="s">
        <v>2659</v>
      </c>
      <c r="E444" s="4" t="s">
        <v>3855</v>
      </c>
      <c r="F444" s="4" t="s">
        <v>28</v>
      </c>
      <c r="G444" s="205"/>
      <c r="H444" s="205">
        <v>0</v>
      </c>
      <c r="I444" s="4" t="s">
        <v>6860</v>
      </c>
      <c r="J444" s="205" t="s">
        <v>2276</v>
      </c>
      <c r="K444" s="205" t="s">
        <v>2276</v>
      </c>
      <c r="L444" s="205" t="s">
        <v>2276</v>
      </c>
      <c r="M444" s="205" t="s">
        <v>2276</v>
      </c>
      <c r="N444" s="205"/>
    </row>
    <row r="445" spans="1:14" s="204" customFormat="1" ht="68" customHeight="1">
      <c r="A445" s="205" t="s">
        <v>6175</v>
      </c>
      <c r="B445" s="205" t="s">
        <v>6235</v>
      </c>
      <c r="C445" s="205" t="s">
        <v>24</v>
      </c>
      <c r="D445" s="205" t="s">
        <v>25</v>
      </c>
      <c r="E445" s="4" t="s">
        <v>3855</v>
      </c>
      <c r="F445" s="205" t="s">
        <v>29</v>
      </c>
      <c r="G445" s="205"/>
      <c r="H445" s="205">
        <v>1</v>
      </c>
      <c r="I445" s="4" t="s">
        <v>6853</v>
      </c>
      <c r="J445" s="205">
        <v>1</v>
      </c>
      <c r="K445" s="4" t="s">
        <v>6854</v>
      </c>
      <c r="L445" s="205" t="s">
        <v>2276</v>
      </c>
      <c r="M445" s="52" t="s">
        <v>2276</v>
      </c>
      <c r="N445" s="205"/>
    </row>
    <row r="446" spans="1:14" s="204" customFormat="1" ht="68" customHeight="1">
      <c r="A446" s="205" t="s">
        <v>6175</v>
      </c>
      <c r="B446" s="205" t="s">
        <v>6823</v>
      </c>
      <c r="C446" s="205" t="s">
        <v>1105</v>
      </c>
      <c r="D446" s="205" t="s">
        <v>1105</v>
      </c>
      <c r="E446" s="4" t="s">
        <v>5801</v>
      </c>
      <c r="F446" s="205" t="s">
        <v>160</v>
      </c>
      <c r="G446" s="205"/>
      <c r="H446" s="205" t="s">
        <v>2276</v>
      </c>
      <c r="I446" s="205" t="s">
        <v>2276</v>
      </c>
      <c r="J446" s="205">
        <v>0</v>
      </c>
      <c r="K446" s="205" t="s">
        <v>5215</v>
      </c>
      <c r="L446" s="205" t="s">
        <v>2276</v>
      </c>
      <c r="M446" s="205" t="s">
        <v>2276</v>
      </c>
      <c r="N446" s="205"/>
    </row>
    <row r="447" spans="1:14" s="204" customFormat="1" ht="68" customHeight="1">
      <c r="A447" s="205" t="s">
        <v>6175</v>
      </c>
      <c r="B447" s="205" t="s">
        <v>6824</v>
      </c>
      <c r="C447" s="205" t="s">
        <v>1105</v>
      </c>
      <c r="D447" s="205" t="s">
        <v>1105</v>
      </c>
      <c r="E447" s="4" t="s">
        <v>3209</v>
      </c>
      <c r="F447" s="4" t="s">
        <v>2276</v>
      </c>
      <c r="G447" s="205"/>
      <c r="H447" s="205">
        <v>1</v>
      </c>
      <c r="I447" s="4" t="s">
        <v>6855</v>
      </c>
      <c r="J447" s="205">
        <v>2</v>
      </c>
      <c r="K447" s="4" t="s">
        <v>6856</v>
      </c>
      <c r="L447" s="205">
        <v>3</v>
      </c>
      <c r="M447" s="4" t="s">
        <v>6857</v>
      </c>
      <c r="N447" s="205"/>
    </row>
    <row r="448" spans="1:14" s="204" customFormat="1" ht="68" customHeight="1">
      <c r="A448" s="205" t="s">
        <v>6175</v>
      </c>
      <c r="B448" s="205" t="s">
        <v>6825</v>
      </c>
      <c r="C448" s="205" t="s">
        <v>24</v>
      </c>
      <c r="D448" s="205" t="s">
        <v>2659</v>
      </c>
      <c r="E448" s="4" t="s">
        <v>3855</v>
      </c>
      <c r="F448" s="4" t="s">
        <v>28</v>
      </c>
      <c r="G448" s="205"/>
      <c r="H448" s="205">
        <v>0</v>
      </c>
      <c r="I448" s="4" t="s">
        <v>6860</v>
      </c>
      <c r="J448" s="205" t="s">
        <v>2276</v>
      </c>
      <c r="K448" s="205" t="s">
        <v>2276</v>
      </c>
      <c r="L448" s="205" t="s">
        <v>2276</v>
      </c>
      <c r="M448" s="205" t="s">
        <v>2276</v>
      </c>
      <c r="N448" s="205"/>
    </row>
    <row r="449" spans="1:14" s="204" customFormat="1" ht="68" customHeight="1">
      <c r="A449" s="205" t="s">
        <v>6176</v>
      </c>
      <c r="B449" s="205" t="s">
        <v>6236</v>
      </c>
      <c r="C449" s="205" t="s">
        <v>24</v>
      </c>
      <c r="D449" s="205" t="s">
        <v>25</v>
      </c>
      <c r="E449" s="4" t="s">
        <v>3855</v>
      </c>
      <c r="F449" s="205" t="s">
        <v>29</v>
      </c>
      <c r="G449" s="205"/>
      <c r="H449" s="205">
        <v>1</v>
      </c>
      <c r="I449" s="4" t="s">
        <v>6853</v>
      </c>
      <c r="J449" s="205">
        <v>1</v>
      </c>
      <c r="K449" s="4" t="s">
        <v>6854</v>
      </c>
      <c r="L449" s="205" t="s">
        <v>2276</v>
      </c>
      <c r="M449" s="52" t="s">
        <v>2276</v>
      </c>
      <c r="N449" s="205"/>
    </row>
    <row r="450" spans="1:14" s="204" customFormat="1" ht="68" customHeight="1">
      <c r="A450" s="205" t="s">
        <v>6176</v>
      </c>
      <c r="B450" s="205" t="s">
        <v>6829</v>
      </c>
      <c r="C450" s="205" t="s">
        <v>1105</v>
      </c>
      <c r="D450" s="205" t="s">
        <v>1105</v>
      </c>
      <c r="E450" s="4" t="s">
        <v>5801</v>
      </c>
      <c r="F450" s="205" t="s">
        <v>160</v>
      </c>
      <c r="G450" s="205"/>
      <c r="H450" s="205" t="s">
        <v>2276</v>
      </c>
      <c r="I450" s="205" t="s">
        <v>2276</v>
      </c>
      <c r="J450" s="205">
        <v>0</v>
      </c>
      <c r="K450" s="205" t="s">
        <v>5215</v>
      </c>
      <c r="L450" s="205" t="s">
        <v>2276</v>
      </c>
      <c r="M450" s="205" t="s">
        <v>2276</v>
      </c>
      <c r="N450" s="205"/>
    </row>
    <row r="451" spans="1:14" s="204" customFormat="1" ht="68" customHeight="1">
      <c r="A451" s="205" t="s">
        <v>6176</v>
      </c>
      <c r="B451" s="205" t="s">
        <v>6830</v>
      </c>
      <c r="C451" s="205" t="s">
        <v>1105</v>
      </c>
      <c r="D451" s="205" t="s">
        <v>1105</v>
      </c>
      <c r="E451" s="4" t="s">
        <v>3209</v>
      </c>
      <c r="F451" s="4" t="s">
        <v>2276</v>
      </c>
      <c r="G451" s="205"/>
      <c r="H451" s="205">
        <v>1</v>
      </c>
      <c r="I451" s="4" t="s">
        <v>6855</v>
      </c>
      <c r="J451" s="205">
        <v>2</v>
      </c>
      <c r="K451" s="4" t="s">
        <v>6856</v>
      </c>
      <c r="L451" s="205">
        <v>3</v>
      </c>
      <c r="M451" s="4" t="s">
        <v>6857</v>
      </c>
      <c r="N451" s="205"/>
    </row>
    <row r="452" spans="1:14" s="204" customFormat="1" ht="68" customHeight="1">
      <c r="A452" s="205" t="s">
        <v>6176</v>
      </c>
      <c r="B452" s="205" t="s">
        <v>6831</v>
      </c>
      <c r="C452" s="205" t="s">
        <v>24</v>
      </c>
      <c r="D452" s="205" t="s">
        <v>2659</v>
      </c>
      <c r="E452" s="4" t="s">
        <v>3855</v>
      </c>
      <c r="F452" s="4" t="s">
        <v>28</v>
      </c>
      <c r="G452" s="205"/>
      <c r="H452" s="205">
        <v>0</v>
      </c>
      <c r="I452" s="4" t="s">
        <v>6860</v>
      </c>
      <c r="J452" s="205" t="s">
        <v>2276</v>
      </c>
      <c r="K452" s="205" t="s">
        <v>2276</v>
      </c>
      <c r="L452" s="205" t="s">
        <v>2276</v>
      </c>
      <c r="M452" s="205" t="s">
        <v>2276</v>
      </c>
      <c r="N452" s="205"/>
    </row>
    <row r="453" spans="1:14" s="204" customFormat="1" ht="68" customHeight="1">
      <c r="A453" s="205" t="s">
        <v>6177</v>
      </c>
      <c r="B453" s="205" t="s">
        <v>6237</v>
      </c>
      <c r="C453" s="205" t="s">
        <v>24</v>
      </c>
      <c r="D453" s="205" t="s">
        <v>25</v>
      </c>
      <c r="E453" s="4" t="s">
        <v>3855</v>
      </c>
      <c r="F453" s="205" t="s">
        <v>29</v>
      </c>
      <c r="G453" s="205"/>
      <c r="H453" s="205">
        <v>1</v>
      </c>
      <c r="I453" s="4" t="s">
        <v>6853</v>
      </c>
      <c r="J453" s="205">
        <v>1</v>
      </c>
      <c r="K453" s="4" t="s">
        <v>6854</v>
      </c>
      <c r="L453" s="205" t="s">
        <v>2276</v>
      </c>
      <c r="M453" s="52" t="s">
        <v>2276</v>
      </c>
      <c r="N453" s="205"/>
    </row>
    <row r="454" spans="1:14" ht="68" customHeight="1">
      <c r="A454" s="205" t="s">
        <v>6177</v>
      </c>
      <c r="B454" s="205" t="s">
        <v>6835</v>
      </c>
      <c r="C454" s="205" t="s">
        <v>1105</v>
      </c>
      <c r="D454" s="205" t="s">
        <v>1105</v>
      </c>
      <c r="E454" s="4" t="s">
        <v>5801</v>
      </c>
      <c r="F454" s="205" t="s">
        <v>160</v>
      </c>
      <c r="G454" s="205"/>
      <c r="H454" s="205" t="s">
        <v>2276</v>
      </c>
      <c r="I454" s="205" t="s">
        <v>2276</v>
      </c>
      <c r="J454" s="205">
        <v>0</v>
      </c>
      <c r="K454" s="205" t="s">
        <v>5215</v>
      </c>
      <c r="L454" s="205" t="s">
        <v>2276</v>
      </c>
      <c r="M454" s="205" t="s">
        <v>2276</v>
      </c>
      <c r="N454" s="205"/>
    </row>
    <row r="455" spans="1:14" ht="68" customHeight="1">
      <c r="A455" s="205" t="s">
        <v>6177</v>
      </c>
      <c r="B455" s="205" t="s">
        <v>6836</v>
      </c>
      <c r="C455" s="205" t="s">
        <v>1105</v>
      </c>
      <c r="D455" s="205" t="s">
        <v>1105</v>
      </c>
      <c r="E455" s="4" t="s">
        <v>3209</v>
      </c>
      <c r="F455" s="4" t="s">
        <v>2276</v>
      </c>
      <c r="G455" s="205"/>
      <c r="H455" s="205">
        <v>1</v>
      </c>
      <c r="I455" s="4" t="s">
        <v>6855</v>
      </c>
      <c r="J455" s="205">
        <v>2</v>
      </c>
      <c r="K455" s="4" t="s">
        <v>6856</v>
      </c>
      <c r="L455" s="205">
        <v>3</v>
      </c>
      <c r="M455" s="4" t="s">
        <v>6857</v>
      </c>
      <c r="N455" s="205"/>
    </row>
    <row r="456" spans="1:14" ht="68" customHeight="1">
      <c r="A456" s="205" t="s">
        <v>6177</v>
      </c>
      <c r="B456" s="205" t="s">
        <v>6837</v>
      </c>
      <c r="C456" s="205" t="s">
        <v>24</v>
      </c>
      <c r="D456" s="205" t="s">
        <v>2659</v>
      </c>
      <c r="E456" s="4" t="s">
        <v>3855</v>
      </c>
      <c r="F456" s="4" t="s">
        <v>28</v>
      </c>
      <c r="G456" s="205"/>
      <c r="H456" s="205">
        <v>0</v>
      </c>
      <c r="I456" s="4" t="s">
        <v>6860</v>
      </c>
      <c r="J456" s="205" t="s">
        <v>2276</v>
      </c>
      <c r="K456" s="205" t="s">
        <v>2276</v>
      </c>
      <c r="L456" s="205" t="s">
        <v>2276</v>
      </c>
      <c r="M456" s="205" t="s">
        <v>2276</v>
      </c>
      <c r="N456" s="205"/>
    </row>
    <row r="457" spans="1:14" ht="68" customHeight="1">
      <c r="A457" s="205" t="s">
        <v>6178</v>
      </c>
      <c r="B457" s="205" t="s">
        <v>6238</v>
      </c>
      <c r="C457" s="205" t="s">
        <v>24</v>
      </c>
      <c r="D457" s="205" t="s">
        <v>25</v>
      </c>
      <c r="E457" s="4" t="s">
        <v>3855</v>
      </c>
      <c r="F457" s="205" t="s">
        <v>29</v>
      </c>
      <c r="G457" s="205"/>
      <c r="H457" s="205">
        <v>1</v>
      </c>
      <c r="I457" s="4" t="s">
        <v>6853</v>
      </c>
      <c r="J457" s="205">
        <v>1</v>
      </c>
      <c r="K457" s="4" t="s">
        <v>6854</v>
      </c>
      <c r="L457" s="205" t="s">
        <v>2276</v>
      </c>
      <c r="M457" s="52" t="s">
        <v>2276</v>
      </c>
      <c r="N457" s="205"/>
    </row>
    <row r="458" spans="1:14" ht="68" customHeight="1">
      <c r="A458" s="205" t="s">
        <v>6178</v>
      </c>
      <c r="B458" s="205" t="s">
        <v>6841</v>
      </c>
      <c r="C458" s="205" t="s">
        <v>1105</v>
      </c>
      <c r="D458" s="205" t="s">
        <v>1105</v>
      </c>
      <c r="E458" s="4" t="s">
        <v>5801</v>
      </c>
      <c r="F458" s="205" t="s">
        <v>160</v>
      </c>
      <c r="G458" s="205"/>
      <c r="H458" s="205" t="s">
        <v>2276</v>
      </c>
      <c r="I458" s="205" t="s">
        <v>2276</v>
      </c>
      <c r="J458" s="205">
        <v>0</v>
      </c>
      <c r="K458" s="205" t="s">
        <v>5215</v>
      </c>
      <c r="L458" s="205" t="s">
        <v>2276</v>
      </c>
      <c r="M458" s="205" t="s">
        <v>2276</v>
      </c>
      <c r="N458" s="205"/>
    </row>
    <row r="459" spans="1:14" ht="68" customHeight="1">
      <c r="A459" s="205" t="s">
        <v>6178</v>
      </c>
      <c r="B459" s="205" t="s">
        <v>6842</v>
      </c>
      <c r="C459" s="205" t="s">
        <v>1105</v>
      </c>
      <c r="D459" s="205" t="s">
        <v>1105</v>
      </c>
      <c r="E459" s="4" t="s">
        <v>3209</v>
      </c>
      <c r="F459" s="4" t="s">
        <v>2276</v>
      </c>
      <c r="G459" s="205"/>
      <c r="H459" s="205">
        <v>1</v>
      </c>
      <c r="I459" s="4" t="s">
        <v>6855</v>
      </c>
      <c r="J459" s="205">
        <v>2</v>
      </c>
      <c r="K459" s="4" t="s">
        <v>6856</v>
      </c>
      <c r="L459" s="205">
        <v>3</v>
      </c>
      <c r="M459" s="4" t="s">
        <v>6857</v>
      </c>
      <c r="N459" s="205"/>
    </row>
    <row r="460" spans="1:14" ht="66" customHeight="1">
      <c r="A460" s="205" t="s">
        <v>6178</v>
      </c>
      <c r="B460" s="205" t="s">
        <v>6843</v>
      </c>
      <c r="C460" s="205" t="s">
        <v>24</v>
      </c>
      <c r="D460" s="205" t="s">
        <v>2659</v>
      </c>
      <c r="E460" s="4" t="s">
        <v>3855</v>
      </c>
      <c r="F460" s="4" t="s">
        <v>28</v>
      </c>
      <c r="G460" s="205"/>
      <c r="H460" s="205">
        <v>0</v>
      </c>
      <c r="I460" s="4" t="s">
        <v>6860</v>
      </c>
      <c r="J460" s="205" t="s">
        <v>2276</v>
      </c>
      <c r="K460" s="205" t="s">
        <v>2276</v>
      </c>
      <c r="L460" s="205" t="s">
        <v>2276</v>
      </c>
      <c r="M460" s="205" t="s">
        <v>2276</v>
      </c>
      <c r="N460" s="205"/>
    </row>
    <row r="461" spans="1:14" ht="43.5">
      <c r="A461" s="205" t="s">
        <v>6179</v>
      </c>
      <c r="B461" s="205" t="s">
        <v>6239</v>
      </c>
      <c r="C461" s="205" t="s">
        <v>24</v>
      </c>
      <c r="D461" s="205" t="s">
        <v>25</v>
      </c>
      <c r="E461" s="4" t="s">
        <v>3855</v>
      </c>
      <c r="F461" s="205" t="s">
        <v>29</v>
      </c>
      <c r="G461" s="205"/>
      <c r="H461" s="205">
        <v>1</v>
      </c>
      <c r="I461" s="4" t="s">
        <v>6853</v>
      </c>
      <c r="J461" s="205">
        <v>1</v>
      </c>
      <c r="K461" s="4" t="s">
        <v>6854</v>
      </c>
      <c r="L461" s="205" t="s">
        <v>2276</v>
      </c>
      <c r="M461" s="52" t="s">
        <v>2276</v>
      </c>
      <c r="N461" s="205"/>
    </row>
    <row r="462" spans="1:14" ht="35.5" customHeight="1">
      <c r="A462" s="205" t="s">
        <v>6179</v>
      </c>
      <c r="B462" s="205" t="s">
        <v>6847</v>
      </c>
      <c r="C462" s="205" t="s">
        <v>1105</v>
      </c>
      <c r="D462" s="205" t="s">
        <v>1105</v>
      </c>
      <c r="E462" s="4" t="s">
        <v>5801</v>
      </c>
      <c r="F462" s="205" t="s">
        <v>160</v>
      </c>
      <c r="G462" s="205"/>
      <c r="H462" s="205" t="s">
        <v>2276</v>
      </c>
      <c r="I462" s="205" t="s">
        <v>2276</v>
      </c>
      <c r="J462" s="205">
        <v>0</v>
      </c>
      <c r="K462" s="205" t="s">
        <v>5215</v>
      </c>
      <c r="L462" s="205" t="s">
        <v>2276</v>
      </c>
      <c r="M462" s="205" t="s">
        <v>2276</v>
      </c>
      <c r="N462" s="205"/>
    </row>
    <row r="463" spans="1:14" ht="29">
      <c r="A463" s="205" t="s">
        <v>6179</v>
      </c>
      <c r="B463" s="205" t="s">
        <v>6848</v>
      </c>
      <c r="C463" s="205" t="s">
        <v>1105</v>
      </c>
      <c r="D463" s="205" t="s">
        <v>1105</v>
      </c>
      <c r="E463" s="4" t="s">
        <v>3209</v>
      </c>
      <c r="F463" s="4" t="s">
        <v>2276</v>
      </c>
      <c r="G463" s="205"/>
      <c r="H463" s="205">
        <v>1</v>
      </c>
      <c r="I463" s="4" t="s">
        <v>6855</v>
      </c>
      <c r="J463" s="205">
        <v>2</v>
      </c>
      <c r="K463" s="4" t="s">
        <v>6856</v>
      </c>
      <c r="L463" s="205">
        <v>3</v>
      </c>
      <c r="M463" s="4" t="s">
        <v>6857</v>
      </c>
      <c r="N463" s="205"/>
    </row>
    <row r="464" spans="1:14" ht="51" customHeight="1">
      <c r="A464" s="205" t="s">
        <v>6179</v>
      </c>
      <c r="B464" s="205" t="s">
        <v>6849</v>
      </c>
      <c r="C464" s="205" t="s">
        <v>24</v>
      </c>
      <c r="D464" s="205" t="s">
        <v>2659</v>
      </c>
      <c r="E464" s="4" t="s">
        <v>3855</v>
      </c>
      <c r="F464" s="4" t="s">
        <v>28</v>
      </c>
      <c r="G464" s="205"/>
      <c r="H464" s="205">
        <v>0</v>
      </c>
      <c r="I464" s="4" t="s">
        <v>6860</v>
      </c>
      <c r="J464" s="205" t="s">
        <v>2276</v>
      </c>
      <c r="K464" s="205" t="s">
        <v>2276</v>
      </c>
      <c r="L464" s="205" t="s">
        <v>2276</v>
      </c>
      <c r="M464" s="205" t="s">
        <v>2276</v>
      </c>
      <c r="N464" s="205"/>
    </row>
    <row r="465" spans="1:14" s="204" customFormat="1" ht="51" customHeight="1">
      <c r="A465" s="205" t="s">
        <v>6180</v>
      </c>
      <c r="B465" s="205" t="s">
        <v>6240</v>
      </c>
      <c r="C465" s="205" t="s">
        <v>1105</v>
      </c>
      <c r="D465" s="205" t="s">
        <v>1105</v>
      </c>
      <c r="E465" s="4" t="s">
        <v>5801</v>
      </c>
      <c r="F465" s="205" t="s">
        <v>160</v>
      </c>
      <c r="G465" s="205"/>
      <c r="H465" s="205" t="s">
        <v>2276</v>
      </c>
      <c r="I465" s="205" t="s">
        <v>2276</v>
      </c>
      <c r="J465" s="205">
        <v>0</v>
      </c>
      <c r="K465" s="205" t="s">
        <v>5215</v>
      </c>
      <c r="L465" s="205" t="s">
        <v>2276</v>
      </c>
      <c r="M465" s="205" t="s">
        <v>2276</v>
      </c>
      <c r="N465" s="205"/>
    </row>
    <row r="466" spans="1:14" s="204" customFormat="1" ht="51" customHeight="1">
      <c r="A466" s="19" t="s">
        <v>6181</v>
      </c>
      <c r="B466" s="19" t="s">
        <v>6241</v>
      </c>
      <c r="C466" s="205" t="s">
        <v>1105</v>
      </c>
      <c r="D466" s="205" t="s">
        <v>1105</v>
      </c>
      <c r="E466" s="4" t="s">
        <v>5801</v>
      </c>
      <c r="F466" s="205" t="s">
        <v>160</v>
      </c>
      <c r="G466" s="205"/>
      <c r="H466" s="205" t="s">
        <v>2276</v>
      </c>
      <c r="I466" s="205" t="s">
        <v>2276</v>
      </c>
      <c r="J466" s="205">
        <v>0</v>
      </c>
      <c r="K466" s="205" t="s">
        <v>5215</v>
      </c>
      <c r="L466" s="205" t="s">
        <v>2276</v>
      </c>
      <c r="M466" s="205" t="s">
        <v>2276</v>
      </c>
      <c r="N466" s="205"/>
    </row>
    <row r="467" spans="1:14" s="204" customFormat="1" ht="51" customHeight="1">
      <c r="A467" s="19" t="s">
        <v>6883</v>
      </c>
      <c r="B467" s="19" t="s">
        <v>6941</v>
      </c>
      <c r="C467" s="205" t="s">
        <v>1105</v>
      </c>
      <c r="D467" s="205" t="s">
        <v>1105</v>
      </c>
      <c r="E467" s="4" t="s">
        <v>5801</v>
      </c>
      <c r="F467" s="205" t="s">
        <v>160</v>
      </c>
      <c r="G467" s="205"/>
      <c r="H467" s="205" t="s">
        <v>2276</v>
      </c>
      <c r="I467" s="205" t="s">
        <v>2276</v>
      </c>
      <c r="J467" s="205">
        <v>0</v>
      </c>
      <c r="K467" s="205" t="s">
        <v>5215</v>
      </c>
      <c r="L467" s="205" t="s">
        <v>2276</v>
      </c>
      <c r="M467" s="205" t="s">
        <v>2276</v>
      </c>
      <c r="N467" s="205"/>
    </row>
    <row r="468" spans="1:14" s="204" customFormat="1" ht="51" customHeight="1">
      <c r="A468" s="19" t="s">
        <v>6884</v>
      </c>
      <c r="B468" s="19" t="s">
        <v>6942</v>
      </c>
      <c r="C468" s="205" t="s">
        <v>1105</v>
      </c>
      <c r="D468" s="205" t="s">
        <v>1105</v>
      </c>
      <c r="E468" s="4" t="s">
        <v>5801</v>
      </c>
      <c r="F468" s="205" t="s">
        <v>160</v>
      </c>
      <c r="G468" s="205"/>
      <c r="H468" s="205" t="s">
        <v>2276</v>
      </c>
      <c r="I468" s="205" t="s">
        <v>2276</v>
      </c>
      <c r="J468" s="205">
        <v>0</v>
      </c>
      <c r="K468" s="205" t="s">
        <v>5215</v>
      </c>
      <c r="L468" s="205" t="s">
        <v>2276</v>
      </c>
      <c r="M468" s="205" t="s">
        <v>2276</v>
      </c>
      <c r="N468" s="205"/>
    </row>
    <row r="469" spans="1:14" s="204" customFormat="1" ht="51" customHeight="1">
      <c r="A469" s="19" t="s">
        <v>6885</v>
      </c>
      <c r="B469" s="19" t="s">
        <v>6943</v>
      </c>
      <c r="C469" s="205" t="s">
        <v>1105</v>
      </c>
      <c r="D469" s="205" t="s">
        <v>1105</v>
      </c>
      <c r="E469" s="4" t="s">
        <v>5801</v>
      </c>
      <c r="F469" s="205" t="s">
        <v>160</v>
      </c>
      <c r="G469" s="205"/>
      <c r="H469" s="205" t="s">
        <v>2276</v>
      </c>
      <c r="I469" s="205" t="s">
        <v>2276</v>
      </c>
      <c r="J469" s="205">
        <v>0</v>
      </c>
      <c r="K469" s="205" t="s">
        <v>5215</v>
      </c>
      <c r="L469" s="205" t="s">
        <v>2276</v>
      </c>
      <c r="M469" s="205" t="s">
        <v>2276</v>
      </c>
      <c r="N469" s="205"/>
    </row>
    <row r="470" spans="1:14" s="204" customFormat="1" ht="51" customHeight="1">
      <c r="A470" s="19" t="s">
        <v>6886</v>
      </c>
      <c r="B470" s="19" t="s">
        <v>6944</v>
      </c>
      <c r="C470" s="205" t="s">
        <v>1105</v>
      </c>
      <c r="D470" s="205" t="s">
        <v>1105</v>
      </c>
      <c r="E470" s="4" t="s">
        <v>5801</v>
      </c>
      <c r="F470" s="205" t="s">
        <v>160</v>
      </c>
      <c r="G470" s="205"/>
      <c r="H470" s="205" t="s">
        <v>2276</v>
      </c>
      <c r="I470" s="205" t="s">
        <v>2276</v>
      </c>
      <c r="J470" s="205">
        <v>0</v>
      </c>
      <c r="K470" s="205" t="s">
        <v>5215</v>
      </c>
      <c r="L470" s="205" t="s">
        <v>2276</v>
      </c>
      <c r="M470" s="205" t="s">
        <v>2276</v>
      </c>
      <c r="N470" s="205"/>
    </row>
    <row r="471" spans="1:14" s="204" customFormat="1" ht="51" customHeight="1">
      <c r="A471" s="19" t="s">
        <v>6887</v>
      </c>
      <c r="B471" s="19" t="s">
        <v>6945</v>
      </c>
      <c r="C471" s="205" t="s">
        <v>1105</v>
      </c>
      <c r="D471" s="205" t="s">
        <v>1105</v>
      </c>
      <c r="E471" s="4" t="s">
        <v>5801</v>
      </c>
      <c r="F471" s="205" t="s">
        <v>160</v>
      </c>
      <c r="G471" s="205"/>
      <c r="H471" s="205" t="s">
        <v>2276</v>
      </c>
      <c r="I471" s="205" t="s">
        <v>2276</v>
      </c>
      <c r="J471" s="205">
        <v>0</v>
      </c>
      <c r="K471" s="205" t="s">
        <v>5215</v>
      </c>
      <c r="L471" s="205" t="s">
        <v>2276</v>
      </c>
      <c r="M471" s="205" t="s">
        <v>2276</v>
      </c>
      <c r="N471" s="205"/>
    </row>
    <row r="472" spans="1:14" s="204" customFormat="1" ht="51" customHeight="1">
      <c r="A472" s="19" t="s">
        <v>6888</v>
      </c>
      <c r="B472" s="19" t="s">
        <v>6946</v>
      </c>
      <c r="C472" s="205" t="s">
        <v>1105</v>
      </c>
      <c r="D472" s="205" t="s">
        <v>1105</v>
      </c>
      <c r="E472" s="4" t="s">
        <v>5801</v>
      </c>
      <c r="F472" s="205" t="s">
        <v>160</v>
      </c>
      <c r="G472" s="205"/>
      <c r="H472" s="205" t="s">
        <v>2276</v>
      </c>
      <c r="I472" s="205" t="s">
        <v>2276</v>
      </c>
      <c r="J472" s="205">
        <v>0</v>
      </c>
      <c r="K472" s="205" t="s">
        <v>5215</v>
      </c>
      <c r="L472" s="205" t="s">
        <v>2276</v>
      </c>
      <c r="M472" s="205" t="s">
        <v>2276</v>
      </c>
      <c r="N472" s="205"/>
    </row>
    <row r="473" spans="1:14" s="204" customFormat="1" ht="51" customHeight="1">
      <c r="A473" s="19" t="s">
        <v>6889</v>
      </c>
      <c r="B473" s="19" t="s">
        <v>6947</v>
      </c>
      <c r="C473" s="205" t="s">
        <v>1105</v>
      </c>
      <c r="D473" s="205" t="s">
        <v>1105</v>
      </c>
      <c r="E473" s="4" t="s">
        <v>5801</v>
      </c>
      <c r="F473" s="205" t="s">
        <v>160</v>
      </c>
      <c r="G473" s="205"/>
      <c r="H473" s="205" t="s">
        <v>2276</v>
      </c>
      <c r="I473" s="205" t="s">
        <v>2276</v>
      </c>
      <c r="J473" s="205">
        <v>0</v>
      </c>
      <c r="K473" s="205" t="s">
        <v>5215</v>
      </c>
      <c r="L473" s="205" t="s">
        <v>2276</v>
      </c>
      <c r="M473" s="205" t="s">
        <v>2276</v>
      </c>
      <c r="N473" s="205"/>
    </row>
    <row r="474" spans="1:14" s="204" customFormat="1" ht="51" customHeight="1">
      <c r="A474" s="19" t="s">
        <v>6890</v>
      </c>
      <c r="B474" s="19" t="s">
        <v>6948</v>
      </c>
      <c r="C474" s="205" t="s">
        <v>1105</v>
      </c>
      <c r="D474" s="205" t="s">
        <v>1105</v>
      </c>
      <c r="E474" s="4" t="s">
        <v>5801</v>
      </c>
      <c r="F474" s="205" t="s">
        <v>160</v>
      </c>
      <c r="G474" s="205"/>
      <c r="H474" s="205" t="s">
        <v>2276</v>
      </c>
      <c r="I474" s="205" t="s">
        <v>2276</v>
      </c>
      <c r="J474" s="205">
        <v>0</v>
      </c>
      <c r="K474" s="205" t="s">
        <v>5215</v>
      </c>
      <c r="L474" s="205" t="s">
        <v>2276</v>
      </c>
      <c r="M474" s="205" t="s">
        <v>2276</v>
      </c>
      <c r="N474" s="205"/>
    </row>
    <row r="475" spans="1:14" s="204" customFormat="1" ht="51" customHeight="1">
      <c r="A475" s="19" t="s">
        <v>6891</v>
      </c>
      <c r="B475" s="19" t="s">
        <v>6949</v>
      </c>
      <c r="C475" s="205" t="s">
        <v>1105</v>
      </c>
      <c r="D475" s="205" t="s">
        <v>1105</v>
      </c>
      <c r="E475" s="4" t="s">
        <v>5801</v>
      </c>
      <c r="F475" s="205" t="s">
        <v>160</v>
      </c>
      <c r="G475" s="205"/>
      <c r="H475" s="205" t="s">
        <v>2276</v>
      </c>
      <c r="I475" s="205" t="s">
        <v>2276</v>
      </c>
      <c r="J475" s="205">
        <v>0</v>
      </c>
      <c r="K475" s="205" t="s">
        <v>5215</v>
      </c>
      <c r="L475" s="205" t="s">
        <v>2276</v>
      </c>
      <c r="M475" s="205" t="s">
        <v>2276</v>
      </c>
      <c r="N475" s="205"/>
    </row>
    <row r="476" spans="1:14" s="204" customFormat="1" ht="51" customHeight="1">
      <c r="A476" s="19" t="s">
        <v>6892</v>
      </c>
      <c r="B476" s="19" t="s">
        <v>6950</v>
      </c>
      <c r="C476" s="205" t="s">
        <v>1105</v>
      </c>
      <c r="D476" s="205" t="s">
        <v>1105</v>
      </c>
      <c r="E476" s="4" t="s">
        <v>5801</v>
      </c>
      <c r="F476" s="205" t="s">
        <v>160</v>
      </c>
      <c r="G476" s="205"/>
      <c r="H476" s="205" t="s">
        <v>2276</v>
      </c>
      <c r="I476" s="205" t="s">
        <v>2276</v>
      </c>
      <c r="J476" s="205">
        <v>0</v>
      </c>
      <c r="K476" s="205" t="s">
        <v>5215</v>
      </c>
      <c r="L476" s="205" t="s">
        <v>2276</v>
      </c>
      <c r="M476" s="205" t="s">
        <v>2276</v>
      </c>
      <c r="N476" s="205"/>
    </row>
    <row r="477" spans="1:14" s="204" customFormat="1" ht="51" customHeight="1">
      <c r="A477" s="19" t="s">
        <v>6893</v>
      </c>
      <c r="B477" s="19" t="s">
        <v>6951</v>
      </c>
      <c r="C477" s="205" t="s">
        <v>1105</v>
      </c>
      <c r="D477" s="205" t="s">
        <v>1105</v>
      </c>
      <c r="E477" s="4" t="s">
        <v>5801</v>
      </c>
      <c r="F477" s="205" t="s">
        <v>160</v>
      </c>
      <c r="G477" s="205"/>
      <c r="H477" s="205" t="s">
        <v>2276</v>
      </c>
      <c r="I477" s="205" t="s">
        <v>2276</v>
      </c>
      <c r="J477" s="205">
        <v>0</v>
      </c>
      <c r="K477" s="205" t="s">
        <v>5215</v>
      </c>
      <c r="L477" s="205" t="s">
        <v>2276</v>
      </c>
      <c r="M477" s="205" t="s">
        <v>2276</v>
      </c>
      <c r="N477" s="205"/>
    </row>
    <row r="478" spans="1:14" s="204" customFormat="1" ht="51" customHeight="1">
      <c r="A478" s="19" t="s">
        <v>6894</v>
      </c>
      <c r="B478" s="19" t="s">
        <v>6952</v>
      </c>
      <c r="C478" s="205" t="s">
        <v>1105</v>
      </c>
      <c r="D478" s="205" t="s">
        <v>1105</v>
      </c>
      <c r="E478" s="4" t="s">
        <v>5801</v>
      </c>
      <c r="F478" s="205" t="s">
        <v>160</v>
      </c>
      <c r="G478" s="205"/>
      <c r="H478" s="205" t="s">
        <v>2276</v>
      </c>
      <c r="I478" s="205" t="s">
        <v>2276</v>
      </c>
      <c r="J478" s="205">
        <v>0</v>
      </c>
      <c r="K478" s="205" t="s">
        <v>5215</v>
      </c>
      <c r="L478" s="205" t="s">
        <v>2276</v>
      </c>
      <c r="M478" s="205" t="s">
        <v>2276</v>
      </c>
      <c r="N478" s="205"/>
    </row>
    <row r="479" spans="1:14" s="204" customFormat="1" ht="51" customHeight="1">
      <c r="A479" s="19" t="s">
        <v>6895</v>
      </c>
      <c r="B479" s="19" t="s">
        <v>6953</v>
      </c>
      <c r="C479" s="205" t="s">
        <v>1105</v>
      </c>
      <c r="D479" s="205" t="s">
        <v>1105</v>
      </c>
      <c r="E479" s="4" t="s">
        <v>5801</v>
      </c>
      <c r="F479" s="205" t="s">
        <v>160</v>
      </c>
      <c r="G479" s="205"/>
      <c r="H479" s="205" t="s">
        <v>2276</v>
      </c>
      <c r="I479" s="205" t="s">
        <v>2276</v>
      </c>
      <c r="J479" s="205">
        <v>0</v>
      </c>
      <c r="K479" s="205" t="s">
        <v>5215</v>
      </c>
      <c r="L479" s="205" t="s">
        <v>2276</v>
      </c>
      <c r="M479" s="205" t="s">
        <v>2276</v>
      </c>
      <c r="N479" s="205"/>
    </row>
    <row r="480" spans="1:14" s="204" customFormat="1" ht="51" customHeight="1">
      <c r="A480" s="19" t="s">
        <v>6896</v>
      </c>
      <c r="B480" s="19" t="s">
        <v>6954</v>
      </c>
      <c r="C480" s="205" t="s">
        <v>1105</v>
      </c>
      <c r="D480" s="205" t="s">
        <v>1105</v>
      </c>
      <c r="E480" s="4" t="s">
        <v>5801</v>
      </c>
      <c r="F480" s="205" t="s">
        <v>160</v>
      </c>
      <c r="G480" s="205"/>
      <c r="H480" s="205" t="s">
        <v>2276</v>
      </c>
      <c r="I480" s="205" t="s">
        <v>2276</v>
      </c>
      <c r="J480" s="205">
        <v>0</v>
      </c>
      <c r="K480" s="205" t="s">
        <v>5215</v>
      </c>
      <c r="L480" s="205" t="s">
        <v>2276</v>
      </c>
      <c r="M480" s="205" t="s">
        <v>2276</v>
      </c>
      <c r="N480" s="205"/>
    </row>
    <row r="481" spans="1:14" s="204" customFormat="1" ht="51" customHeight="1">
      <c r="A481" s="19" t="s">
        <v>6897</v>
      </c>
      <c r="B481" s="19" t="s">
        <v>6955</v>
      </c>
      <c r="C481" s="205" t="s">
        <v>1105</v>
      </c>
      <c r="D481" s="205" t="s">
        <v>1105</v>
      </c>
      <c r="E481" s="4" t="s">
        <v>5801</v>
      </c>
      <c r="F481" s="205" t="s">
        <v>160</v>
      </c>
      <c r="G481" s="205"/>
      <c r="H481" s="205" t="s">
        <v>2276</v>
      </c>
      <c r="I481" s="205" t="s">
        <v>2276</v>
      </c>
      <c r="J481" s="205">
        <v>0</v>
      </c>
      <c r="K481" s="205" t="s">
        <v>5215</v>
      </c>
      <c r="L481" s="205" t="s">
        <v>2276</v>
      </c>
      <c r="M481" s="205" t="s">
        <v>2276</v>
      </c>
      <c r="N481" s="205"/>
    </row>
    <row r="482" spans="1:14" s="204" customFormat="1" ht="51" customHeight="1">
      <c r="A482" s="19" t="s">
        <v>6898</v>
      </c>
      <c r="B482" s="19" t="s">
        <v>6956</v>
      </c>
      <c r="C482" s="205" t="s">
        <v>1105</v>
      </c>
      <c r="D482" s="205" t="s">
        <v>1105</v>
      </c>
      <c r="E482" s="4" t="s">
        <v>5801</v>
      </c>
      <c r="F482" s="205" t="s">
        <v>160</v>
      </c>
      <c r="G482" s="205"/>
      <c r="H482" s="205" t="s">
        <v>2276</v>
      </c>
      <c r="I482" s="205" t="s">
        <v>2276</v>
      </c>
      <c r="J482" s="205">
        <v>0</v>
      </c>
      <c r="K482" s="205" t="s">
        <v>5215</v>
      </c>
      <c r="L482" s="205" t="s">
        <v>2276</v>
      </c>
      <c r="M482" s="205" t="s">
        <v>2276</v>
      </c>
      <c r="N482" s="205"/>
    </row>
    <row r="483" spans="1:14" s="204" customFormat="1" ht="51" customHeight="1">
      <c r="A483" s="19" t="s">
        <v>6899</v>
      </c>
      <c r="B483" s="19" t="s">
        <v>6957</v>
      </c>
      <c r="C483" s="205" t="s">
        <v>1105</v>
      </c>
      <c r="D483" s="205" t="s">
        <v>1105</v>
      </c>
      <c r="E483" s="4" t="s">
        <v>5801</v>
      </c>
      <c r="F483" s="205" t="s">
        <v>160</v>
      </c>
      <c r="G483" s="205"/>
      <c r="H483" s="205" t="s">
        <v>2276</v>
      </c>
      <c r="I483" s="205" t="s">
        <v>2276</v>
      </c>
      <c r="J483" s="205">
        <v>0</v>
      </c>
      <c r="K483" s="205" t="s">
        <v>5215</v>
      </c>
      <c r="L483" s="205" t="s">
        <v>2276</v>
      </c>
      <c r="M483" s="205" t="s">
        <v>2276</v>
      </c>
      <c r="N483" s="205"/>
    </row>
    <row r="484" spans="1:14" s="204" customFormat="1" ht="51" customHeight="1">
      <c r="A484" s="19" t="s">
        <v>6900</v>
      </c>
      <c r="B484" s="19" t="s">
        <v>6958</v>
      </c>
      <c r="C484" s="205" t="s">
        <v>1105</v>
      </c>
      <c r="D484" s="205" t="s">
        <v>1105</v>
      </c>
      <c r="E484" s="4" t="s">
        <v>5801</v>
      </c>
      <c r="F484" s="205" t="s">
        <v>160</v>
      </c>
      <c r="G484" s="205"/>
      <c r="H484" s="205" t="s">
        <v>2276</v>
      </c>
      <c r="I484" s="205" t="s">
        <v>2276</v>
      </c>
      <c r="J484" s="205">
        <v>0</v>
      </c>
      <c r="K484" s="205" t="s">
        <v>5215</v>
      </c>
      <c r="L484" s="205" t="s">
        <v>2276</v>
      </c>
      <c r="M484" s="205" t="s">
        <v>2276</v>
      </c>
      <c r="N484" s="205"/>
    </row>
    <row r="485" spans="1:14" s="204" customFormat="1" ht="51" customHeight="1">
      <c r="A485" s="19" t="s">
        <v>6901</v>
      </c>
      <c r="B485" s="19" t="s">
        <v>6959</v>
      </c>
      <c r="C485" s="205" t="s">
        <v>1105</v>
      </c>
      <c r="D485" s="205" t="s">
        <v>1105</v>
      </c>
      <c r="E485" s="4" t="s">
        <v>5801</v>
      </c>
      <c r="F485" s="205" t="s">
        <v>160</v>
      </c>
      <c r="G485" s="205"/>
      <c r="H485" s="205" t="s">
        <v>2276</v>
      </c>
      <c r="I485" s="205" t="s">
        <v>2276</v>
      </c>
      <c r="J485" s="205">
        <v>0</v>
      </c>
      <c r="K485" s="205" t="s">
        <v>5215</v>
      </c>
      <c r="L485" s="205" t="s">
        <v>2276</v>
      </c>
      <c r="M485" s="205" t="s">
        <v>2276</v>
      </c>
      <c r="N485" s="205"/>
    </row>
    <row r="486" spans="1:14" s="204" customFormat="1" ht="51" customHeight="1">
      <c r="A486" s="19" t="s">
        <v>6902</v>
      </c>
      <c r="B486" s="19" t="s">
        <v>6960</v>
      </c>
      <c r="C486" s="205" t="s">
        <v>1105</v>
      </c>
      <c r="D486" s="205" t="s">
        <v>1105</v>
      </c>
      <c r="E486" s="4" t="s">
        <v>5801</v>
      </c>
      <c r="F486" s="205" t="s">
        <v>160</v>
      </c>
      <c r="G486" s="205"/>
      <c r="H486" s="205" t="s">
        <v>2276</v>
      </c>
      <c r="I486" s="205" t="s">
        <v>2276</v>
      </c>
      <c r="J486" s="205">
        <v>0</v>
      </c>
      <c r="K486" s="205" t="s">
        <v>5215</v>
      </c>
      <c r="L486" s="205" t="s">
        <v>2276</v>
      </c>
      <c r="M486" s="205" t="s">
        <v>2276</v>
      </c>
      <c r="N486" s="205"/>
    </row>
    <row r="487" spans="1:14" s="204" customFormat="1" ht="51" customHeight="1">
      <c r="A487" s="19" t="s">
        <v>6903</v>
      </c>
      <c r="B487" s="19" t="s">
        <v>6961</v>
      </c>
      <c r="C487" s="205" t="s">
        <v>1105</v>
      </c>
      <c r="D487" s="205" t="s">
        <v>1105</v>
      </c>
      <c r="E487" s="4" t="s">
        <v>5801</v>
      </c>
      <c r="F487" s="205" t="s">
        <v>160</v>
      </c>
      <c r="G487" s="205"/>
      <c r="H487" s="205" t="s">
        <v>2276</v>
      </c>
      <c r="I487" s="205" t="s">
        <v>2276</v>
      </c>
      <c r="J487" s="205">
        <v>0</v>
      </c>
      <c r="K487" s="205" t="s">
        <v>5215</v>
      </c>
      <c r="L487" s="205" t="s">
        <v>2276</v>
      </c>
      <c r="M487" s="205" t="s">
        <v>2276</v>
      </c>
      <c r="N487" s="205"/>
    </row>
    <row r="488" spans="1:14" s="204" customFormat="1" ht="51" customHeight="1">
      <c r="A488" s="19" t="s">
        <v>6904</v>
      </c>
      <c r="B488" s="19" t="s">
        <v>6962</v>
      </c>
      <c r="C488" s="205" t="s">
        <v>1105</v>
      </c>
      <c r="D488" s="205" t="s">
        <v>1105</v>
      </c>
      <c r="E488" s="4" t="s">
        <v>5801</v>
      </c>
      <c r="F488" s="205" t="s">
        <v>160</v>
      </c>
      <c r="G488" s="205"/>
      <c r="H488" s="205" t="s">
        <v>2276</v>
      </c>
      <c r="I488" s="205" t="s">
        <v>2276</v>
      </c>
      <c r="J488" s="205">
        <v>0</v>
      </c>
      <c r="K488" s="205" t="s">
        <v>5215</v>
      </c>
      <c r="L488" s="205" t="s">
        <v>2276</v>
      </c>
      <c r="M488" s="205" t="s">
        <v>2276</v>
      </c>
      <c r="N488" s="205"/>
    </row>
    <row r="489" spans="1:14" s="204" customFormat="1" ht="51" customHeight="1">
      <c r="A489" s="19" t="s">
        <v>6905</v>
      </c>
      <c r="B489" s="19" t="s">
        <v>6963</v>
      </c>
      <c r="C489" s="205" t="s">
        <v>1105</v>
      </c>
      <c r="D489" s="205" t="s">
        <v>1105</v>
      </c>
      <c r="E489" s="4" t="s">
        <v>5801</v>
      </c>
      <c r="F489" s="205" t="s">
        <v>160</v>
      </c>
      <c r="G489" s="205"/>
      <c r="H489" s="205" t="s">
        <v>2276</v>
      </c>
      <c r="I489" s="205" t="s">
        <v>2276</v>
      </c>
      <c r="J489" s="205">
        <v>0</v>
      </c>
      <c r="K489" s="205" t="s">
        <v>5215</v>
      </c>
      <c r="L489" s="205" t="s">
        <v>2276</v>
      </c>
      <c r="M489" s="205" t="s">
        <v>2276</v>
      </c>
      <c r="N489" s="205"/>
    </row>
    <row r="490" spans="1:14" s="204" customFormat="1" ht="51" customHeight="1">
      <c r="A490" s="19" t="s">
        <v>6181</v>
      </c>
      <c r="B490" s="19" t="s">
        <v>6242</v>
      </c>
      <c r="C490" s="205" t="s">
        <v>1105</v>
      </c>
      <c r="D490" s="205" t="s">
        <v>1105</v>
      </c>
      <c r="E490" s="19" t="s">
        <v>3855</v>
      </c>
      <c r="F490" s="205" t="s">
        <v>29</v>
      </c>
      <c r="G490" s="205"/>
      <c r="H490" s="205" t="s">
        <v>2276</v>
      </c>
      <c r="I490" s="205" t="s">
        <v>2276</v>
      </c>
      <c r="J490" s="205">
        <v>2</v>
      </c>
      <c r="K490" s="4" t="s">
        <v>6970</v>
      </c>
      <c r="L490" s="205" t="s">
        <v>2276</v>
      </c>
      <c r="M490" s="205" t="s">
        <v>2276</v>
      </c>
      <c r="N490" s="205"/>
    </row>
    <row r="491" spans="1:14" s="204" customFormat="1" ht="51" customHeight="1">
      <c r="A491" s="19" t="s">
        <v>6883</v>
      </c>
      <c r="B491" s="19" t="s">
        <v>6964</v>
      </c>
      <c r="C491" s="205" t="s">
        <v>1105</v>
      </c>
      <c r="D491" s="205" t="s">
        <v>1105</v>
      </c>
      <c r="E491" s="19" t="s">
        <v>3855</v>
      </c>
      <c r="F491" s="205" t="s">
        <v>29</v>
      </c>
      <c r="G491" s="205"/>
      <c r="H491" s="205" t="s">
        <v>2276</v>
      </c>
      <c r="I491" s="205" t="s">
        <v>2276</v>
      </c>
      <c r="J491" s="205">
        <v>2</v>
      </c>
      <c r="K491" s="4" t="s">
        <v>6970</v>
      </c>
      <c r="L491" s="205" t="s">
        <v>2276</v>
      </c>
      <c r="M491" s="205" t="s">
        <v>2276</v>
      </c>
      <c r="N491" s="205"/>
    </row>
    <row r="492" spans="1:14" s="204" customFormat="1" ht="51" customHeight="1">
      <c r="A492" s="19" t="s">
        <v>6884</v>
      </c>
      <c r="B492" s="19" t="s">
        <v>6965</v>
      </c>
      <c r="C492" s="205" t="s">
        <v>1105</v>
      </c>
      <c r="D492" s="205" t="s">
        <v>1105</v>
      </c>
      <c r="E492" s="19" t="s">
        <v>3855</v>
      </c>
      <c r="F492" s="205" t="s">
        <v>29</v>
      </c>
      <c r="G492" s="205"/>
      <c r="H492" s="205" t="s">
        <v>2276</v>
      </c>
      <c r="I492" s="205" t="s">
        <v>2276</v>
      </c>
      <c r="J492" s="205">
        <v>2</v>
      </c>
      <c r="K492" s="4" t="s">
        <v>6970</v>
      </c>
      <c r="L492" s="205" t="s">
        <v>2276</v>
      </c>
      <c r="M492" s="205" t="s">
        <v>2276</v>
      </c>
      <c r="N492" s="205"/>
    </row>
    <row r="493" spans="1:14" s="204" customFormat="1" ht="51" customHeight="1">
      <c r="A493" s="19" t="s">
        <v>6885</v>
      </c>
      <c r="B493" s="19" t="s">
        <v>6966</v>
      </c>
      <c r="C493" s="205" t="s">
        <v>1105</v>
      </c>
      <c r="D493" s="205" t="s">
        <v>1105</v>
      </c>
      <c r="E493" s="19" t="s">
        <v>3855</v>
      </c>
      <c r="F493" s="205" t="s">
        <v>29</v>
      </c>
      <c r="G493" s="205"/>
      <c r="H493" s="205" t="s">
        <v>2276</v>
      </c>
      <c r="I493" s="205" t="s">
        <v>2276</v>
      </c>
      <c r="J493" s="205">
        <v>2</v>
      </c>
      <c r="K493" s="4" t="s">
        <v>6970</v>
      </c>
      <c r="L493" s="205" t="s">
        <v>2276</v>
      </c>
      <c r="M493" s="205" t="s">
        <v>2276</v>
      </c>
      <c r="N493" s="205"/>
    </row>
    <row r="494" spans="1:14" s="204" customFormat="1" ht="51" customHeight="1">
      <c r="A494" s="19" t="s">
        <v>6886</v>
      </c>
      <c r="B494" s="19" t="s">
        <v>6967</v>
      </c>
      <c r="C494" s="205" t="s">
        <v>1105</v>
      </c>
      <c r="D494" s="205" t="s">
        <v>1105</v>
      </c>
      <c r="E494" s="19" t="s">
        <v>3855</v>
      </c>
      <c r="F494" s="205" t="s">
        <v>29</v>
      </c>
      <c r="G494" s="205"/>
      <c r="H494" s="205" t="s">
        <v>2276</v>
      </c>
      <c r="I494" s="205" t="s">
        <v>2276</v>
      </c>
      <c r="J494" s="205">
        <v>2</v>
      </c>
      <c r="K494" s="4" t="s">
        <v>6970</v>
      </c>
      <c r="L494" s="205" t="s">
        <v>2276</v>
      </c>
      <c r="M494" s="205" t="s">
        <v>2276</v>
      </c>
      <c r="N494" s="205"/>
    </row>
    <row r="495" spans="1:14" s="204" customFormat="1" ht="51" customHeight="1">
      <c r="A495" s="19" t="s">
        <v>6887</v>
      </c>
      <c r="B495" s="19" t="s">
        <v>6968</v>
      </c>
      <c r="C495" s="205" t="s">
        <v>1105</v>
      </c>
      <c r="D495" s="205" t="s">
        <v>1105</v>
      </c>
      <c r="E495" s="19" t="s">
        <v>3855</v>
      </c>
      <c r="F495" s="205" t="s">
        <v>29</v>
      </c>
      <c r="G495" s="205"/>
      <c r="H495" s="205" t="s">
        <v>2276</v>
      </c>
      <c r="I495" s="205" t="s">
        <v>2276</v>
      </c>
      <c r="J495" s="205">
        <v>2</v>
      </c>
      <c r="K495" s="4" t="s">
        <v>6970</v>
      </c>
      <c r="L495" s="205" t="s">
        <v>2276</v>
      </c>
      <c r="M495" s="205" t="s">
        <v>2276</v>
      </c>
      <c r="N495" s="205"/>
    </row>
    <row r="496" spans="1:14" s="204" customFormat="1" ht="51" customHeight="1">
      <c r="A496" s="19" t="s">
        <v>6888</v>
      </c>
      <c r="B496" s="19" t="s">
        <v>6969</v>
      </c>
      <c r="C496" s="205" t="s">
        <v>1105</v>
      </c>
      <c r="D496" s="205" t="s">
        <v>1105</v>
      </c>
      <c r="E496" s="19" t="s">
        <v>3855</v>
      </c>
      <c r="F496" s="205" t="s">
        <v>29</v>
      </c>
      <c r="G496" s="205"/>
      <c r="H496" s="205" t="s">
        <v>2276</v>
      </c>
      <c r="I496" s="205" t="s">
        <v>2276</v>
      </c>
      <c r="J496" s="205">
        <v>2</v>
      </c>
      <c r="K496" s="4" t="s">
        <v>6970</v>
      </c>
      <c r="L496" s="205" t="s">
        <v>2276</v>
      </c>
      <c r="M496" s="205" t="s">
        <v>2276</v>
      </c>
      <c r="N496" s="205"/>
    </row>
    <row r="497" spans="1:14" ht="47" customHeight="1">
      <c r="A497" s="3" t="s">
        <v>6182</v>
      </c>
      <c r="B497" s="3" t="s">
        <v>6243</v>
      </c>
      <c r="C497" s="205" t="s">
        <v>1105</v>
      </c>
      <c r="D497" s="205" t="s">
        <v>1105</v>
      </c>
      <c r="E497" s="4" t="s">
        <v>5801</v>
      </c>
      <c r="F497" s="205" t="s">
        <v>160</v>
      </c>
      <c r="G497" s="3"/>
      <c r="H497" s="3" t="s">
        <v>2276</v>
      </c>
      <c r="I497" s="3" t="s">
        <v>2276</v>
      </c>
      <c r="J497" s="3">
        <v>0</v>
      </c>
      <c r="K497" s="3" t="s">
        <v>5215</v>
      </c>
      <c r="L497" s="3" t="s">
        <v>2276</v>
      </c>
      <c r="M497" s="3" t="s">
        <v>2276</v>
      </c>
      <c r="N497" s="3"/>
    </row>
    <row r="498" spans="1:14" s="204" customFormat="1" ht="47" customHeight="1">
      <c r="A498" s="205" t="s">
        <v>6183</v>
      </c>
      <c r="B498" s="205" t="s">
        <v>6245</v>
      </c>
      <c r="C498" s="205" t="s">
        <v>1105</v>
      </c>
      <c r="D498" s="205" t="s">
        <v>1105</v>
      </c>
      <c r="E498" s="4" t="s">
        <v>2653</v>
      </c>
      <c r="F498" s="205" t="s">
        <v>2276</v>
      </c>
      <c r="G498" s="205"/>
      <c r="H498" s="205" t="s">
        <v>2276</v>
      </c>
      <c r="I498" s="205" t="s">
        <v>2276</v>
      </c>
      <c r="J498" s="205" t="s">
        <v>2276</v>
      </c>
      <c r="K498" s="205" t="s">
        <v>2276</v>
      </c>
      <c r="L498" s="205">
        <v>3</v>
      </c>
      <c r="M498" s="4" t="s">
        <v>6868</v>
      </c>
      <c r="N498" s="205"/>
    </row>
    <row r="499" spans="1:14" s="204" customFormat="1" ht="47" customHeight="1">
      <c r="A499" s="205" t="s">
        <v>6183</v>
      </c>
      <c r="B499" s="205" t="s">
        <v>6865</v>
      </c>
      <c r="C499" s="205" t="s">
        <v>1105</v>
      </c>
      <c r="D499" s="205" t="s">
        <v>1105</v>
      </c>
      <c r="E499" s="4" t="s">
        <v>2652</v>
      </c>
      <c r="F499" s="205" t="s">
        <v>2276</v>
      </c>
      <c r="G499" s="205"/>
      <c r="H499" s="205" t="s">
        <v>2276</v>
      </c>
      <c r="I499" s="205" t="s">
        <v>2276</v>
      </c>
      <c r="J499" s="205">
        <v>0</v>
      </c>
      <c r="K499" s="4" t="s">
        <v>6870</v>
      </c>
      <c r="L499" s="205" t="s">
        <v>2276</v>
      </c>
      <c r="M499" s="205" t="s">
        <v>2276</v>
      </c>
      <c r="N499" s="205"/>
    </row>
    <row r="500" spans="1:14" s="204" customFormat="1" ht="47" customHeight="1">
      <c r="A500" s="205" t="s">
        <v>6183</v>
      </c>
      <c r="B500" s="205" t="s">
        <v>6866</v>
      </c>
      <c r="C500" s="205" t="s">
        <v>24</v>
      </c>
      <c r="D500" s="205" t="s">
        <v>1105</v>
      </c>
      <c r="E500" s="4" t="s">
        <v>3855</v>
      </c>
      <c r="F500" s="205" t="s">
        <v>29</v>
      </c>
      <c r="G500" s="205"/>
      <c r="H500" s="205">
        <v>1</v>
      </c>
      <c r="I500" s="4" t="s">
        <v>6869</v>
      </c>
      <c r="J500" s="205" t="s">
        <v>2276</v>
      </c>
      <c r="K500" s="205" t="s">
        <v>2276</v>
      </c>
      <c r="L500" s="205" t="s">
        <v>2276</v>
      </c>
      <c r="M500" s="205" t="s">
        <v>2276</v>
      </c>
      <c r="N500" s="205"/>
    </row>
    <row r="501" spans="1:14" ht="35.5" customHeight="1">
      <c r="A501" s="58" t="s">
        <v>6336</v>
      </c>
      <c r="B501" s="58" t="s">
        <v>6493</v>
      </c>
      <c r="C501" s="58" t="s">
        <v>24</v>
      </c>
      <c r="D501" s="58" t="s">
        <v>2661</v>
      </c>
      <c r="E501" s="58" t="s">
        <v>130</v>
      </c>
      <c r="F501" s="58" t="s">
        <v>74</v>
      </c>
      <c r="G501" s="58"/>
      <c r="H501" s="58">
        <v>0</v>
      </c>
      <c r="I501" s="58"/>
      <c r="J501" s="58"/>
      <c r="K501" s="58"/>
      <c r="L501" s="58">
        <v>3</v>
      </c>
      <c r="M501" s="58" t="s">
        <v>6597</v>
      </c>
      <c r="N501" s="4" t="s">
        <v>6599</v>
      </c>
    </row>
    <row r="502" spans="1:14" ht="29">
      <c r="A502" s="58" t="s">
        <v>6336</v>
      </c>
      <c r="B502" s="58" t="s">
        <v>6494</v>
      </c>
      <c r="C502" s="58" t="s">
        <v>24</v>
      </c>
      <c r="D502" s="58" t="s">
        <v>27</v>
      </c>
      <c r="E502" s="58" t="s">
        <v>396</v>
      </c>
      <c r="F502" s="58" t="s">
        <v>74</v>
      </c>
      <c r="G502" s="58"/>
      <c r="H502" s="58">
        <v>0</v>
      </c>
      <c r="I502" s="58"/>
      <c r="J502" s="58"/>
      <c r="K502" s="58"/>
      <c r="L502" s="58">
        <v>3</v>
      </c>
      <c r="M502" s="58" t="s">
        <v>6597</v>
      </c>
      <c r="N502" s="4"/>
    </row>
    <row r="503" spans="1:14" ht="29">
      <c r="A503" s="58" t="s">
        <v>6336</v>
      </c>
      <c r="B503" s="58" t="s">
        <v>6495</v>
      </c>
      <c r="C503" s="58" t="s">
        <v>24</v>
      </c>
      <c r="D503" s="58" t="s">
        <v>2659</v>
      </c>
      <c r="E503" s="58" t="s">
        <v>396</v>
      </c>
      <c r="F503" s="58" t="s">
        <v>28</v>
      </c>
      <c r="G503" s="58"/>
      <c r="H503" s="58">
        <v>0</v>
      </c>
      <c r="I503" s="58"/>
      <c r="J503" s="58"/>
      <c r="K503" s="58"/>
      <c r="L503" s="58">
        <v>3</v>
      </c>
      <c r="M503" s="58" t="s">
        <v>6597</v>
      </c>
      <c r="N503" s="4"/>
    </row>
    <row r="504" spans="1:14" ht="29">
      <c r="A504" s="58" t="s">
        <v>6336</v>
      </c>
      <c r="B504" s="58" t="s">
        <v>6496</v>
      </c>
      <c r="C504" s="58" t="s">
        <v>24</v>
      </c>
      <c r="D504" s="58" t="s">
        <v>27</v>
      </c>
      <c r="E504" s="58" t="s">
        <v>397</v>
      </c>
      <c r="F504" s="58" t="s">
        <v>28</v>
      </c>
      <c r="G504" s="58"/>
      <c r="H504" s="58">
        <v>0</v>
      </c>
      <c r="I504" s="58"/>
      <c r="J504" s="58"/>
      <c r="K504" s="58"/>
      <c r="L504" s="58">
        <v>3</v>
      </c>
      <c r="M504" s="58" t="s">
        <v>6597</v>
      </c>
      <c r="N504" s="4"/>
    </row>
    <row r="505" spans="1:14" ht="29">
      <c r="A505" s="58" t="s">
        <v>6336</v>
      </c>
      <c r="B505" s="58" t="s">
        <v>6598</v>
      </c>
      <c r="C505" s="58" t="s">
        <v>24</v>
      </c>
      <c r="D505" s="58" t="s">
        <v>2659</v>
      </c>
      <c r="E505" s="58" t="s">
        <v>397</v>
      </c>
      <c r="F505" s="58" t="s">
        <v>28</v>
      </c>
      <c r="G505" s="58"/>
      <c r="H505" s="58">
        <v>0</v>
      </c>
      <c r="I505" s="58"/>
      <c r="J505" s="58"/>
      <c r="K505" s="58"/>
      <c r="L505" s="58">
        <v>3</v>
      </c>
      <c r="M505" s="58" t="s">
        <v>6597</v>
      </c>
      <c r="N505" s="4"/>
    </row>
    <row r="506" spans="1:14" ht="39.5" customHeight="1">
      <c r="A506" s="4" t="s">
        <v>6415</v>
      </c>
      <c r="B506" s="4" t="s">
        <v>6613</v>
      </c>
      <c r="C506" s="4" t="s">
        <v>24</v>
      </c>
      <c r="D506" s="4" t="s">
        <v>6603</v>
      </c>
      <c r="E506" s="4" t="s">
        <v>137</v>
      </c>
      <c r="F506" s="4" t="s">
        <v>74</v>
      </c>
      <c r="G506" s="4"/>
      <c r="H506" s="205" t="s">
        <v>2276</v>
      </c>
      <c r="I506" s="205" t="s">
        <v>2276</v>
      </c>
      <c r="J506" s="4">
        <v>2</v>
      </c>
      <c r="K506" s="4" t="s">
        <v>6649</v>
      </c>
      <c r="L506" s="205" t="s">
        <v>2276</v>
      </c>
      <c r="M506" s="205" t="s">
        <v>2276</v>
      </c>
      <c r="N506" s="4" t="s">
        <v>7934</v>
      </c>
    </row>
    <row r="507" spans="1:14" ht="39.5" customHeight="1">
      <c r="A507" s="4" t="s">
        <v>6416</v>
      </c>
      <c r="B507" s="4" t="s">
        <v>6615</v>
      </c>
      <c r="C507" s="4" t="s">
        <v>24</v>
      </c>
      <c r="D507" s="4" t="s">
        <v>6603</v>
      </c>
      <c r="E507" s="4" t="s">
        <v>137</v>
      </c>
      <c r="F507" s="4" t="s">
        <v>74</v>
      </c>
      <c r="G507" s="4"/>
      <c r="H507" s="205" t="s">
        <v>2276</v>
      </c>
      <c r="I507" s="205" t="s">
        <v>2276</v>
      </c>
      <c r="J507" s="4">
        <v>2</v>
      </c>
      <c r="K507" s="4" t="s">
        <v>6649</v>
      </c>
      <c r="L507" s="205" t="s">
        <v>2276</v>
      </c>
      <c r="M507" s="205" t="s">
        <v>2276</v>
      </c>
      <c r="N507" s="4" t="s">
        <v>7934</v>
      </c>
    </row>
    <row r="508" spans="1:14" s="204" customFormat="1" ht="39.5" customHeight="1">
      <c r="A508" s="4" t="s">
        <v>6416</v>
      </c>
      <c r="B508" s="4" t="s">
        <v>6616</v>
      </c>
      <c r="C508" s="205" t="s">
        <v>1105</v>
      </c>
      <c r="D508" s="205" t="s">
        <v>1105</v>
      </c>
      <c r="E508" s="4" t="s">
        <v>2653</v>
      </c>
      <c r="F508" s="4" t="s">
        <v>74</v>
      </c>
      <c r="G508" s="205"/>
      <c r="H508" s="205" t="s">
        <v>2276</v>
      </c>
      <c r="I508" s="205" t="s">
        <v>2276</v>
      </c>
      <c r="J508" s="205">
        <v>0</v>
      </c>
      <c r="K508" s="205" t="s">
        <v>7936</v>
      </c>
      <c r="L508" s="205" t="s">
        <v>2276</v>
      </c>
      <c r="M508" s="205" t="s">
        <v>2276</v>
      </c>
      <c r="N508" s="205"/>
    </row>
    <row r="509" spans="1:14" ht="39.5" customHeight="1">
      <c r="A509" s="4" t="s">
        <v>6417</v>
      </c>
      <c r="B509" s="4" t="s">
        <v>6617</v>
      </c>
      <c r="C509" s="4" t="s">
        <v>24</v>
      </c>
      <c r="D509" s="38" t="s">
        <v>2276</v>
      </c>
      <c r="E509" s="4" t="s">
        <v>2653</v>
      </c>
      <c r="F509" s="205" t="s">
        <v>2276</v>
      </c>
      <c r="G509" s="4"/>
      <c r="H509" s="205" t="s">
        <v>2276</v>
      </c>
      <c r="I509" s="205" t="s">
        <v>2276</v>
      </c>
      <c r="J509" s="205" t="s">
        <v>2276</v>
      </c>
      <c r="K509" s="4"/>
      <c r="L509" s="4">
        <v>3</v>
      </c>
      <c r="M509" s="205" t="s">
        <v>2276</v>
      </c>
      <c r="N509" s="4"/>
    </row>
    <row r="510" spans="1:14" ht="39.5" customHeight="1">
      <c r="A510" s="4" t="s">
        <v>6417</v>
      </c>
      <c r="B510" s="4" t="s">
        <v>6618</v>
      </c>
      <c r="C510" s="4" t="s">
        <v>2656</v>
      </c>
      <c r="D510" s="38" t="s">
        <v>2276</v>
      </c>
      <c r="E510" s="24" t="s">
        <v>2653</v>
      </c>
      <c r="F510" s="205" t="s">
        <v>2276</v>
      </c>
      <c r="G510" s="4"/>
      <c r="H510" s="205" t="s">
        <v>2276</v>
      </c>
      <c r="I510" s="205" t="s">
        <v>2276</v>
      </c>
      <c r="J510" s="205" t="s">
        <v>2276</v>
      </c>
      <c r="K510" s="4"/>
      <c r="L510" s="4">
        <v>3</v>
      </c>
      <c r="M510" s="205" t="s">
        <v>2276</v>
      </c>
      <c r="N510" s="4"/>
    </row>
    <row r="511" spans="1:14" ht="39.5" customHeight="1">
      <c r="A511" s="4" t="s">
        <v>6418</v>
      </c>
      <c r="B511" s="4" t="s">
        <v>6619</v>
      </c>
      <c r="C511" s="4" t="s">
        <v>24</v>
      </c>
      <c r="D511" s="38" t="s">
        <v>2276</v>
      </c>
      <c r="E511" s="24" t="s">
        <v>2649</v>
      </c>
      <c r="F511" s="4" t="s">
        <v>74</v>
      </c>
      <c r="G511" s="4"/>
      <c r="H511" s="205" t="s">
        <v>2276</v>
      </c>
      <c r="I511" s="205" t="s">
        <v>2276</v>
      </c>
      <c r="J511" s="205" t="s">
        <v>2276</v>
      </c>
      <c r="K511" s="4"/>
      <c r="L511" s="4">
        <v>2</v>
      </c>
      <c r="M511" s="4" t="s">
        <v>6650</v>
      </c>
      <c r="N511" s="4"/>
    </row>
    <row r="512" spans="1:14" ht="39.5" customHeight="1">
      <c r="A512" s="4" t="s">
        <v>6418</v>
      </c>
      <c r="B512" s="4" t="s">
        <v>6620</v>
      </c>
      <c r="C512" s="4" t="s">
        <v>2656</v>
      </c>
      <c r="D512" s="38" t="s">
        <v>2276</v>
      </c>
      <c r="E512" s="24" t="s">
        <v>2649</v>
      </c>
      <c r="F512" s="4" t="s">
        <v>74</v>
      </c>
      <c r="G512" s="4"/>
      <c r="H512" s="205" t="s">
        <v>2276</v>
      </c>
      <c r="I512" s="205" t="s">
        <v>2276</v>
      </c>
      <c r="J512" s="205" t="s">
        <v>2276</v>
      </c>
      <c r="K512" s="4"/>
      <c r="L512" s="4">
        <v>2</v>
      </c>
      <c r="M512" s="4" t="s">
        <v>6650</v>
      </c>
      <c r="N512" s="4"/>
    </row>
    <row r="513" spans="1:14" ht="39.5" customHeight="1">
      <c r="A513" s="4" t="s">
        <v>6419</v>
      </c>
      <c r="B513" s="4" t="s">
        <v>6665</v>
      </c>
      <c r="C513" s="4" t="s">
        <v>1105</v>
      </c>
      <c r="D513" s="4" t="s">
        <v>1105</v>
      </c>
      <c r="E513" s="24" t="s">
        <v>137</v>
      </c>
      <c r="F513" s="205" t="s">
        <v>2276</v>
      </c>
      <c r="G513" s="4"/>
      <c r="H513" s="205" t="s">
        <v>2276</v>
      </c>
      <c r="I513" s="205" t="s">
        <v>2276</v>
      </c>
      <c r="J513" s="205" t="s">
        <v>2276</v>
      </c>
      <c r="K513" s="4"/>
      <c r="L513" s="205" t="s">
        <v>2276</v>
      </c>
      <c r="M513" s="4"/>
      <c r="N513" s="4"/>
    </row>
    <row r="514" spans="1:14" ht="39.5" customHeight="1">
      <c r="A514" s="4" t="s">
        <v>6420</v>
      </c>
      <c r="B514" s="4" t="s">
        <v>6666</v>
      </c>
      <c r="C514" s="4" t="s">
        <v>1105</v>
      </c>
      <c r="D514" s="4" t="s">
        <v>1105</v>
      </c>
      <c r="E514" s="24" t="s">
        <v>2649</v>
      </c>
      <c r="F514" s="205" t="s">
        <v>2276</v>
      </c>
      <c r="G514" s="4"/>
      <c r="H514" s="205" t="s">
        <v>2276</v>
      </c>
      <c r="I514" s="205" t="s">
        <v>2276</v>
      </c>
      <c r="J514" s="205" t="s">
        <v>2276</v>
      </c>
      <c r="K514" s="4"/>
      <c r="L514" s="205" t="s">
        <v>2276</v>
      </c>
      <c r="M514" s="4"/>
      <c r="N514" s="4"/>
    </row>
    <row r="515" spans="1:14" ht="39.5" customHeight="1">
      <c r="A515" s="4" t="s">
        <v>6421</v>
      </c>
      <c r="B515" s="4" t="s">
        <v>6667</v>
      </c>
      <c r="C515" s="4" t="s">
        <v>1105</v>
      </c>
      <c r="D515" s="4" t="s">
        <v>1105</v>
      </c>
      <c r="E515" s="24" t="s">
        <v>2649</v>
      </c>
      <c r="F515" s="205" t="s">
        <v>2276</v>
      </c>
      <c r="G515" s="4"/>
      <c r="H515" s="205" t="s">
        <v>2276</v>
      </c>
      <c r="I515" s="205" t="s">
        <v>2276</v>
      </c>
      <c r="J515" s="205" t="s">
        <v>2276</v>
      </c>
      <c r="K515" s="4"/>
      <c r="L515" s="205" t="s">
        <v>2276</v>
      </c>
      <c r="M515" s="4"/>
      <c r="N515" s="4"/>
    </row>
    <row r="516" spans="1:14" ht="39.5" customHeight="1">
      <c r="A516" s="4" t="s">
        <v>6422</v>
      </c>
      <c r="B516" s="4" t="s">
        <v>6621</v>
      </c>
      <c r="C516" s="4" t="s">
        <v>1105</v>
      </c>
      <c r="D516" s="4" t="s">
        <v>1105</v>
      </c>
      <c r="E516" s="24" t="s">
        <v>2649</v>
      </c>
      <c r="F516" s="4" t="s">
        <v>74</v>
      </c>
      <c r="G516" s="4"/>
      <c r="H516" s="4">
        <v>3</v>
      </c>
      <c r="I516" s="4"/>
      <c r="J516" s="4">
        <v>3</v>
      </c>
      <c r="K516" s="4" t="s">
        <v>6651</v>
      </c>
      <c r="L516" s="4">
        <v>3</v>
      </c>
      <c r="M516" s="4"/>
      <c r="N516" s="4" t="s">
        <v>6652</v>
      </c>
    </row>
    <row r="517" spans="1:14" ht="39.5" customHeight="1">
      <c r="A517" s="4" t="s">
        <v>6423</v>
      </c>
      <c r="B517" s="4" t="s">
        <v>6623</v>
      </c>
      <c r="C517" s="4" t="s">
        <v>1105</v>
      </c>
      <c r="D517" s="4" t="s">
        <v>1105</v>
      </c>
      <c r="E517" s="24" t="s">
        <v>2649</v>
      </c>
      <c r="F517" s="4" t="s">
        <v>74</v>
      </c>
      <c r="G517" s="4"/>
      <c r="H517" s="4">
        <v>3</v>
      </c>
      <c r="I517" s="4"/>
      <c r="J517" s="4">
        <v>3</v>
      </c>
      <c r="K517" s="4" t="s">
        <v>6651</v>
      </c>
      <c r="L517" s="4">
        <v>3</v>
      </c>
      <c r="M517" s="4"/>
      <c r="N517" s="4" t="s">
        <v>6652</v>
      </c>
    </row>
    <row r="518" spans="1:14" ht="39.5" customHeight="1">
      <c r="A518" s="4" t="s">
        <v>6424</v>
      </c>
      <c r="B518" s="4" t="s">
        <v>6625</v>
      </c>
      <c r="C518" s="4" t="s">
        <v>1105</v>
      </c>
      <c r="D518" s="4" t="s">
        <v>1105</v>
      </c>
      <c r="E518" s="24" t="s">
        <v>2649</v>
      </c>
      <c r="F518" s="4" t="s">
        <v>74</v>
      </c>
      <c r="G518" s="4"/>
      <c r="H518" s="4">
        <v>3</v>
      </c>
      <c r="I518" s="4"/>
      <c r="J518" s="4">
        <v>3</v>
      </c>
      <c r="K518" s="4" t="s">
        <v>6651</v>
      </c>
      <c r="L518" s="4">
        <v>3</v>
      </c>
      <c r="M518" s="4"/>
      <c r="N518" s="4" t="s">
        <v>6652</v>
      </c>
    </row>
    <row r="519" spans="1:14" ht="39.5" customHeight="1">
      <c r="A519" s="4" t="s">
        <v>6425</v>
      </c>
      <c r="B519" s="4" t="s">
        <v>6627</v>
      </c>
      <c r="C519" s="4" t="s">
        <v>1105</v>
      </c>
      <c r="D519" s="4" t="s">
        <v>1105</v>
      </c>
      <c r="E519" s="24" t="s">
        <v>2649</v>
      </c>
      <c r="F519" s="4" t="s">
        <v>74</v>
      </c>
      <c r="G519" s="4"/>
      <c r="H519" s="4">
        <v>3</v>
      </c>
      <c r="I519" s="4"/>
      <c r="J519" s="4">
        <v>3</v>
      </c>
      <c r="K519" s="4" t="s">
        <v>6651</v>
      </c>
      <c r="L519" s="4">
        <v>3</v>
      </c>
      <c r="M519" s="4"/>
      <c r="N519" s="4" t="s">
        <v>6652</v>
      </c>
    </row>
    <row r="520" spans="1:14" ht="39.5" customHeight="1">
      <c r="A520" s="4" t="s">
        <v>6426</v>
      </c>
      <c r="B520" s="4" t="s">
        <v>6629</v>
      </c>
      <c r="C520" s="4" t="s">
        <v>1105</v>
      </c>
      <c r="D520" s="4" t="s">
        <v>1105</v>
      </c>
      <c r="E520" s="24" t="s">
        <v>2649</v>
      </c>
      <c r="F520" s="4" t="s">
        <v>74</v>
      </c>
      <c r="G520" s="4"/>
      <c r="H520" s="205" t="s">
        <v>2276</v>
      </c>
      <c r="I520" s="4"/>
      <c r="J520" s="205" t="s">
        <v>2276</v>
      </c>
      <c r="K520" s="4"/>
      <c r="L520" s="4">
        <v>3</v>
      </c>
      <c r="M520" s="4"/>
      <c r="N520" s="4" t="s">
        <v>6653</v>
      </c>
    </row>
    <row r="521" spans="1:14" ht="39.5" customHeight="1">
      <c r="A521" s="4" t="s">
        <v>6426</v>
      </c>
      <c r="B521" s="4" t="s">
        <v>6710</v>
      </c>
      <c r="C521" s="4" t="s">
        <v>24</v>
      </c>
      <c r="D521" s="4" t="s">
        <v>2659</v>
      </c>
      <c r="E521" s="4" t="s">
        <v>2649</v>
      </c>
      <c r="F521" s="4" t="s">
        <v>74</v>
      </c>
      <c r="G521" s="4"/>
      <c r="H521" s="4">
        <v>2</v>
      </c>
      <c r="I521" s="4" t="s">
        <v>6654</v>
      </c>
      <c r="J521" s="205" t="s">
        <v>2276</v>
      </c>
      <c r="K521" s="4"/>
      <c r="L521" s="205" t="s">
        <v>2276</v>
      </c>
      <c r="M521" s="4"/>
      <c r="N521" s="4" t="s">
        <v>6655</v>
      </c>
    </row>
    <row r="522" spans="1:14" ht="39.5" customHeight="1">
      <c r="A522" s="4" t="s">
        <v>6427</v>
      </c>
      <c r="B522" s="4" t="s">
        <v>6630</v>
      </c>
      <c r="C522" s="4" t="s">
        <v>1105</v>
      </c>
      <c r="D522" s="4" t="s">
        <v>1105</v>
      </c>
      <c r="E522" s="4" t="s">
        <v>2649</v>
      </c>
      <c r="F522" s="4" t="s">
        <v>74</v>
      </c>
      <c r="G522" s="4"/>
      <c r="H522" s="205" t="s">
        <v>2276</v>
      </c>
      <c r="I522" s="4"/>
      <c r="J522" s="205" t="s">
        <v>2276</v>
      </c>
      <c r="K522" s="4"/>
      <c r="L522" s="4">
        <v>3</v>
      </c>
      <c r="M522" s="4"/>
      <c r="N522" s="4" t="s">
        <v>6656</v>
      </c>
    </row>
    <row r="523" spans="1:14" ht="39.5" customHeight="1">
      <c r="A523" s="4" t="s">
        <v>6427</v>
      </c>
      <c r="B523" s="4" t="s">
        <v>6668</v>
      </c>
      <c r="C523" s="4" t="s">
        <v>24</v>
      </c>
      <c r="D523" s="4" t="s">
        <v>2659</v>
      </c>
      <c r="E523" s="4" t="s">
        <v>2649</v>
      </c>
      <c r="F523" s="4" t="s">
        <v>74</v>
      </c>
      <c r="G523" s="4"/>
      <c r="H523" s="4">
        <v>2</v>
      </c>
      <c r="I523" s="4" t="s">
        <v>6654</v>
      </c>
      <c r="J523" s="205" t="s">
        <v>2276</v>
      </c>
      <c r="K523" s="4"/>
      <c r="L523" s="205" t="s">
        <v>2276</v>
      </c>
      <c r="M523" s="4"/>
      <c r="N523" s="4" t="s">
        <v>6655</v>
      </c>
    </row>
    <row r="524" spans="1:14" ht="39.5" customHeight="1">
      <c r="A524" s="4" t="s">
        <v>6428</v>
      </c>
      <c r="B524" s="4" t="s">
        <v>6631</v>
      </c>
      <c r="C524" s="4" t="s">
        <v>1105</v>
      </c>
      <c r="D524" s="4" t="s">
        <v>1105</v>
      </c>
      <c r="E524" s="4" t="s">
        <v>2649</v>
      </c>
      <c r="F524" s="4" t="s">
        <v>74</v>
      </c>
      <c r="G524" s="4"/>
      <c r="H524" s="205" t="s">
        <v>2276</v>
      </c>
      <c r="I524" s="4"/>
      <c r="J524" s="205" t="s">
        <v>2276</v>
      </c>
      <c r="K524" s="4"/>
      <c r="L524" s="4">
        <v>2</v>
      </c>
      <c r="M524" s="4"/>
      <c r="N524" s="4" t="s">
        <v>6657</v>
      </c>
    </row>
    <row r="525" spans="1:14" ht="39.5" customHeight="1">
      <c r="A525" s="4" t="s">
        <v>6428</v>
      </c>
      <c r="B525" s="4" t="s">
        <v>6669</v>
      </c>
      <c r="C525" s="4" t="s">
        <v>24</v>
      </c>
      <c r="D525" s="4" t="s">
        <v>2659</v>
      </c>
      <c r="E525" s="4" t="s">
        <v>2649</v>
      </c>
      <c r="F525" s="4" t="s">
        <v>74</v>
      </c>
      <c r="G525" s="4"/>
      <c r="H525" s="4">
        <v>2</v>
      </c>
      <c r="I525" s="4" t="s">
        <v>6654</v>
      </c>
      <c r="J525" s="205" t="s">
        <v>2276</v>
      </c>
      <c r="K525" s="4"/>
      <c r="L525" s="205" t="s">
        <v>2276</v>
      </c>
      <c r="M525" s="4"/>
      <c r="N525" s="4" t="s">
        <v>6655</v>
      </c>
    </row>
    <row r="526" spans="1:14" ht="39.5" customHeight="1">
      <c r="A526" s="4" t="s">
        <v>6428</v>
      </c>
      <c r="B526" s="4" t="s">
        <v>6670</v>
      </c>
      <c r="C526" s="4" t="s">
        <v>24</v>
      </c>
      <c r="D526" s="4" t="s">
        <v>1242</v>
      </c>
      <c r="E526" s="4" t="s">
        <v>2649</v>
      </c>
      <c r="F526" s="4" t="s">
        <v>74</v>
      </c>
      <c r="G526" s="4"/>
      <c r="H526" s="205" t="s">
        <v>2276</v>
      </c>
      <c r="I526" s="4"/>
      <c r="J526" s="205">
        <v>1</v>
      </c>
      <c r="K526" s="4" t="s">
        <v>7937</v>
      </c>
      <c r="L526" s="205" t="s">
        <v>2276</v>
      </c>
      <c r="M526" s="4"/>
      <c r="N526" s="4" t="s">
        <v>6655</v>
      </c>
    </row>
    <row r="527" spans="1:14" ht="39.5" customHeight="1">
      <c r="A527" s="4" t="s">
        <v>6428</v>
      </c>
      <c r="B527" s="4" t="s">
        <v>6671</v>
      </c>
      <c r="C527" s="4" t="s">
        <v>2656</v>
      </c>
      <c r="D527" s="38" t="s">
        <v>2276</v>
      </c>
      <c r="E527" s="4" t="s">
        <v>2649</v>
      </c>
      <c r="F527" s="4" t="s">
        <v>74</v>
      </c>
      <c r="G527" s="4"/>
      <c r="H527" s="205" t="s">
        <v>2276</v>
      </c>
      <c r="I527" s="4"/>
      <c r="J527" s="205" t="s">
        <v>2276</v>
      </c>
      <c r="K527" s="4"/>
      <c r="L527" s="4">
        <v>2</v>
      </c>
      <c r="M527" s="4"/>
      <c r="N527" s="4" t="s">
        <v>6657</v>
      </c>
    </row>
    <row r="528" spans="1:14" ht="39.5" customHeight="1">
      <c r="A528" s="4" t="s">
        <v>6429</v>
      </c>
      <c r="B528" s="4" t="s">
        <v>6632</v>
      </c>
      <c r="C528" s="4" t="s">
        <v>1105</v>
      </c>
      <c r="D528" s="4" t="s">
        <v>1105</v>
      </c>
      <c r="E528" s="4" t="s">
        <v>2649</v>
      </c>
      <c r="F528" s="4" t="s">
        <v>74</v>
      </c>
      <c r="G528" s="4"/>
      <c r="H528" s="205" t="s">
        <v>2276</v>
      </c>
      <c r="I528" s="4"/>
      <c r="J528" s="205" t="s">
        <v>2276</v>
      </c>
      <c r="K528" s="4"/>
      <c r="L528" s="4">
        <v>2</v>
      </c>
      <c r="M528" s="4"/>
      <c r="N528" s="4" t="s">
        <v>6657</v>
      </c>
    </row>
    <row r="529" spans="1:14" ht="39.5" customHeight="1">
      <c r="A529" s="4" t="s">
        <v>6429</v>
      </c>
      <c r="B529" s="4" t="s">
        <v>6672</v>
      </c>
      <c r="C529" s="4" t="s">
        <v>24</v>
      </c>
      <c r="D529" s="4" t="s">
        <v>2659</v>
      </c>
      <c r="E529" s="4" t="s">
        <v>2649</v>
      </c>
      <c r="F529" s="4" t="s">
        <v>74</v>
      </c>
      <c r="G529" s="4"/>
      <c r="H529" s="4">
        <v>2</v>
      </c>
      <c r="I529" s="4" t="s">
        <v>6654</v>
      </c>
      <c r="J529" s="205" t="s">
        <v>2276</v>
      </c>
      <c r="K529" s="4"/>
      <c r="L529" s="205" t="s">
        <v>2276</v>
      </c>
      <c r="M529" s="4"/>
      <c r="N529" s="4" t="s">
        <v>6655</v>
      </c>
    </row>
    <row r="530" spans="1:14" ht="39.5" customHeight="1">
      <c r="A530" s="4" t="s">
        <v>6429</v>
      </c>
      <c r="B530" s="4" t="s">
        <v>6673</v>
      </c>
      <c r="C530" s="4" t="s">
        <v>24</v>
      </c>
      <c r="D530" s="4" t="s">
        <v>1242</v>
      </c>
      <c r="E530" s="4" t="s">
        <v>2649</v>
      </c>
      <c r="F530" s="4" t="s">
        <v>74</v>
      </c>
      <c r="G530" s="4"/>
      <c r="H530" s="205" t="s">
        <v>2276</v>
      </c>
      <c r="I530" s="4"/>
      <c r="J530" s="4">
        <v>3</v>
      </c>
      <c r="K530" s="4" t="s">
        <v>6658</v>
      </c>
      <c r="L530" s="205" t="s">
        <v>2276</v>
      </c>
      <c r="M530" s="4"/>
      <c r="N530" s="4" t="s">
        <v>6655</v>
      </c>
    </row>
    <row r="531" spans="1:14" ht="39.5" customHeight="1">
      <c r="A531" s="4" t="s">
        <v>6429</v>
      </c>
      <c r="B531" s="4" t="s">
        <v>6674</v>
      </c>
      <c r="C531" s="4" t="s">
        <v>2656</v>
      </c>
      <c r="D531" s="38" t="s">
        <v>2276</v>
      </c>
      <c r="E531" s="4" t="s">
        <v>2649</v>
      </c>
      <c r="F531" s="4" t="s">
        <v>74</v>
      </c>
      <c r="G531" s="4"/>
      <c r="H531" s="205" t="s">
        <v>2276</v>
      </c>
      <c r="I531" s="4"/>
      <c r="J531" s="205" t="s">
        <v>2276</v>
      </c>
      <c r="K531" s="4"/>
      <c r="L531" s="4">
        <v>2</v>
      </c>
      <c r="M531" s="4"/>
      <c r="N531" s="4" t="s">
        <v>6657</v>
      </c>
    </row>
    <row r="532" spans="1:14" ht="39.5" customHeight="1">
      <c r="A532" s="4" t="s">
        <v>6430</v>
      </c>
      <c r="B532" s="211" t="s">
        <v>6633</v>
      </c>
      <c r="C532" s="4" t="s">
        <v>1105</v>
      </c>
      <c r="D532" s="4" t="s">
        <v>1105</v>
      </c>
      <c r="E532" s="4" t="s">
        <v>2649</v>
      </c>
      <c r="F532" s="4" t="s">
        <v>74</v>
      </c>
      <c r="G532" s="4"/>
      <c r="H532" s="205" t="s">
        <v>2276</v>
      </c>
      <c r="I532" s="4"/>
      <c r="J532" s="205" t="s">
        <v>2276</v>
      </c>
      <c r="K532" s="4"/>
      <c r="L532" s="4">
        <v>3</v>
      </c>
      <c r="M532" s="4"/>
      <c r="N532" s="4" t="s">
        <v>6653</v>
      </c>
    </row>
    <row r="533" spans="1:14" ht="39.5" customHeight="1">
      <c r="A533" s="4" t="s">
        <v>6430</v>
      </c>
      <c r="B533" s="211" t="s">
        <v>6675</v>
      </c>
      <c r="C533" s="4" t="s">
        <v>24</v>
      </c>
      <c r="D533" s="4" t="s">
        <v>2659</v>
      </c>
      <c r="E533" s="4" t="s">
        <v>2649</v>
      </c>
      <c r="F533" s="4" t="s">
        <v>74</v>
      </c>
      <c r="G533" s="4"/>
      <c r="H533" s="4">
        <v>1</v>
      </c>
      <c r="I533" s="4" t="s">
        <v>6659</v>
      </c>
      <c r="J533" s="205" t="s">
        <v>2276</v>
      </c>
      <c r="K533" s="4"/>
      <c r="L533" s="205" t="s">
        <v>2276</v>
      </c>
      <c r="M533" s="4"/>
      <c r="N533" s="4" t="s">
        <v>6655</v>
      </c>
    </row>
    <row r="534" spans="1:14" ht="39.5" customHeight="1">
      <c r="A534" s="4" t="s">
        <v>6431</v>
      </c>
      <c r="B534" s="4" t="s">
        <v>6634</v>
      </c>
      <c r="C534" s="4" t="s">
        <v>1105</v>
      </c>
      <c r="D534" s="4" t="s">
        <v>1105</v>
      </c>
      <c r="E534" s="4" t="s">
        <v>2649</v>
      </c>
      <c r="F534" s="4" t="s">
        <v>74</v>
      </c>
      <c r="G534" s="4"/>
      <c r="H534" s="205" t="s">
        <v>2276</v>
      </c>
      <c r="I534" s="4"/>
      <c r="J534" s="205" t="s">
        <v>2276</v>
      </c>
      <c r="K534" s="4"/>
      <c r="L534" s="4">
        <v>3</v>
      </c>
      <c r="M534" s="4"/>
      <c r="N534" s="4" t="s">
        <v>6653</v>
      </c>
    </row>
    <row r="535" spans="1:14" ht="39.5" customHeight="1">
      <c r="A535" s="4" t="s">
        <v>6431</v>
      </c>
      <c r="B535" s="4" t="s">
        <v>6676</v>
      </c>
      <c r="C535" s="4" t="s">
        <v>24</v>
      </c>
      <c r="D535" s="4" t="s">
        <v>2659</v>
      </c>
      <c r="E535" s="4" t="s">
        <v>2649</v>
      </c>
      <c r="F535" s="4" t="s">
        <v>74</v>
      </c>
      <c r="G535" s="4"/>
      <c r="H535" s="4">
        <v>2</v>
      </c>
      <c r="I535" s="4" t="s">
        <v>6654</v>
      </c>
      <c r="J535" s="205" t="s">
        <v>2276</v>
      </c>
      <c r="K535" s="4"/>
      <c r="L535" s="205" t="s">
        <v>2276</v>
      </c>
      <c r="M535" s="4"/>
      <c r="N535" s="4" t="s">
        <v>6655</v>
      </c>
    </row>
    <row r="536" spans="1:14" ht="39.5" customHeight="1">
      <c r="A536" s="4" t="s">
        <v>6635</v>
      </c>
      <c r="B536" s="4" t="s">
        <v>6636</v>
      </c>
      <c r="C536" s="4" t="s">
        <v>1105</v>
      </c>
      <c r="D536" s="4" t="s">
        <v>1105</v>
      </c>
      <c r="E536" s="4" t="s">
        <v>2649</v>
      </c>
      <c r="F536" s="4" t="s">
        <v>74</v>
      </c>
      <c r="G536" s="4"/>
      <c r="H536" s="205" t="s">
        <v>2276</v>
      </c>
      <c r="I536" s="4"/>
      <c r="J536" s="205" t="s">
        <v>2276</v>
      </c>
      <c r="K536" s="4"/>
      <c r="L536" s="4">
        <v>3</v>
      </c>
      <c r="M536" s="4"/>
      <c r="N536" s="4" t="s">
        <v>6653</v>
      </c>
    </row>
    <row r="537" spans="1:14" ht="39.5" customHeight="1">
      <c r="A537" s="4" t="s">
        <v>6635</v>
      </c>
      <c r="B537" s="4" t="s">
        <v>6677</v>
      </c>
      <c r="C537" s="4" t="s">
        <v>24</v>
      </c>
      <c r="D537" s="4" t="s">
        <v>2659</v>
      </c>
      <c r="E537" s="4" t="s">
        <v>2649</v>
      </c>
      <c r="F537" s="4" t="s">
        <v>74</v>
      </c>
      <c r="G537" s="4"/>
      <c r="H537" s="4">
        <v>2</v>
      </c>
      <c r="I537" s="4" t="s">
        <v>6654</v>
      </c>
      <c r="J537" s="205" t="s">
        <v>2276</v>
      </c>
      <c r="K537" s="4"/>
      <c r="L537" s="205" t="s">
        <v>2276</v>
      </c>
      <c r="M537" s="4"/>
      <c r="N537" s="4" t="s">
        <v>6655</v>
      </c>
    </row>
    <row r="538" spans="1:14" ht="39.5" customHeight="1">
      <c r="A538" s="4" t="s">
        <v>6635</v>
      </c>
      <c r="B538" s="4" t="s">
        <v>6678</v>
      </c>
      <c r="C538" s="4" t="s">
        <v>24</v>
      </c>
      <c r="D538" s="4" t="s">
        <v>1242</v>
      </c>
      <c r="E538" s="4" t="s">
        <v>2649</v>
      </c>
      <c r="F538" s="4" t="s">
        <v>74</v>
      </c>
      <c r="G538" s="4"/>
      <c r="H538" s="205" t="s">
        <v>2276</v>
      </c>
      <c r="I538" s="4"/>
      <c r="J538" s="4">
        <v>3</v>
      </c>
      <c r="K538" s="4" t="s">
        <v>6660</v>
      </c>
      <c r="L538" s="205" t="s">
        <v>2276</v>
      </c>
      <c r="M538" s="4"/>
      <c r="N538" s="4" t="s">
        <v>6655</v>
      </c>
    </row>
    <row r="539" spans="1:14" ht="39.5" customHeight="1">
      <c r="A539" s="4" t="s">
        <v>6433</v>
      </c>
      <c r="B539" s="4" t="s">
        <v>6637</v>
      </c>
      <c r="C539" s="4" t="s">
        <v>1105</v>
      </c>
      <c r="D539" s="4" t="s">
        <v>1105</v>
      </c>
      <c r="E539" s="4" t="s">
        <v>2649</v>
      </c>
      <c r="F539" s="4" t="s">
        <v>74</v>
      </c>
      <c r="G539" s="4"/>
      <c r="H539" s="205" t="s">
        <v>2276</v>
      </c>
      <c r="I539" s="4"/>
      <c r="J539" s="205" t="s">
        <v>2276</v>
      </c>
      <c r="K539" s="4"/>
      <c r="L539" s="4">
        <v>3</v>
      </c>
      <c r="M539" s="4"/>
      <c r="N539" s="4" t="s">
        <v>6653</v>
      </c>
    </row>
    <row r="540" spans="1:14" ht="39.5" customHeight="1">
      <c r="A540" s="4" t="s">
        <v>6433</v>
      </c>
      <c r="B540" s="4" t="s">
        <v>6679</v>
      </c>
      <c r="C540" s="4" t="s">
        <v>24</v>
      </c>
      <c r="D540" s="4" t="s">
        <v>2659</v>
      </c>
      <c r="E540" s="4" t="s">
        <v>2649</v>
      </c>
      <c r="F540" s="4" t="s">
        <v>74</v>
      </c>
      <c r="G540" s="4"/>
      <c r="H540" s="4">
        <v>2</v>
      </c>
      <c r="I540" s="4" t="s">
        <v>6654</v>
      </c>
      <c r="J540" s="205" t="s">
        <v>2276</v>
      </c>
      <c r="K540" s="4"/>
      <c r="L540" s="205" t="s">
        <v>2276</v>
      </c>
      <c r="M540" s="4"/>
      <c r="N540" s="4" t="s">
        <v>6655</v>
      </c>
    </row>
    <row r="541" spans="1:14" ht="39.5" customHeight="1">
      <c r="A541" s="4" t="s">
        <v>6434</v>
      </c>
      <c r="B541" s="4" t="s">
        <v>6638</v>
      </c>
      <c r="C541" s="4" t="s">
        <v>1105</v>
      </c>
      <c r="D541" s="4" t="s">
        <v>1105</v>
      </c>
      <c r="E541" s="4" t="s">
        <v>2649</v>
      </c>
      <c r="F541" s="4" t="s">
        <v>74</v>
      </c>
      <c r="G541" s="4"/>
      <c r="H541" s="205" t="s">
        <v>2276</v>
      </c>
      <c r="I541" s="4"/>
      <c r="J541" s="205" t="s">
        <v>2276</v>
      </c>
      <c r="K541" s="4"/>
      <c r="L541" s="4">
        <v>3</v>
      </c>
      <c r="M541" s="4"/>
      <c r="N541" s="4" t="s">
        <v>6655</v>
      </c>
    </row>
    <row r="542" spans="1:14" ht="39.5" customHeight="1">
      <c r="A542" s="4" t="s">
        <v>6434</v>
      </c>
      <c r="B542" s="4" t="s">
        <v>6680</v>
      </c>
      <c r="C542" s="4" t="s">
        <v>24</v>
      </c>
      <c r="D542" s="4" t="s">
        <v>2659</v>
      </c>
      <c r="E542" s="4" t="s">
        <v>2649</v>
      </c>
      <c r="F542" s="4" t="s">
        <v>74</v>
      </c>
      <c r="G542" s="4"/>
      <c r="H542" s="4">
        <v>2</v>
      </c>
      <c r="I542" s="4" t="s">
        <v>6654</v>
      </c>
      <c r="J542" s="205" t="s">
        <v>2276</v>
      </c>
      <c r="K542" s="4"/>
      <c r="L542" s="205" t="s">
        <v>2276</v>
      </c>
      <c r="M542" s="4"/>
      <c r="N542" s="4" t="s">
        <v>6655</v>
      </c>
    </row>
    <row r="543" spans="1:14" ht="39.5" customHeight="1">
      <c r="A543" s="4" t="s">
        <v>6435</v>
      </c>
      <c r="B543" s="4" t="s">
        <v>6639</v>
      </c>
      <c r="C543" s="4" t="s">
        <v>1105</v>
      </c>
      <c r="D543" s="4" t="s">
        <v>1105</v>
      </c>
      <c r="E543" s="4" t="s">
        <v>2649</v>
      </c>
      <c r="F543" s="4" t="s">
        <v>74</v>
      </c>
      <c r="G543" s="4"/>
      <c r="H543" s="205" t="s">
        <v>2276</v>
      </c>
      <c r="I543" s="4"/>
      <c r="J543" s="205" t="s">
        <v>2276</v>
      </c>
      <c r="K543" s="4"/>
      <c r="L543" s="4">
        <v>3</v>
      </c>
      <c r="M543" s="4"/>
      <c r="N543" s="4" t="s">
        <v>6653</v>
      </c>
    </row>
    <row r="544" spans="1:14" ht="39.5" customHeight="1">
      <c r="A544" s="4" t="s">
        <v>6435</v>
      </c>
      <c r="B544" s="4" t="s">
        <v>6681</v>
      </c>
      <c r="C544" s="4" t="s">
        <v>24</v>
      </c>
      <c r="D544" s="4" t="s">
        <v>2659</v>
      </c>
      <c r="E544" s="4" t="s">
        <v>2649</v>
      </c>
      <c r="F544" s="4" t="s">
        <v>74</v>
      </c>
      <c r="G544" s="4"/>
      <c r="H544" s="4">
        <v>2</v>
      </c>
      <c r="I544" s="4" t="s">
        <v>6654</v>
      </c>
      <c r="J544" s="205" t="s">
        <v>2276</v>
      </c>
      <c r="K544" s="4"/>
      <c r="L544" s="205" t="s">
        <v>2276</v>
      </c>
      <c r="M544" s="4"/>
      <c r="N544" s="4" t="s">
        <v>6655</v>
      </c>
    </row>
    <row r="545" spans="1:14" ht="39.5" customHeight="1">
      <c r="A545" s="4" t="s">
        <v>6435</v>
      </c>
      <c r="B545" s="4" t="s">
        <v>6682</v>
      </c>
      <c r="C545" s="4" t="s">
        <v>24</v>
      </c>
      <c r="D545" s="4" t="s">
        <v>1242</v>
      </c>
      <c r="E545" s="4" t="s">
        <v>2649</v>
      </c>
      <c r="F545" s="4" t="s">
        <v>74</v>
      </c>
      <c r="G545" s="4"/>
      <c r="H545" s="205" t="s">
        <v>2276</v>
      </c>
      <c r="I545" s="4"/>
      <c r="J545" s="4">
        <v>2</v>
      </c>
      <c r="K545" s="4" t="s">
        <v>6649</v>
      </c>
      <c r="L545" s="205" t="s">
        <v>2276</v>
      </c>
      <c r="M545" s="4"/>
      <c r="N545" s="4" t="s">
        <v>6655</v>
      </c>
    </row>
    <row r="546" spans="1:14" ht="39.5" customHeight="1">
      <c r="A546" s="4" t="s">
        <v>6436</v>
      </c>
      <c r="B546" s="4" t="s">
        <v>6640</v>
      </c>
      <c r="C546" s="4" t="s">
        <v>1105</v>
      </c>
      <c r="D546" s="4" t="s">
        <v>1105</v>
      </c>
      <c r="E546" s="4" t="s">
        <v>2649</v>
      </c>
      <c r="F546" s="4" t="s">
        <v>74</v>
      </c>
      <c r="G546" s="4"/>
      <c r="H546" s="205" t="s">
        <v>2276</v>
      </c>
      <c r="I546" s="4"/>
      <c r="J546" s="205" t="s">
        <v>2276</v>
      </c>
      <c r="K546" s="4"/>
      <c r="L546" s="4">
        <v>3</v>
      </c>
      <c r="M546" s="4"/>
      <c r="N546" s="4" t="s">
        <v>6653</v>
      </c>
    </row>
    <row r="547" spans="1:14" ht="39.5" customHeight="1">
      <c r="A547" s="4" t="s">
        <v>6436</v>
      </c>
      <c r="B547" s="4" t="s">
        <v>6683</v>
      </c>
      <c r="C547" s="4" t="s">
        <v>24</v>
      </c>
      <c r="D547" s="4" t="s">
        <v>2659</v>
      </c>
      <c r="E547" s="4" t="s">
        <v>2649</v>
      </c>
      <c r="F547" s="4" t="s">
        <v>74</v>
      </c>
      <c r="G547" s="4"/>
      <c r="H547" s="4">
        <v>2</v>
      </c>
      <c r="I547" s="4" t="s">
        <v>6654</v>
      </c>
      <c r="J547" s="205" t="s">
        <v>2276</v>
      </c>
      <c r="K547" s="4"/>
      <c r="L547" s="205" t="s">
        <v>2276</v>
      </c>
      <c r="M547" s="4"/>
      <c r="N547" s="4" t="s">
        <v>6655</v>
      </c>
    </row>
    <row r="548" spans="1:14" ht="39.5" customHeight="1">
      <c r="A548" s="4" t="s">
        <v>6436</v>
      </c>
      <c r="B548" s="4" t="s">
        <v>6684</v>
      </c>
      <c r="C548" s="4" t="s">
        <v>24</v>
      </c>
      <c r="D548" s="4" t="s">
        <v>1242</v>
      </c>
      <c r="E548" s="4" t="s">
        <v>2649</v>
      </c>
      <c r="F548" s="4" t="s">
        <v>74</v>
      </c>
      <c r="G548" s="4"/>
      <c r="H548" s="205" t="s">
        <v>2276</v>
      </c>
      <c r="I548" s="4"/>
      <c r="J548" s="4">
        <v>3</v>
      </c>
      <c r="K548" s="4" t="s">
        <v>6658</v>
      </c>
      <c r="L548" s="205" t="s">
        <v>2276</v>
      </c>
      <c r="M548" s="4"/>
      <c r="N548" s="4" t="s">
        <v>6655</v>
      </c>
    </row>
    <row r="549" spans="1:14" ht="39.5" customHeight="1">
      <c r="A549" s="4" t="s">
        <v>6437</v>
      </c>
      <c r="B549" s="4" t="s">
        <v>6641</v>
      </c>
      <c r="C549" s="4" t="s">
        <v>6609</v>
      </c>
      <c r="D549" s="38" t="s">
        <v>30</v>
      </c>
      <c r="E549" s="4" t="s">
        <v>137</v>
      </c>
      <c r="F549" s="4" t="s">
        <v>74</v>
      </c>
      <c r="G549" s="4"/>
      <c r="H549" s="205" t="s">
        <v>2276</v>
      </c>
      <c r="I549" s="4"/>
      <c r="J549" s="4">
        <v>0</v>
      </c>
      <c r="K549" s="4"/>
      <c r="L549" s="4">
        <v>1</v>
      </c>
      <c r="M549" s="4"/>
      <c r="N549" s="166" t="s">
        <v>7938</v>
      </c>
    </row>
    <row r="550" spans="1:14" ht="39.5" customHeight="1">
      <c r="A550" s="4" t="s">
        <v>6437</v>
      </c>
      <c r="B550" s="4" t="s">
        <v>6642</v>
      </c>
      <c r="C550" s="4" t="s">
        <v>2656</v>
      </c>
      <c r="D550" s="38" t="s">
        <v>2276</v>
      </c>
      <c r="E550" s="4" t="s">
        <v>137</v>
      </c>
      <c r="F550" s="4" t="s">
        <v>74</v>
      </c>
      <c r="G550" s="4"/>
      <c r="H550" s="205" t="s">
        <v>2276</v>
      </c>
      <c r="I550" s="4"/>
      <c r="J550" s="4">
        <v>0</v>
      </c>
      <c r="K550" s="4"/>
      <c r="L550" s="4">
        <v>1</v>
      </c>
      <c r="M550" s="4"/>
      <c r="N550" s="166" t="s">
        <v>7938</v>
      </c>
    </row>
    <row r="551" spans="1:14" ht="39.5" customHeight="1">
      <c r="A551" s="4" t="s">
        <v>6438</v>
      </c>
      <c r="B551" s="4" t="s">
        <v>6685</v>
      </c>
      <c r="C551" s="4" t="s">
        <v>6609</v>
      </c>
      <c r="D551" s="38" t="s">
        <v>30</v>
      </c>
      <c r="E551" s="4" t="s">
        <v>2649</v>
      </c>
      <c r="F551" s="4" t="s">
        <v>74</v>
      </c>
      <c r="G551" s="4"/>
      <c r="H551" s="205" t="s">
        <v>2276</v>
      </c>
      <c r="I551" s="4"/>
      <c r="J551" s="205" t="s">
        <v>2276</v>
      </c>
      <c r="K551" s="4"/>
      <c r="L551" s="4">
        <v>3</v>
      </c>
      <c r="M551" s="4"/>
      <c r="N551" s="166"/>
    </row>
    <row r="552" spans="1:14" ht="39.5" customHeight="1">
      <c r="A552" s="4" t="s">
        <v>6438</v>
      </c>
      <c r="B552" s="4" t="s">
        <v>6686</v>
      </c>
      <c r="C552" s="4" t="s">
        <v>2656</v>
      </c>
      <c r="D552" s="38" t="s">
        <v>2276</v>
      </c>
      <c r="E552" s="4" t="s">
        <v>2649</v>
      </c>
      <c r="F552" s="4" t="s">
        <v>74</v>
      </c>
      <c r="G552" s="4"/>
      <c r="H552" s="205" t="s">
        <v>2276</v>
      </c>
      <c r="I552" s="4"/>
      <c r="J552" s="205" t="s">
        <v>2276</v>
      </c>
      <c r="K552" s="4"/>
      <c r="L552" s="4">
        <v>3</v>
      </c>
      <c r="M552" s="4"/>
      <c r="N552" s="166"/>
    </row>
    <row r="553" spans="1:14" ht="39.5" customHeight="1">
      <c r="A553" s="4" t="s">
        <v>6439</v>
      </c>
      <c r="B553" s="4" t="s">
        <v>6643</v>
      </c>
      <c r="C553" s="4" t="s">
        <v>1105</v>
      </c>
      <c r="D553" s="4" t="s">
        <v>1105</v>
      </c>
      <c r="E553" s="4" t="s">
        <v>2649</v>
      </c>
      <c r="F553" s="4" t="s">
        <v>74</v>
      </c>
      <c r="G553" s="4"/>
      <c r="H553" s="205" t="s">
        <v>2276</v>
      </c>
      <c r="I553" s="4"/>
      <c r="J553" s="4">
        <v>0</v>
      </c>
      <c r="K553" s="4"/>
      <c r="L553" s="4">
        <v>2</v>
      </c>
      <c r="M553" s="4" t="s">
        <v>6661</v>
      </c>
      <c r="N553" s="4" t="s">
        <v>6662</v>
      </c>
    </row>
    <row r="554" spans="1:14" ht="39.5" customHeight="1">
      <c r="A554" s="4" t="s">
        <v>6440</v>
      </c>
      <c r="B554" s="4" t="s">
        <v>6646</v>
      </c>
      <c r="C554" s="4" t="s">
        <v>24</v>
      </c>
      <c r="D554" s="4" t="s">
        <v>1242</v>
      </c>
      <c r="E554" s="4" t="s">
        <v>2649</v>
      </c>
      <c r="F554" s="4" t="s">
        <v>74</v>
      </c>
      <c r="G554" s="4"/>
      <c r="H554" s="4">
        <v>2</v>
      </c>
      <c r="I554" s="4" t="s">
        <v>6663</v>
      </c>
      <c r="J554" s="4">
        <v>2</v>
      </c>
      <c r="K554" s="4" t="s">
        <v>6649</v>
      </c>
      <c r="L554" s="205" t="s">
        <v>2276</v>
      </c>
      <c r="M554" s="4"/>
      <c r="N554" s="4"/>
    </row>
    <row r="555" spans="1:14" ht="39.5" customHeight="1">
      <c r="A555" s="4" t="s">
        <v>6441</v>
      </c>
      <c r="B555" s="4" t="s">
        <v>6647</v>
      </c>
      <c r="C555" s="4" t="s">
        <v>24</v>
      </c>
      <c r="D555" s="4" t="s">
        <v>1242</v>
      </c>
      <c r="E555" s="4" t="s">
        <v>2649</v>
      </c>
      <c r="F555" s="4" t="s">
        <v>74</v>
      </c>
      <c r="G555" s="4"/>
      <c r="H555" s="205" t="s">
        <v>2276</v>
      </c>
      <c r="I555" s="4"/>
      <c r="J555" s="4">
        <v>2</v>
      </c>
      <c r="K555" s="4" t="s">
        <v>6649</v>
      </c>
      <c r="L555" s="205" t="s">
        <v>2276</v>
      </c>
      <c r="M555" s="4"/>
      <c r="N555" s="4" t="s">
        <v>6664</v>
      </c>
    </row>
    <row r="556" spans="1:14" ht="39.5" customHeight="1">
      <c r="A556" s="19" t="s">
        <v>7061</v>
      </c>
      <c r="B556" s="19" t="s">
        <v>7064</v>
      </c>
      <c r="C556" s="205" t="s">
        <v>1105</v>
      </c>
      <c r="D556" s="205" t="s">
        <v>1105</v>
      </c>
      <c r="E556" s="4" t="s">
        <v>45</v>
      </c>
      <c r="F556" s="205" t="s">
        <v>55</v>
      </c>
      <c r="G556" s="205"/>
      <c r="H556" s="205"/>
      <c r="I556" s="205"/>
      <c r="J556" s="205">
        <v>2</v>
      </c>
      <c r="K556" s="205" t="s">
        <v>7066</v>
      </c>
      <c r="L556" s="205"/>
      <c r="M556" s="205"/>
      <c r="N556" s="205"/>
    </row>
    <row r="557" spans="1:14" ht="39.5" customHeight="1">
      <c r="A557" s="19" t="s">
        <v>7061</v>
      </c>
      <c r="B557" s="19" t="s">
        <v>7065</v>
      </c>
      <c r="C557" s="205" t="s">
        <v>1105</v>
      </c>
      <c r="D557" s="205" t="s">
        <v>1105</v>
      </c>
      <c r="E557" s="4" t="s">
        <v>5801</v>
      </c>
      <c r="F557" s="205" t="s">
        <v>55</v>
      </c>
      <c r="G557" s="205"/>
      <c r="H557" s="205"/>
      <c r="I557" s="205"/>
      <c r="J557" s="205">
        <v>0</v>
      </c>
      <c r="K557" s="205" t="s">
        <v>7067</v>
      </c>
      <c r="L557" s="205"/>
      <c r="M557" s="205"/>
      <c r="N557" s="205"/>
    </row>
    <row r="558" spans="1:14" ht="38.5" customHeight="1">
      <c r="A558" s="19" t="s">
        <v>7119</v>
      </c>
      <c r="B558" s="19" t="s">
        <v>7122</v>
      </c>
      <c r="C558" s="205" t="s">
        <v>24</v>
      </c>
      <c r="D558" s="205" t="s">
        <v>1242</v>
      </c>
      <c r="E558" s="4" t="s">
        <v>45</v>
      </c>
      <c r="F558" s="205" t="s">
        <v>28</v>
      </c>
      <c r="G558" s="205"/>
      <c r="H558" s="205"/>
      <c r="I558" s="205"/>
      <c r="J558" s="205">
        <v>1</v>
      </c>
      <c r="K558" s="19" t="s">
        <v>7130</v>
      </c>
      <c r="L558" s="205"/>
      <c r="M558" s="205"/>
      <c r="N558" s="205"/>
    </row>
    <row r="559" spans="1:14" ht="39" customHeight="1">
      <c r="A559" s="19" t="s">
        <v>7132</v>
      </c>
      <c r="B559" s="19" t="s">
        <v>7140</v>
      </c>
      <c r="C559" s="205" t="s">
        <v>1105</v>
      </c>
      <c r="D559" s="205" t="s">
        <v>1105</v>
      </c>
      <c r="E559" s="4" t="s">
        <v>3209</v>
      </c>
      <c r="F559" s="205" t="s">
        <v>2276</v>
      </c>
      <c r="G559" s="205"/>
      <c r="H559" s="205" t="s">
        <v>2276</v>
      </c>
      <c r="I559" s="205" t="s">
        <v>2276</v>
      </c>
      <c r="J559" s="205">
        <v>1</v>
      </c>
      <c r="K559" s="205" t="s">
        <v>7150</v>
      </c>
      <c r="L559" s="4">
        <v>2</v>
      </c>
      <c r="M559" s="205" t="s">
        <v>7149</v>
      </c>
      <c r="N559" s="205"/>
    </row>
    <row r="560" spans="1:14" ht="50.5" customHeight="1">
      <c r="A560" s="19" t="s">
        <v>7132</v>
      </c>
      <c r="B560" s="19" t="s">
        <v>7141</v>
      </c>
      <c r="C560" s="205" t="s">
        <v>24</v>
      </c>
      <c r="D560" s="205" t="s">
        <v>2276</v>
      </c>
      <c r="E560" s="4" t="s">
        <v>45</v>
      </c>
      <c r="F560" s="205" t="s">
        <v>2276</v>
      </c>
      <c r="G560" s="205"/>
      <c r="H560" s="205">
        <v>0</v>
      </c>
      <c r="I560" s="4" t="s">
        <v>7151</v>
      </c>
      <c r="J560" s="205" t="s">
        <v>2276</v>
      </c>
      <c r="K560" s="205" t="s">
        <v>2276</v>
      </c>
      <c r="L560" s="205" t="s">
        <v>2276</v>
      </c>
      <c r="M560" s="205" t="s">
        <v>2276</v>
      </c>
      <c r="N560" s="205"/>
    </row>
    <row r="561" spans="1:14" ht="50.5" customHeight="1">
      <c r="A561" s="19" t="s">
        <v>7132</v>
      </c>
      <c r="B561" s="19" t="s">
        <v>7142</v>
      </c>
      <c r="C561" s="205" t="s">
        <v>24</v>
      </c>
      <c r="D561" s="205" t="s">
        <v>2276</v>
      </c>
      <c r="E561" s="4" t="s">
        <v>130</v>
      </c>
      <c r="F561" s="205" t="s">
        <v>2276</v>
      </c>
      <c r="G561" s="205"/>
      <c r="H561" s="205">
        <v>0</v>
      </c>
      <c r="I561" s="4" t="s">
        <v>7151</v>
      </c>
      <c r="J561" s="205" t="s">
        <v>2276</v>
      </c>
      <c r="K561" s="205" t="s">
        <v>2276</v>
      </c>
      <c r="L561" s="205" t="s">
        <v>2276</v>
      </c>
      <c r="M561" s="205" t="s">
        <v>2276</v>
      </c>
      <c r="N561" s="205"/>
    </row>
    <row r="562" spans="1:14" ht="36.5" customHeight="1">
      <c r="A562" s="19" t="s">
        <v>7152</v>
      </c>
      <c r="B562" s="19" t="s">
        <v>7156</v>
      </c>
      <c r="C562" s="205" t="s">
        <v>24</v>
      </c>
      <c r="D562" s="205" t="s">
        <v>1242</v>
      </c>
      <c r="E562" s="4" t="s">
        <v>3209</v>
      </c>
      <c r="F562" s="4" t="s">
        <v>2662</v>
      </c>
      <c r="G562" s="205"/>
      <c r="H562" s="205">
        <v>3</v>
      </c>
      <c r="I562" s="205" t="s">
        <v>7162</v>
      </c>
      <c r="J562" s="205">
        <v>2</v>
      </c>
      <c r="K562" s="205" t="s">
        <v>7161</v>
      </c>
      <c r="L562" s="205" t="s">
        <v>2276</v>
      </c>
      <c r="M562" s="205" t="s">
        <v>2276</v>
      </c>
      <c r="N562" s="205"/>
    </row>
    <row r="563" spans="1:14" ht="35.5" customHeight="1">
      <c r="A563" s="19" t="s">
        <v>7152</v>
      </c>
      <c r="B563" s="19" t="s">
        <v>7157</v>
      </c>
      <c r="C563" s="205" t="s">
        <v>24</v>
      </c>
      <c r="D563" s="205" t="s">
        <v>1105</v>
      </c>
      <c r="E563" s="4" t="s">
        <v>5801</v>
      </c>
      <c r="F563" s="4" t="s">
        <v>2662</v>
      </c>
      <c r="G563" s="205"/>
      <c r="H563" s="205" t="s">
        <v>2276</v>
      </c>
      <c r="I563" s="205" t="s">
        <v>2276</v>
      </c>
      <c r="J563" s="205">
        <v>0</v>
      </c>
      <c r="K563" s="4" t="s">
        <v>7163</v>
      </c>
      <c r="L563" s="205" t="s">
        <v>2276</v>
      </c>
      <c r="M563" s="205" t="s">
        <v>2276</v>
      </c>
      <c r="N563" s="205"/>
    </row>
    <row r="564" spans="1:14" ht="29">
      <c r="A564" s="19" t="s">
        <v>7152</v>
      </c>
      <c r="B564" s="19" t="s">
        <v>7158</v>
      </c>
      <c r="C564" s="205" t="s">
        <v>24</v>
      </c>
      <c r="D564" s="205" t="s">
        <v>1242</v>
      </c>
      <c r="E564" s="4" t="s">
        <v>3209</v>
      </c>
      <c r="F564" s="4" t="s">
        <v>2662</v>
      </c>
      <c r="G564" s="205"/>
      <c r="H564" s="205">
        <v>3</v>
      </c>
      <c r="I564" s="205" t="s">
        <v>7162</v>
      </c>
      <c r="J564" s="205">
        <v>2</v>
      </c>
      <c r="K564" s="205" t="s">
        <v>7161</v>
      </c>
      <c r="L564" s="205" t="s">
        <v>2276</v>
      </c>
      <c r="M564" s="205" t="s">
        <v>2276</v>
      </c>
      <c r="N564" s="205"/>
    </row>
    <row r="565" spans="1:14" ht="36.5" customHeight="1">
      <c r="A565" s="19" t="s">
        <v>7167</v>
      </c>
      <c r="B565" s="19" t="s">
        <v>7256</v>
      </c>
      <c r="C565" s="205" t="s">
        <v>1105</v>
      </c>
      <c r="D565" s="205" t="s">
        <v>1105</v>
      </c>
      <c r="E565" s="4" t="s">
        <v>45</v>
      </c>
      <c r="F565" s="4" t="s">
        <v>2662</v>
      </c>
      <c r="G565" s="205"/>
      <c r="H565" s="205" t="s">
        <v>2276</v>
      </c>
      <c r="I565" s="205" t="s">
        <v>2276</v>
      </c>
      <c r="J565" s="205">
        <v>2</v>
      </c>
      <c r="K565" s="4" t="s">
        <v>7260</v>
      </c>
      <c r="L565" s="205" t="s">
        <v>2276</v>
      </c>
      <c r="M565" s="205" t="s">
        <v>2276</v>
      </c>
      <c r="N565" s="205"/>
    </row>
    <row r="566" spans="1:14" ht="36.5" customHeight="1">
      <c r="A566" s="19" t="s">
        <v>7167</v>
      </c>
      <c r="B566" s="19" t="s">
        <v>7257</v>
      </c>
      <c r="C566" s="205" t="s">
        <v>1105</v>
      </c>
      <c r="D566" s="205" t="s">
        <v>1105</v>
      </c>
      <c r="E566" s="4" t="s">
        <v>5801</v>
      </c>
      <c r="F566" s="4" t="s">
        <v>2662</v>
      </c>
      <c r="G566" s="205"/>
      <c r="H566" s="205" t="s">
        <v>2276</v>
      </c>
      <c r="I566" s="205" t="s">
        <v>2276</v>
      </c>
      <c r="J566" s="205">
        <v>0</v>
      </c>
      <c r="K566" s="4" t="s">
        <v>7163</v>
      </c>
      <c r="L566" s="205" t="s">
        <v>2276</v>
      </c>
      <c r="M566" s="205" t="s">
        <v>2276</v>
      </c>
      <c r="N566" s="205"/>
    </row>
    <row r="567" spans="1:14" ht="36.5" customHeight="1">
      <c r="A567" s="19" t="s">
        <v>7187</v>
      </c>
      <c r="B567" s="19" t="s">
        <v>7258</v>
      </c>
      <c r="C567" s="205" t="s">
        <v>1105</v>
      </c>
      <c r="D567" s="205" t="s">
        <v>1105</v>
      </c>
      <c r="E567" s="4" t="s">
        <v>5801</v>
      </c>
      <c r="F567" s="4" t="s">
        <v>2662</v>
      </c>
      <c r="G567" s="205"/>
      <c r="H567" s="205" t="s">
        <v>2276</v>
      </c>
      <c r="I567" s="205" t="s">
        <v>2276</v>
      </c>
      <c r="J567" s="205">
        <v>0</v>
      </c>
      <c r="K567" s="4" t="s">
        <v>7163</v>
      </c>
      <c r="L567" s="205" t="s">
        <v>2276</v>
      </c>
      <c r="M567" s="205" t="s">
        <v>2276</v>
      </c>
      <c r="N567" s="205"/>
    </row>
    <row r="568" spans="1:14" ht="36.5" customHeight="1">
      <c r="A568" s="19" t="s">
        <v>7187</v>
      </c>
      <c r="B568" s="19" t="s">
        <v>7259</v>
      </c>
      <c r="C568" s="205" t="s">
        <v>1105</v>
      </c>
      <c r="D568" s="205" t="s">
        <v>1105</v>
      </c>
      <c r="E568" s="4" t="s">
        <v>5801</v>
      </c>
      <c r="F568" s="4" t="s">
        <v>2662</v>
      </c>
      <c r="G568" s="205"/>
      <c r="H568" s="205" t="s">
        <v>2276</v>
      </c>
      <c r="I568" s="205" t="s">
        <v>2276</v>
      </c>
      <c r="J568" s="205">
        <v>0</v>
      </c>
      <c r="K568" s="4" t="s">
        <v>7163</v>
      </c>
      <c r="L568" s="205" t="s">
        <v>2276</v>
      </c>
      <c r="M568" s="205" t="s">
        <v>2276</v>
      </c>
      <c r="N568" s="205"/>
    </row>
    <row r="569" spans="1:14" ht="30" customHeight="1">
      <c r="A569" s="19" t="s">
        <v>7192</v>
      </c>
      <c r="B569" s="19" t="s">
        <v>7261</v>
      </c>
      <c r="C569" s="205" t="s">
        <v>1105</v>
      </c>
      <c r="D569" s="205" t="s">
        <v>1105</v>
      </c>
      <c r="E569" s="4" t="s">
        <v>45</v>
      </c>
      <c r="F569" s="4" t="s">
        <v>2662</v>
      </c>
      <c r="G569" s="205"/>
      <c r="H569" s="205" t="s">
        <v>2276</v>
      </c>
      <c r="I569" s="205" t="s">
        <v>2276</v>
      </c>
      <c r="J569" s="205">
        <v>2</v>
      </c>
      <c r="K569" s="4" t="s">
        <v>7260</v>
      </c>
      <c r="L569" s="205" t="s">
        <v>2276</v>
      </c>
      <c r="M569" s="205" t="s">
        <v>2276</v>
      </c>
      <c r="N569" s="205"/>
    </row>
    <row r="570" spans="1:14" ht="29">
      <c r="A570" s="19" t="s">
        <v>7192</v>
      </c>
      <c r="B570" s="19" t="s">
        <v>7266</v>
      </c>
      <c r="C570" s="205" t="s">
        <v>1105</v>
      </c>
      <c r="D570" s="205" t="s">
        <v>1105</v>
      </c>
      <c r="E570" s="4" t="s">
        <v>5801</v>
      </c>
      <c r="F570" s="4" t="s">
        <v>2662</v>
      </c>
      <c r="G570" s="205"/>
      <c r="H570" s="205" t="s">
        <v>2276</v>
      </c>
      <c r="I570" s="205" t="s">
        <v>2276</v>
      </c>
      <c r="J570" s="205">
        <v>0</v>
      </c>
      <c r="K570" s="4" t="s">
        <v>7163</v>
      </c>
      <c r="L570" s="205" t="s">
        <v>2276</v>
      </c>
      <c r="M570" s="205" t="s">
        <v>2276</v>
      </c>
      <c r="N570" s="205"/>
    </row>
    <row r="571" spans="1:14" ht="29">
      <c r="A571" s="19" t="s">
        <v>7193</v>
      </c>
      <c r="B571" s="19" t="s">
        <v>7262</v>
      </c>
      <c r="C571" s="205" t="s">
        <v>1105</v>
      </c>
      <c r="D571" s="205" t="s">
        <v>1105</v>
      </c>
      <c r="E571" s="4" t="s">
        <v>45</v>
      </c>
      <c r="F571" s="4" t="s">
        <v>2662</v>
      </c>
      <c r="G571" s="205"/>
      <c r="H571" s="205" t="s">
        <v>2276</v>
      </c>
      <c r="I571" s="205" t="s">
        <v>2276</v>
      </c>
      <c r="J571" s="205">
        <v>2</v>
      </c>
      <c r="K571" s="4" t="s">
        <v>7260</v>
      </c>
      <c r="L571" s="205" t="s">
        <v>2276</v>
      </c>
      <c r="M571" s="205" t="s">
        <v>2276</v>
      </c>
      <c r="N571" s="205"/>
    </row>
    <row r="572" spans="1:14" ht="29">
      <c r="A572" s="19" t="s">
        <v>7193</v>
      </c>
      <c r="B572" s="19" t="s">
        <v>7267</v>
      </c>
      <c r="C572" s="205" t="s">
        <v>1105</v>
      </c>
      <c r="D572" s="205" t="s">
        <v>1105</v>
      </c>
      <c r="E572" s="4" t="s">
        <v>5801</v>
      </c>
      <c r="F572" s="4" t="s">
        <v>2662</v>
      </c>
      <c r="G572" s="205"/>
      <c r="H572" s="205" t="s">
        <v>2276</v>
      </c>
      <c r="I572" s="205" t="s">
        <v>2276</v>
      </c>
      <c r="J572" s="205">
        <v>0</v>
      </c>
      <c r="K572" s="4" t="s">
        <v>7163</v>
      </c>
      <c r="L572" s="205" t="s">
        <v>2276</v>
      </c>
      <c r="M572" s="205" t="s">
        <v>2276</v>
      </c>
      <c r="N572" s="205"/>
    </row>
    <row r="573" spans="1:14" ht="29">
      <c r="A573" s="19" t="s">
        <v>7194</v>
      </c>
      <c r="B573" s="19" t="s">
        <v>7263</v>
      </c>
      <c r="C573" s="205" t="s">
        <v>1105</v>
      </c>
      <c r="D573" s="205" t="s">
        <v>1105</v>
      </c>
      <c r="E573" s="4" t="s">
        <v>45</v>
      </c>
      <c r="F573" s="4" t="s">
        <v>2662</v>
      </c>
      <c r="G573" s="205"/>
      <c r="H573" s="205" t="s">
        <v>2276</v>
      </c>
      <c r="I573" s="205" t="s">
        <v>2276</v>
      </c>
      <c r="J573" s="205">
        <v>2</v>
      </c>
      <c r="K573" s="4" t="s">
        <v>7260</v>
      </c>
      <c r="L573" s="205" t="s">
        <v>2276</v>
      </c>
      <c r="M573" s="205" t="s">
        <v>2276</v>
      </c>
      <c r="N573" s="205"/>
    </row>
    <row r="574" spans="1:14" ht="29">
      <c r="A574" s="19" t="s">
        <v>7194</v>
      </c>
      <c r="B574" s="19" t="s">
        <v>7268</v>
      </c>
      <c r="C574" s="205" t="s">
        <v>1105</v>
      </c>
      <c r="D574" s="205" t="s">
        <v>1105</v>
      </c>
      <c r="E574" s="4" t="s">
        <v>5801</v>
      </c>
      <c r="F574" s="4" t="s">
        <v>2662</v>
      </c>
      <c r="G574" s="205"/>
      <c r="H574" s="205" t="s">
        <v>2276</v>
      </c>
      <c r="I574" s="205" t="s">
        <v>2276</v>
      </c>
      <c r="J574" s="205">
        <v>0</v>
      </c>
      <c r="K574" s="4" t="s">
        <v>7163</v>
      </c>
      <c r="L574" s="205" t="s">
        <v>2276</v>
      </c>
      <c r="M574" s="205" t="s">
        <v>2276</v>
      </c>
      <c r="N574" s="205"/>
    </row>
    <row r="575" spans="1:14" ht="29">
      <c r="A575" s="19" t="s">
        <v>7195</v>
      </c>
      <c r="B575" s="19" t="s">
        <v>7264</v>
      </c>
      <c r="C575" s="205" t="s">
        <v>1105</v>
      </c>
      <c r="D575" s="205" t="s">
        <v>1105</v>
      </c>
      <c r="E575" s="4" t="s">
        <v>45</v>
      </c>
      <c r="F575" s="4" t="s">
        <v>2662</v>
      </c>
      <c r="G575" s="205"/>
      <c r="H575" s="205" t="s">
        <v>2276</v>
      </c>
      <c r="I575" s="205" t="s">
        <v>2276</v>
      </c>
      <c r="J575" s="205">
        <v>2</v>
      </c>
      <c r="K575" s="4" t="s">
        <v>7260</v>
      </c>
      <c r="L575" s="205" t="s">
        <v>2276</v>
      </c>
      <c r="M575" s="205" t="s">
        <v>2276</v>
      </c>
      <c r="N575" s="205"/>
    </row>
    <row r="576" spans="1:14" ht="29">
      <c r="A576" s="19" t="s">
        <v>7195</v>
      </c>
      <c r="B576" s="19" t="s">
        <v>7269</v>
      </c>
      <c r="C576" s="205" t="s">
        <v>1105</v>
      </c>
      <c r="D576" s="205" t="s">
        <v>1105</v>
      </c>
      <c r="E576" s="4" t="s">
        <v>5801</v>
      </c>
      <c r="F576" s="4" t="s">
        <v>2662</v>
      </c>
      <c r="G576" s="205"/>
      <c r="H576" s="205" t="s">
        <v>2276</v>
      </c>
      <c r="I576" s="205" t="s">
        <v>2276</v>
      </c>
      <c r="J576" s="205">
        <v>0</v>
      </c>
      <c r="K576" s="4" t="s">
        <v>7163</v>
      </c>
      <c r="L576" s="205" t="s">
        <v>2276</v>
      </c>
      <c r="M576" s="205" t="s">
        <v>2276</v>
      </c>
      <c r="N576" s="205"/>
    </row>
    <row r="577" spans="1:14" ht="29">
      <c r="A577" s="19" t="s">
        <v>7196</v>
      </c>
      <c r="B577" s="19" t="s">
        <v>7265</v>
      </c>
      <c r="C577" s="205" t="s">
        <v>1105</v>
      </c>
      <c r="D577" s="205" t="s">
        <v>1105</v>
      </c>
      <c r="E577" s="4" t="s">
        <v>45</v>
      </c>
      <c r="F577" s="4" t="s">
        <v>2662</v>
      </c>
      <c r="G577" s="205"/>
      <c r="H577" s="205" t="s">
        <v>2276</v>
      </c>
      <c r="I577" s="205" t="s">
        <v>2276</v>
      </c>
      <c r="J577" s="205">
        <v>2</v>
      </c>
      <c r="K577" s="4" t="s">
        <v>7260</v>
      </c>
      <c r="L577" s="205" t="s">
        <v>2276</v>
      </c>
      <c r="M577" s="205" t="s">
        <v>2276</v>
      </c>
      <c r="N577" s="205"/>
    </row>
    <row r="578" spans="1:14" ht="29">
      <c r="A578" s="19" t="s">
        <v>7196</v>
      </c>
      <c r="B578" s="19" t="s">
        <v>7270</v>
      </c>
      <c r="C578" s="205" t="s">
        <v>1105</v>
      </c>
      <c r="D578" s="205" t="s">
        <v>1105</v>
      </c>
      <c r="E578" s="4" t="s">
        <v>5801</v>
      </c>
      <c r="F578" s="4" t="s">
        <v>2662</v>
      </c>
      <c r="G578" s="205"/>
      <c r="H578" s="205" t="s">
        <v>2276</v>
      </c>
      <c r="I578" s="205" t="s">
        <v>2276</v>
      </c>
      <c r="J578" s="205">
        <v>0</v>
      </c>
      <c r="K578" s="4" t="s">
        <v>7163</v>
      </c>
      <c r="L578" s="205" t="s">
        <v>2276</v>
      </c>
      <c r="M578" s="205" t="s">
        <v>2276</v>
      </c>
      <c r="N578" s="205"/>
    </row>
    <row r="579" spans="1:14" ht="47" customHeight="1">
      <c r="A579" s="19" t="s">
        <v>7198</v>
      </c>
      <c r="B579" s="19" t="s">
        <v>7274</v>
      </c>
      <c r="C579" s="205" t="s">
        <v>1105</v>
      </c>
      <c r="D579" s="205" t="s">
        <v>1105</v>
      </c>
      <c r="E579" s="4" t="s">
        <v>3855</v>
      </c>
      <c r="F579" s="205" t="s">
        <v>28</v>
      </c>
      <c r="G579" s="205"/>
      <c r="H579" s="205" t="s">
        <v>2276</v>
      </c>
      <c r="I579" s="205" t="s">
        <v>2276</v>
      </c>
      <c r="J579" s="205">
        <v>1</v>
      </c>
      <c r="K579" s="4" t="s">
        <v>7275</v>
      </c>
      <c r="L579" s="205" t="s">
        <v>2276</v>
      </c>
      <c r="M579" s="205" t="s">
        <v>2276</v>
      </c>
      <c r="N579" s="205"/>
    </row>
    <row r="580" spans="1:14" ht="40.5" customHeight="1">
      <c r="A580" s="19" t="s">
        <v>7202</v>
      </c>
      <c r="B580" s="19" t="s">
        <v>7276</v>
      </c>
      <c r="C580" s="205" t="s">
        <v>1105</v>
      </c>
      <c r="D580" s="205" t="s">
        <v>1105</v>
      </c>
      <c r="E580" s="4" t="s">
        <v>5801</v>
      </c>
      <c r="F580" s="4" t="s">
        <v>2662</v>
      </c>
      <c r="G580" s="205"/>
      <c r="H580" s="205" t="s">
        <v>2276</v>
      </c>
      <c r="I580" s="205" t="s">
        <v>2276</v>
      </c>
      <c r="J580" s="205">
        <v>0</v>
      </c>
      <c r="K580" s="4" t="s">
        <v>7277</v>
      </c>
      <c r="L580" s="205" t="s">
        <v>2276</v>
      </c>
      <c r="M580" s="205" t="s">
        <v>2276</v>
      </c>
      <c r="N580" s="205"/>
    </row>
    <row r="581" spans="1:14" ht="32.5" customHeight="1">
      <c r="A581" s="19" t="s">
        <v>7204</v>
      </c>
      <c r="B581" s="19" t="s">
        <v>7278</v>
      </c>
      <c r="C581" s="205" t="s">
        <v>1105</v>
      </c>
      <c r="D581" s="205" t="s">
        <v>1105</v>
      </c>
      <c r="E581" s="4" t="s">
        <v>5801</v>
      </c>
      <c r="F581" s="4" t="s">
        <v>2662</v>
      </c>
      <c r="G581" s="205"/>
      <c r="H581" s="205" t="s">
        <v>2276</v>
      </c>
      <c r="I581" s="205" t="s">
        <v>2276</v>
      </c>
      <c r="J581" s="205">
        <v>0</v>
      </c>
      <c r="K581" s="4" t="s">
        <v>7279</v>
      </c>
      <c r="L581" s="205" t="s">
        <v>2276</v>
      </c>
      <c r="M581" s="205" t="s">
        <v>2276</v>
      </c>
      <c r="N581" s="205"/>
    </row>
    <row r="582" spans="1:14" ht="32.5" customHeight="1">
      <c r="A582" s="19" t="s">
        <v>7205</v>
      </c>
      <c r="B582" s="19" t="s">
        <v>7280</v>
      </c>
      <c r="C582" s="205" t="s">
        <v>1105</v>
      </c>
      <c r="D582" s="205" t="s">
        <v>1105</v>
      </c>
      <c r="E582" s="4" t="s">
        <v>45</v>
      </c>
      <c r="F582" s="4" t="s">
        <v>2662</v>
      </c>
      <c r="G582" s="205"/>
      <c r="H582" s="205" t="s">
        <v>2276</v>
      </c>
      <c r="I582" s="205" t="s">
        <v>2276</v>
      </c>
      <c r="J582" s="205">
        <v>2</v>
      </c>
      <c r="K582" s="205" t="s">
        <v>7282</v>
      </c>
      <c r="L582" s="205" t="s">
        <v>2276</v>
      </c>
      <c r="M582" s="205" t="s">
        <v>2276</v>
      </c>
      <c r="N582" s="205"/>
    </row>
    <row r="583" spans="1:14" ht="32.5" customHeight="1">
      <c r="A583" s="19" t="s">
        <v>7205</v>
      </c>
      <c r="B583" s="19" t="s">
        <v>7281</v>
      </c>
      <c r="C583" s="205" t="s">
        <v>1105</v>
      </c>
      <c r="D583" s="205" t="s">
        <v>1105</v>
      </c>
      <c r="E583" s="4" t="s">
        <v>5801</v>
      </c>
      <c r="F583" s="4" t="s">
        <v>2662</v>
      </c>
      <c r="G583" s="205"/>
      <c r="H583" s="205" t="s">
        <v>2276</v>
      </c>
      <c r="I583" s="205" t="s">
        <v>2276</v>
      </c>
      <c r="J583" s="205">
        <v>0</v>
      </c>
      <c r="K583" s="205" t="s">
        <v>7283</v>
      </c>
      <c r="L583" s="205" t="s">
        <v>2276</v>
      </c>
      <c r="M583" s="205" t="s">
        <v>2276</v>
      </c>
      <c r="N583" s="205"/>
    </row>
    <row r="584" spans="1:14" ht="32.5" customHeight="1">
      <c r="A584" s="19" t="s">
        <v>7208</v>
      </c>
      <c r="B584" s="19" t="s">
        <v>7284</v>
      </c>
      <c r="C584" s="205" t="s">
        <v>1105</v>
      </c>
      <c r="D584" s="205" t="s">
        <v>1105</v>
      </c>
      <c r="E584" s="4" t="s">
        <v>5801</v>
      </c>
      <c r="F584" s="4" t="s">
        <v>2662</v>
      </c>
      <c r="G584" s="205"/>
      <c r="H584" s="205" t="s">
        <v>2276</v>
      </c>
      <c r="I584" s="205" t="s">
        <v>2276</v>
      </c>
      <c r="J584" s="205">
        <v>0</v>
      </c>
      <c r="K584" s="205" t="s">
        <v>7283</v>
      </c>
      <c r="L584" s="205" t="s">
        <v>2276</v>
      </c>
      <c r="M584" s="205" t="s">
        <v>2276</v>
      </c>
      <c r="N584" s="205"/>
    </row>
    <row r="585" spans="1:14" ht="29">
      <c r="A585" s="19" t="s">
        <v>7208</v>
      </c>
      <c r="B585" s="19" t="s">
        <v>7286</v>
      </c>
      <c r="C585" s="205" t="s">
        <v>1105</v>
      </c>
      <c r="D585" s="205" t="s">
        <v>1105</v>
      </c>
      <c r="E585" s="4" t="s">
        <v>45</v>
      </c>
      <c r="F585" s="4" t="s">
        <v>2662</v>
      </c>
      <c r="G585" s="205"/>
      <c r="H585" s="205" t="s">
        <v>2276</v>
      </c>
      <c r="I585" s="205" t="s">
        <v>2276</v>
      </c>
      <c r="J585" s="205">
        <v>2</v>
      </c>
      <c r="K585" s="4" t="s">
        <v>7285</v>
      </c>
      <c r="L585" s="205" t="s">
        <v>2276</v>
      </c>
      <c r="M585" s="205" t="s">
        <v>2276</v>
      </c>
      <c r="N585" s="205"/>
    </row>
    <row r="586" spans="1:14" ht="43" customHeight="1">
      <c r="A586" s="19" t="s">
        <v>7306</v>
      </c>
      <c r="B586" s="19" t="s">
        <v>7313</v>
      </c>
      <c r="C586" s="205" t="s">
        <v>24</v>
      </c>
      <c r="D586" s="205" t="s">
        <v>1242</v>
      </c>
      <c r="E586" s="4" t="s">
        <v>3209</v>
      </c>
      <c r="F586" s="4" t="s">
        <v>2662</v>
      </c>
      <c r="G586" s="152"/>
      <c r="H586" s="205" t="s">
        <v>2276</v>
      </c>
      <c r="I586" s="205" t="s">
        <v>2276</v>
      </c>
      <c r="J586" s="205">
        <v>1</v>
      </c>
      <c r="K586" s="19" t="s">
        <v>7316</v>
      </c>
      <c r="L586" s="205" t="s">
        <v>2276</v>
      </c>
      <c r="M586" s="205" t="s">
        <v>2276</v>
      </c>
      <c r="N586" s="4" t="s">
        <v>7338</v>
      </c>
    </row>
    <row r="587" spans="1:14" ht="53.5" customHeight="1">
      <c r="A587" s="19" t="s">
        <v>7309</v>
      </c>
      <c r="B587" s="19" t="s">
        <v>7323</v>
      </c>
      <c r="C587" s="205" t="s">
        <v>24</v>
      </c>
      <c r="D587" s="205" t="s">
        <v>2804</v>
      </c>
      <c r="E587" s="4" t="s">
        <v>45</v>
      </c>
      <c r="F587" s="4" t="s">
        <v>2662</v>
      </c>
      <c r="G587" s="205">
        <v>1990</v>
      </c>
      <c r="H587" s="205">
        <v>0</v>
      </c>
      <c r="I587" s="19" t="s">
        <v>7327</v>
      </c>
      <c r="J587" s="205" t="s">
        <v>2276</v>
      </c>
      <c r="K587" s="205" t="s">
        <v>2276</v>
      </c>
      <c r="L587" s="205" t="s">
        <v>2276</v>
      </c>
      <c r="M587" s="205" t="s">
        <v>2276</v>
      </c>
      <c r="N587" s="205"/>
    </row>
    <row r="588" spans="1:14" ht="67.5" customHeight="1">
      <c r="A588" s="19" t="s">
        <v>7309</v>
      </c>
      <c r="B588" s="19" t="s">
        <v>7325</v>
      </c>
      <c r="C588" s="205" t="s">
        <v>24</v>
      </c>
      <c r="D588" s="205" t="s">
        <v>2804</v>
      </c>
      <c r="E588" s="4" t="s">
        <v>45</v>
      </c>
      <c r="F588" s="4" t="s">
        <v>2662</v>
      </c>
      <c r="G588" s="205">
        <v>2000</v>
      </c>
      <c r="H588" s="205">
        <v>2</v>
      </c>
      <c r="I588" s="19" t="s">
        <v>7328</v>
      </c>
      <c r="J588" s="205" t="s">
        <v>2276</v>
      </c>
      <c r="K588" s="205" t="s">
        <v>2276</v>
      </c>
      <c r="L588" s="205" t="s">
        <v>2276</v>
      </c>
      <c r="M588" s="205" t="s">
        <v>2276</v>
      </c>
      <c r="N588" s="178"/>
    </row>
    <row r="589" spans="1:14" ht="32" customHeight="1">
      <c r="A589" s="19" t="s">
        <v>7310</v>
      </c>
      <c r="B589" s="19" t="s">
        <v>7324</v>
      </c>
      <c r="C589" s="205" t="s">
        <v>24</v>
      </c>
      <c r="D589" s="205" t="s">
        <v>2804</v>
      </c>
      <c r="E589" s="4" t="s">
        <v>45</v>
      </c>
      <c r="F589" s="4" t="s">
        <v>2662</v>
      </c>
      <c r="G589" s="205">
        <v>1980</v>
      </c>
      <c r="H589" s="205">
        <v>0</v>
      </c>
      <c r="I589" s="11" t="s">
        <v>7335</v>
      </c>
      <c r="J589" s="205" t="s">
        <v>2276</v>
      </c>
      <c r="K589" s="205" t="s">
        <v>2276</v>
      </c>
      <c r="L589" s="205" t="s">
        <v>2276</v>
      </c>
      <c r="M589" s="205" t="s">
        <v>2276</v>
      </c>
      <c r="N589" s="178"/>
    </row>
    <row r="590" spans="1:14" ht="32" customHeight="1">
      <c r="A590" s="19" t="s">
        <v>7310</v>
      </c>
      <c r="B590" s="19" t="s">
        <v>7331</v>
      </c>
      <c r="C590" s="205" t="s">
        <v>24</v>
      </c>
      <c r="D590" s="205" t="s">
        <v>2804</v>
      </c>
      <c r="E590" s="4" t="s">
        <v>45</v>
      </c>
      <c r="F590" s="4" t="s">
        <v>2662</v>
      </c>
      <c r="G590" s="205">
        <v>1990</v>
      </c>
      <c r="H590" s="205">
        <v>2</v>
      </c>
      <c r="I590" s="11" t="s">
        <v>7336</v>
      </c>
      <c r="J590" s="205" t="s">
        <v>2276</v>
      </c>
      <c r="K590" s="205" t="s">
        <v>2276</v>
      </c>
      <c r="L590" s="205" t="s">
        <v>2276</v>
      </c>
      <c r="M590" s="205" t="s">
        <v>2276</v>
      </c>
      <c r="N590" s="178"/>
    </row>
    <row r="591" spans="1:14" ht="32" customHeight="1">
      <c r="A591" s="19" t="s">
        <v>7310</v>
      </c>
      <c r="B591" s="19" t="s">
        <v>7332</v>
      </c>
      <c r="C591" s="205" t="s">
        <v>24</v>
      </c>
      <c r="D591" s="205" t="s">
        <v>2804</v>
      </c>
      <c r="E591" s="4" t="s">
        <v>3209</v>
      </c>
      <c r="F591" s="4" t="s">
        <v>2662</v>
      </c>
      <c r="G591" s="205"/>
      <c r="H591" s="205">
        <v>3</v>
      </c>
      <c r="I591" s="19" t="s">
        <v>7337</v>
      </c>
      <c r="J591" s="205" t="s">
        <v>2276</v>
      </c>
      <c r="K591" s="205" t="s">
        <v>2276</v>
      </c>
      <c r="L591" s="205" t="s">
        <v>2276</v>
      </c>
      <c r="M591" s="205" t="s">
        <v>2276</v>
      </c>
      <c r="N591" s="178"/>
    </row>
    <row r="592" spans="1:14" ht="29">
      <c r="A592" s="19" t="s">
        <v>7360</v>
      </c>
      <c r="B592" s="19" t="s">
        <v>7375</v>
      </c>
      <c r="C592" s="205" t="s">
        <v>1105</v>
      </c>
      <c r="D592" s="205" t="s">
        <v>1242</v>
      </c>
      <c r="E592" s="4" t="s">
        <v>3209</v>
      </c>
      <c r="F592" s="4" t="s">
        <v>2662</v>
      </c>
      <c r="G592" s="205"/>
      <c r="H592" s="205">
        <v>3</v>
      </c>
      <c r="I592" s="4" t="s">
        <v>7705</v>
      </c>
      <c r="J592" s="205">
        <v>1</v>
      </c>
      <c r="K592" s="11" t="s">
        <v>7703</v>
      </c>
      <c r="L592" s="205" t="s">
        <v>2276</v>
      </c>
      <c r="M592" s="205" t="s">
        <v>2276</v>
      </c>
    </row>
    <row r="593" spans="1:13" ht="29">
      <c r="A593" s="19" t="s">
        <v>7361</v>
      </c>
      <c r="B593" s="19" t="s">
        <v>7376</v>
      </c>
      <c r="C593" s="205" t="s">
        <v>1105</v>
      </c>
      <c r="D593" s="205" t="s">
        <v>1242</v>
      </c>
      <c r="E593" s="4" t="s">
        <v>3209</v>
      </c>
      <c r="F593" s="4" t="s">
        <v>2662</v>
      </c>
      <c r="G593" s="205"/>
      <c r="H593" s="205">
        <v>3</v>
      </c>
      <c r="I593" s="4" t="s">
        <v>7705</v>
      </c>
      <c r="J593" s="205">
        <v>1</v>
      </c>
      <c r="K593" s="11" t="s">
        <v>7703</v>
      </c>
      <c r="L593" s="205" t="s">
        <v>2276</v>
      </c>
      <c r="M593" s="205" t="s">
        <v>2276</v>
      </c>
    </row>
    <row r="594" spans="1:13" ht="29">
      <c r="A594" s="19" t="s">
        <v>7362</v>
      </c>
      <c r="B594" s="19" t="s">
        <v>7377</v>
      </c>
      <c r="C594" s="205" t="s">
        <v>1105</v>
      </c>
      <c r="D594" s="205" t="s">
        <v>1242</v>
      </c>
      <c r="E594" s="4" t="s">
        <v>3209</v>
      </c>
      <c r="F594" s="4" t="s">
        <v>2662</v>
      </c>
      <c r="G594" s="205"/>
      <c r="H594" s="205">
        <v>3</v>
      </c>
      <c r="I594" s="4" t="s">
        <v>7705</v>
      </c>
      <c r="J594" s="205">
        <v>2</v>
      </c>
      <c r="K594" s="11" t="s">
        <v>7704</v>
      </c>
      <c r="L594" s="205" t="s">
        <v>2276</v>
      </c>
      <c r="M594" s="205" t="s">
        <v>2276</v>
      </c>
    </row>
    <row r="595" spans="1:13" ht="29">
      <c r="A595" s="19" t="s">
        <v>7363</v>
      </c>
      <c r="B595" s="19" t="s">
        <v>7378</v>
      </c>
      <c r="C595" s="205" t="s">
        <v>1105</v>
      </c>
      <c r="D595" s="205" t="s">
        <v>1242</v>
      </c>
      <c r="E595" s="4" t="s">
        <v>3209</v>
      </c>
      <c r="F595" s="4" t="s">
        <v>2662</v>
      </c>
      <c r="G595" s="205"/>
      <c r="H595" s="205">
        <v>3</v>
      </c>
      <c r="I595" s="4" t="s">
        <v>7705</v>
      </c>
      <c r="J595" s="205">
        <v>2</v>
      </c>
      <c r="K595" s="11" t="s">
        <v>7704</v>
      </c>
      <c r="L595" s="205" t="s">
        <v>2276</v>
      </c>
      <c r="M595" s="205" t="s">
        <v>2276</v>
      </c>
    </row>
    <row r="596" spans="1:13" ht="29">
      <c r="A596" s="19" t="s">
        <v>7364</v>
      </c>
      <c r="B596" s="19" t="s">
        <v>7379</v>
      </c>
      <c r="C596" s="205" t="s">
        <v>1105</v>
      </c>
      <c r="D596" s="205" t="s">
        <v>1242</v>
      </c>
      <c r="E596" s="4" t="s">
        <v>3209</v>
      </c>
      <c r="F596" s="4" t="s">
        <v>2662</v>
      </c>
      <c r="G596" s="205"/>
      <c r="H596" s="205">
        <v>3</v>
      </c>
      <c r="I596" s="4" t="s">
        <v>7705</v>
      </c>
      <c r="J596" s="205">
        <v>1</v>
      </c>
      <c r="K596" s="11" t="s">
        <v>7703</v>
      </c>
      <c r="L596" s="205" t="s">
        <v>2276</v>
      </c>
      <c r="M596" s="205" t="s">
        <v>2276</v>
      </c>
    </row>
    <row r="597" spans="1:13" ht="29">
      <c r="A597" s="19" t="s">
        <v>7365</v>
      </c>
      <c r="B597" s="19" t="s">
        <v>7485</v>
      </c>
      <c r="C597" s="205" t="s">
        <v>1105</v>
      </c>
      <c r="D597" s="205" t="s">
        <v>1242</v>
      </c>
      <c r="E597" s="4" t="s">
        <v>3209</v>
      </c>
      <c r="F597" s="4" t="s">
        <v>2662</v>
      </c>
      <c r="G597" s="205"/>
      <c r="H597" s="205">
        <v>3</v>
      </c>
      <c r="I597" s="4" t="s">
        <v>7705</v>
      </c>
      <c r="J597" s="205">
        <v>1</v>
      </c>
      <c r="K597" s="11" t="s">
        <v>7703</v>
      </c>
      <c r="L597" s="205" t="s">
        <v>2276</v>
      </c>
      <c r="M597" s="205" t="s">
        <v>2276</v>
      </c>
    </row>
    <row r="598" spans="1:13" ht="29">
      <c r="A598" s="19" t="s">
        <v>7451</v>
      </c>
      <c r="B598" s="19" t="s">
        <v>7486</v>
      </c>
      <c r="C598" s="205" t="s">
        <v>1105</v>
      </c>
      <c r="D598" s="205" t="s">
        <v>1242</v>
      </c>
      <c r="E598" s="4" t="s">
        <v>3209</v>
      </c>
      <c r="F598" s="4" t="s">
        <v>2662</v>
      </c>
      <c r="G598" s="205"/>
      <c r="H598" s="205">
        <v>3</v>
      </c>
      <c r="I598" s="4" t="s">
        <v>7705</v>
      </c>
      <c r="J598" s="205">
        <v>1</v>
      </c>
      <c r="K598" s="11" t="s">
        <v>7703</v>
      </c>
      <c r="L598" s="205" t="s">
        <v>2276</v>
      </c>
      <c r="M598" s="205" t="s">
        <v>2276</v>
      </c>
    </row>
    <row r="599" spans="1:13" ht="29">
      <c r="A599" s="19" t="s">
        <v>7452</v>
      </c>
      <c r="B599" s="19" t="s">
        <v>7487</v>
      </c>
      <c r="C599" s="205" t="s">
        <v>1105</v>
      </c>
      <c r="D599" s="205" t="s">
        <v>1242</v>
      </c>
      <c r="E599" s="4" t="s">
        <v>3209</v>
      </c>
      <c r="F599" s="4" t="s">
        <v>2662</v>
      </c>
      <c r="G599" s="205"/>
      <c r="H599" s="205">
        <v>3</v>
      </c>
      <c r="I599" s="4" t="s">
        <v>7705</v>
      </c>
      <c r="J599" s="205">
        <v>1</v>
      </c>
      <c r="K599" s="11" t="s">
        <v>7703</v>
      </c>
      <c r="L599" s="205" t="s">
        <v>2276</v>
      </c>
      <c r="M599" s="205" t="s">
        <v>2276</v>
      </c>
    </row>
    <row r="600" spans="1:13" ht="29">
      <c r="A600" s="19" t="s">
        <v>7453</v>
      </c>
      <c r="B600" s="19" t="s">
        <v>7488</v>
      </c>
      <c r="C600" s="205" t="s">
        <v>1105</v>
      </c>
      <c r="D600" s="205" t="s">
        <v>1242</v>
      </c>
      <c r="E600" s="4" t="s">
        <v>3209</v>
      </c>
      <c r="F600" s="4" t="s">
        <v>2662</v>
      </c>
      <c r="G600" s="205"/>
      <c r="H600" s="205">
        <v>3</v>
      </c>
      <c r="I600" s="4" t="s">
        <v>7705</v>
      </c>
      <c r="J600" s="205">
        <v>1</v>
      </c>
      <c r="K600" s="11" t="s">
        <v>7703</v>
      </c>
      <c r="L600" s="205" t="s">
        <v>2276</v>
      </c>
      <c r="M600" s="205" t="s">
        <v>2276</v>
      </c>
    </row>
    <row r="601" spans="1:13" ht="29">
      <c r="A601" s="19" t="s">
        <v>7454</v>
      </c>
      <c r="B601" s="19" t="s">
        <v>7489</v>
      </c>
      <c r="C601" s="205" t="s">
        <v>1105</v>
      </c>
      <c r="D601" s="205" t="s">
        <v>1242</v>
      </c>
      <c r="E601" s="4" t="s">
        <v>3209</v>
      </c>
      <c r="F601" s="4" t="s">
        <v>2662</v>
      </c>
      <c r="G601" s="205"/>
      <c r="H601" s="205">
        <v>3</v>
      </c>
      <c r="I601" s="4" t="s">
        <v>7705</v>
      </c>
      <c r="J601" s="205">
        <v>1</v>
      </c>
      <c r="K601" s="11" t="s">
        <v>7703</v>
      </c>
      <c r="L601" s="205" t="s">
        <v>2276</v>
      </c>
      <c r="M601" s="205" t="s">
        <v>2276</v>
      </c>
    </row>
    <row r="602" spans="1:13" ht="29">
      <c r="A602" s="19" t="s">
        <v>7455</v>
      </c>
      <c r="B602" s="19" t="s">
        <v>7490</v>
      </c>
      <c r="C602" s="205" t="s">
        <v>1105</v>
      </c>
      <c r="D602" s="205" t="s">
        <v>1242</v>
      </c>
      <c r="E602" s="4" t="s">
        <v>3209</v>
      </c>
      <c r="F602" s="4" t="s">
        <v>2662</v>
      </c>
      <c r="G602" s="205"/>
      <c r="H602" s="205">
        <v>3</v>
      </c>
      <c r="I602" s="4" t="s">
        <v>7705</v>
      </c>
      <c r="J602" s="205">
        <v>1</v>
      </c>
      <c r="K602" s="11" t="s">
        <v>7703</v>
      </c>
      <c r="L602" s="205" t="s">
        <v>2276</v>
      </c>
      <c r="M602" s="205" t="s">
        <v>2276</v>
      </c>
    </row>
    <row r="603" spans="1:13" ht="29">
      <c r="A603" s="19" t="s">
        <v>7456</v>
      </c>
      <c r="B603" s="19" t="s">
        <v>7491</v>
      </c>
      <c r="C603" s="205" t="s">
        <v>1105</v>
      </c>
      <c r="D603" s="205" t="s">
        <v>1242</v>
      </c>
      <c r="E603" s="4" t="s">
        <v>3209</v>
      </c>
      <c r="F603" s="4" t="s">
        <v>2662</v>
      </c>
      <c r="G603" s="205"/>
      <c r="H603" s="205">
        <v>3</v>
      </c>
      <c r="I603" s="4" t="s">
        <v>7705</v>
      </c>
      <c r="J603" s="205">
        <v>1</v>
      </c>
      <c r="K603" s="11" t="s">
        <v>7703</v>
      </c>
      <c r="L603" s="205" t="s">
        <v>2276</v>
      </c>
      <c r="M603" s="205" t="s">
        <v>2276</v>
      </c>
    </row>
    <row r="604" spans="1:13" ht="29">
      <c r="A604" s="19" t="s">
        <v>7457</v>
      </c>
      <c r="B604" s="19" t="s">
        <v>7492</v>
      </c>
      <c r="C604" s="205" t="s">
        <v>1105</v>
      </c>
      <c r="D604" s="205" t="s">
        <v>1242</v>
      </c>
      <c r="E604" s="4" t="s">
        <v>3209</v>
      </c>
      <c r="F604" s="4" t="s">
        <v>2662</v>
      </c>
      <c r="G604" s="205"/>
      <c r="H604" s="205">
        <v>3</v>
      </c>
      <c r="I604" s="4" t="s">
        <v>7705</v>
      </c>
      <c r="J604" s="205">
        <v>1</v>
      </c>
      <c r="K604" s="11" t="s">
        <v>7703</v>
      </c>
      <c r="L604" s="205" t="s">
        <v>2276</v>
      </c>
      <c r="M604" s="205" t="s">
        <v>2276</v>
      </c>
    </row>
    <row r="605" spans="1:13" ht="29">
      <c r="A605" s="19" t="s">
        <v>7458</v>
      </c>
      <c r="B605" s="19" t="s">
        <v>7493</v>
      </c>
      <c r="C605" s="205" t="s">
        <v>1105</v>
      </c>
      <c r="D605" s="205" t="s">
        <v>1242</v>
      </c>
      <c r="E605" s="4" t="s">
        <v>3209</v>
      </c>
      <c r="F605" s="4" t="s">
        <v>2662</v>
      </c>
      <c r="G605" s="205"/>
      <c r="H605" s="205">
        <v>3</v>
      </c>
      <c r="I605" s="4" t="s">
        <v>7705</v>
      </c>
      <c r="J605" s="205">
        <v>1</v>
      </c>
      <c r="K605" s="11" t="s">
        <v>7703</v>
      </c>
      <c r="L605" s="205" t="s">
        <v>2276</v>
      </c>
      <c r="M605" s="205" t="s">
        <v>2276</v>
      </c>
    </row>
    <row r="606" spans="1:13" ht="29">
      <c r="A606" s="19" t="s">
        <v>7459</v>
      </c>
      <c r="B606" s="19" t="s">
        <v>7494</v>
      </c>
      <c r="C606" s="205" t="s">
        <v>1105</v>
      </c>
      <c r="D606" s="205" t="s">
        <v>1242</v>
      </c>
      <c r="E606" s="4" t="s">
        <v>3209</v>
      </c>
      <c r="F606" s="4" t="s">
        <v>2662</v>
      </c>
      <c r="G606" s="205"/>
      <c r="H606" s="205">
        <v>3</v>
      </c>
      <c r="I606" s="4" t="s">
        <v>7705</v>
      </c>
      <c r="J606" s="205">
        <v>2</v>
      </c>
      <c r="K606" s="11" t="s">
        <v>7704</v>
      </c>
      <c r="L606" s="205" t="s">
        <v>2276</v>
      </c>
      <c r="M606" s="205" t="s">
        <v>2276</v>
      </c>
    </row>
    <row r="607" spans="1:13" ht="29">
      <c r="A607" s="19" t="s">
        <v>7460</v>
      </c>
      <c r="B607" s="19" t="s">
        <v>7495</v>
      </c>
      <c r="C607" s="205" t="s">
        <v>1105</v>
      </c>
      <c r="D607" s="205" t="s">
        <v>1242</v>
      </c>
      <c r="E607" s="4" t="s">
        <v>3209</v>
      </c>
      <c r="F607" s="4" t="s">
        <v>2662</v>
      </c>
      <c r="G607" s="205"/>
      <c r="H607" s="205">
        <v>3</v>
      </c>
      <c r="I607" s="4" t="s">
        <v>7705</v>
      </c>
      <c r="J607" s="205">
        <v>1</v>
      </c>
      <c r="K607" s="11" t="s">
        <v>7703</v>
      </c>
      <c r="L607" s="205" t="s">
        <v>2276</v>
      </c>
      <c r="M607" s="205" t="s">
        <v>2276</v>
      </c>
    </row>
    <row r="608" spans="1:13" ht="29">
      <c r="A608" s="19" t="s">
        <v>7461</v>
      </c>
      <c r="B608" s="19" t="s">
        <v>7496</v>
      </c>
      <c r="C608" s="205" t="s">
        <v>1105</v>
      </c>
      <c r="D608" s="205" t="s">
        <v>1242</v>
      </c>
      <c r="E608" s="4" t="s">
        <v>3209</v>
      </c>
      <c r="F608" s="4" t="s">
        <v>2662</v>
      </c>
      <c r="G608" s="205"/>
      <c r="H608" s="205">
        <v>3</v>
      </c>
      <c r="I608" s="4" t="s">
        <v>7705</v>
      </c>
      <c r="J608" s="205">
        <v>1</v>
      </c>
      <c r="K608" s="11" t="s">
        <v>7703</v>
      </c>
      <c r="L608" s="205" t="s">
        <v>2276</v>
      </c>
      <c r="M608" s="205" t="s">
        <v>2276</v>
      </c>
    </row>
    <row r="609" spans="1:13" ht="29">
      <c r="A609" s="19" t="s">
        <v>7462</v>
      </c>
      <c r="B609" s="19" t="s">
        <v>7497</v>
      </c>
      <c r="C609" s="205" t="s">
        <v>1105</v>
      </c>
      <c r="D609" s="205" t="s">
        <v>1242</v>
      </c>
      <c r="E609" s="4" t="s">
        <v>3209</v>
      </c>
      <c r="F609" s="4" t="s">
        <v>2662</v>
      </c>
      <c r="G609" s="205"/>
      <c r="H609" s="205">
        <v>3</v>
      </c>
      <c r="I609" s="4" t="s">
        <v>7705</v>
      </c>
      <c r="J609" s="205">
        <v>1</v>
      </c>
      <c r="K609" s="11" t="s">
        <v>7703</v>
      </c>
      <c r="L609" s="205" t="s">
        <v>2276</v>
      </c>
      <c r="M609" s="205" t="s">
        <v>2276</v>
      </c>
    </row>
    <row r="610" spans="1:13" ht="29">
      <c r="A610" s="19" t="s">
        <v>7463</v>
      </c>
      <c r="B610" s="19" t="s">
        <v>7498</v>
      </c>
      <c r="C610" s="205" t="s">
        <v>1105</v>
      </c>
      <c r="D610" s="205" t="s">
        <v>1242</v>
      </c>
      <c r="E610" s="4" t="s">
        <v>3209</v>
      </c>
      <c r="F610" s="4" t="s">
        <v>2662</v>
      </c>
      <c r="G610" s="205"/>
      <c r="H610" s="205">
        <v>3</v>
      </c>
      <c r="I610" s="4" t="s">
        <v>7705</v>
      </c>
      <c r="J610" s="205">
        <v>1</v>
      </c>
      <c r="K610" s="11" t="s">
        <v>7703</v>
      </c>
      <c r="L610" s="205" t="s">
        <v>2276</v>
      </c>
      <c r="M610" s="205" t="s">
        <v>2276</v>
      </c>
    </row>
    <row r="611" spans="1:13" ht="29">
      <c r="A611" s="19" t="s">
        <v>7464</v>
      </c>
      <c r="B611" s="19" t="s">
        <v>7499</v>
      </c>
      <c r="C611" s="205" t="s">
        <v>1105</v>
      </c>
      <c r="D611" s="205" t="s">
        <v>1242</v>
      </c>
      <c r="E611" s="4" t="s">
        <v>3209</v>
      </c>
      <c r="F611" s="4" t="s">
        <v>2662</v>
      </c>
      <c r="G611" s="205"/>
      <c r="H611" s="205">
        <v>3</v>
      </c>
      <c r="I611" s="4" t="s">
        <v>7705</v>
      </c>
      <c r="J611" s="205">
        <v>1</v>
      </c>
      <c r="K611" s="11" t="s">
        <v>7703</v>
      </c>
      <c r="L611" s="205" t="s">
        <v>2276</v>
      </c>
      <c r="M611" s="205" t="s">
        <v>2276</v>
      </c>
    </row>
    <row r="612" spans="1:13" ht="29">
      <c r="A612" s="19" t="s">
        <v>7465</v>
      </c>
      <c r="B612" s="19" t="s">
        <v>7500</v>
      </c>
      <c r="C612" s="205" t="s">
        <v>1105</v>
      </c>
      <c r="D612" s="205" t="s">
        <v>1242</v>
      </c>
      <c r="E612" s="4" t="s">
        <v>3209</v>
      </c>
      <c r="F612" s="4" t="s">
        <v>2662</v>
      </c>
      <c r="G612" s="205"/>
      <c r="H612" s="205">
        <v>3</v>
      </c>
      <c r="I612" s="4" t="s">
        <v>7705</v>
      </c>
      <c r="J612" s="205">
        <v>2</v>
      </c>
      <c r="K612" s="11" t="s">
        <v>7704</v>
      </c>
      <c r="L612" s="205" t="s">
        <v>2276</v>
      </c>
      <c r="M612" s="205" t="s">
        <v>2276</v>
      </c>
    </row>
    <row r="613" spans="1:13" ht="29">
      <c r="A613" s="19" t="s">
        <v>7466</v>
      </c>
      <c r="B613" s="19" t="s">
        <v>7501</v>
      </c>
      <c r="C613" s="205" t="s">
        <v>1105</v>
      </c>
      <c r="D613" s="205" t="s">
        <v>1242</v>
      </c>
      <c r="E613" s="4" t="s">
        <v>3209</v>
      </c>
      <c r="F613" s="4" t="s">
        <v>2662</v>
      </c>
      <c r="G613" s="205"/>
      <c r="H613" s="205">
        <v>3</v>
      </c>
      <c r="I613" s="4" t="s">
        <v>7705</v>
      </c>
      <c r="J613" s="205">
        <v>2</v>
      </c>
      <c r="K613" s="11" t="s">
        <v>7704</v>
      </c>
      <c r="L613" s="205" t="s">
        <v>2276</v>
      </c>
      <c r="M613" s="205" t="s">
        <v>2276</v>
      </c>
    </row>
    <row r="614" spans="1:13" ht="29">
      <c r="A614" s="19" t="s">
        <v>7467</v>
      </c>
      <c r="B614" s="19" t="s">
        <v>7502</v>
      </c>
      <c r="C614" s="205" t="s">
        <v>1105</v>
      </c>
      <c r="D614" s="205" t="s">
        <v>1242</v>
      </c>
      <c r="E614" s="4" t="s">
        <v>3209</v>
      </c>
      <c r="F614" s="4" t="s">
        <v>2662</v>
      </c>
      <c r="G614" s="205"/>
      <c r="H614" s="205">
        <v>3</v>
      </c>
      <c r="I614" s="4" t="s">
        <v>7705</v>
      </c>
      <c r="J614" s="205">
        <v>2</v>
      </c>
      <c r="K614" s="11" t="s">
        <v>7704</v>
      </c>
      <c r="L614" s="205" t="s">
        <v>2276</v>
      </c>
      <c r="M614" s="205" t="s">
        <v>2276</v>
      </c>
    </row>
    <row r="615" spans="1:13" ht="29">
      <c r="A615" s="19" t="s">
        <v>7666</v>
      </c>
      <c r="B615" s="19" t="s">
        <v>7667</v>
      </c>
      <c r="C615" s="205" t="s">
        <v>1105</v>
      </c>
      <c r="D615" s="205" t="s">
        <v>1242</v>
      </c>
      <c r="E615" s="4" t="s">
        <v>3209</v>
      </c>
      <c r="F615" s="4" t="s">
        <v>2662</v>
      </c>
      <c r="G615" s="205"/>
      <c r="H615" s="205">
        <v>3</v>
      </c>
      <c r="I615" s="4" t="s">
        <v>7705</v>
      </c>
      <c r="J615" s="205">
        <v>1</v>
      </c>
      <c r="K615" s="11" t="s">
        <v>7703</v>
      </c>
      <c r="L615" s="205" t="s">
        <v>2276</v>
      </c>
      <c r="M615" s="205" t="s">
        <v>2276</v>
      </c>
    </row>
    <row r="616" spans="1:13" ht="29">
      <c r="A616" s="19" t="s">
        <v>7688</v>
      </c>
      <c r="B616" s="19" t="s">
        <v>7689</v>
      </c>
      <c r="C616" s="205" t="s">
        <v>1105</v>
      </c>
      <c r="D616" s="205" t="s">
        <v>1242</v>
      </c>
      <c r="E616" s="4" t="s">
        <v>3209</v>
      </c>
      <c r="F616" s="4" t="s">
        <v>2662</v>
      </c>
      <c r="G616" s="205"/>
      <c r="H616" s="205">
        <v>3</v>
      </c>
      <c r="I616" s="4" t="s">
        <v>7705</v>
      </c>
      <c r="J616" s="205">
        <v>1</v>
      </c>
      <c r="K616" s="11" t="s">
        <v>7703</v>
      </c>
      <c r="L616" s="205" t="s">
        <v>2276</v>
      </c>
      <c r="M616" s="205" t="s">
        <v>2276</v>
      </c>
    </row>
    <row r="617" spans="1:13" ht="31.5" customHeight="1">
      <c r="A617" s="19" t="s">
        <v>7360</v>
      </c>
      <c r="B617" s="19" t="s">
        <v>7381</v>
      </c>
      <c r="C617" s="205" t="s">
        <v>1105</v>
      </c>
      <c r="D617" s="205" t="s">
        <v>1242</v>
      </c>
      <c r="E617" s="4" t="s">
        <v>3209</v>
      </c>
      <c r="F617" s="4" t="s">
        <v>74</v>
      </c>
      <c r="G617" s="205"/>
      <c r="H617" s="205">
        <v>3</v>
      </c>
      <c r="I617" s="4" t="s">
        <v>7705</v>
      </c>
      <c r="J617" s="205">
        <v>1</v>
      </c>
      <c r="K617" s="11" t="s">
        <v>7703</v>
      </c>
      <c r="L617" s="205" t="s">
        <v>2276</v>
      </c>
      <c r="M617" s="205" t="s">
        <v>2276</v>
      </c>
    </row>
    <row r="618" spans="1:13" ht="31.5" customHeight="1">
      <c r="A618" s="19" t="s">
        <v>7361</v>
      </c>
      <c r="B618" s="19" t="s">
        <v>7382</v>
      </c>
      <c r="C618" s="205" t="s">
        <v>1105</v>
      </c>
      <c r="D618" s="205" t="s">
        <v>1242</v>
      </c>
      <c r="E618" s="4" t="s">
        <v>3209</v>
      </c>
      <c r="F618" s="4" t="s">
        <v>74</v>
      </c>
      <c r="G618" s="205"/>
      <c r="H618" s="205">
        <v>3</v>
      </c>
      <c r="I618" s="4" t="s">
        <v>7705</v>
      </c>
      <c r="J618" s="205">
        <v>1</v>
      </c>
      <c r="K618" s="11" t="s">
        <v>7703</v>
      </c>
      <c r="L618" s="205" t="s">
        <v>2276</v>
      </c>
      <c r="M618" s="205" t="s">
        <v>2276</v>
      </c>
    </row>
    <row r="619" spans="1:13" ht="31.5" customHeight="1">
      <c r="A619" s="19" t="s">
        <v>7362</v>
      </c>
      <c r="B619" s="19" t="s">
        <v>7383</v>
      </c>
      <c r="C619" s="205" t="s">
        <v>1105</v>
      </c>
      <c r="D619" s="205" t="s">
        <v>1242</v>
      </c>
      <c r="E619" s="4" t="s">
        <v>3209</v>
      </c>
      <c r="F619" s="4" t="s">
        <v>74</v>
      </c>
      <c r="G619" s="205"/>
      <c r="H619" s="205">
        <v>3</v>
      </c>
      <c r="I619" s="4" t="s">
        <v>7705</v>
      </c>
      <c r="J619" s="205">
        <v>2</v>
      </c>
      <c r="K619" s="11" t="s">
        <v>7704</v>
      </c>
      <c r="L619" s="205" t="s">
        <v>2276</v>
      </c>
      <c r="M619" s="205" t="s">
        <v>2276</v>
      </c>
    </row>
    <row r="620" spans="1:13" ht="31.5" customHeight="1">
      <c r="A620" s="19" t="s">
        <v>7363</v>
      </c>
      <c r="B620" s="19" t="s">
        <v>7384</v>
      </c>
      <c r="C620" s="205" t="s">
        <v>1105</v>
      </c>
      <c r="D620" s="205" t="s">
        <v>1242</v>
      </c>
      <c r="E620" s="4" t="s">
        <v>3209</v>
      </c>
      <c r="F620" s="4" t="s">
        <v>74</v>
      </c>
      <c r="G620" s="205"/>
      <c r="H620" s="205">
        <v>3</v>
      </c>
      <c r="I620" s="4" t="s">
        <v>7705</v>
      </c>
      <c r="J620" s="205">
        <v>2</v>
      </c>
      <c r="K620" s="11" t="s">
        <v>7704</v>
      </c>
      <c r="L620" s="205" t="s">
        <v>2276</v>
      </c>
      <c r="M620" s="205" t="s">
        <v>2276</v>
      </c>
    </row>
    <row r="621" spans="1:13" ht="31.5" customHeight="1">
      <c r="A621" s="19" t="s">
        <v>7364</v>
      </c>
      <c r="B621" s="19" t="s">
        <v>7385</v>
      </c>
      <c r="C621" s="205" t="s">
        <v>1105</v>
      </c>
      <c r="D621" s="205" t="s">
        <v>1242</v>
      </c>
      <c r="E621" s="4" t="s">
        <v>3209</v>
      </c>
      <c r="F621" s="4" t="s">
        <v>74</v>
      </c>
      <c r="G621" s="205"/>
      <c r="H621" s="205">
        <v>3</v>
      </c>
      <c r="I621" s="4" t="s">
        <v>7705</v>
      </c>
      <c r="J621" s="205">
        <v>1</v>
      </c>
      <c r="K621" s="11" t="s">
        <v>7703</v>
      </c>
      <c r="L621" s="205" t="s">
        <v>2276</v>
      </c>
      <c r="M621" s="205" t="s">
        <v>2276</v>
      </c>
    </row>
    <row r="622" spans="1:13" ht="31.5" customHeight="1">
      <c r="A622" s="19" t="s">
        <v>7365</v>
      </c>
      <c r="B622" s="19" t="s">
        <v>7503</v>
      </c>
      <c r="C622" s="205" t="s">
        <v>1105</v>
      </c>
      <c r="D622" s="205" t="s">
        <v>1242</v>
      </c>
      <c r="E622" s="4" t="s">
        <v>3209</v>
      </c>
      <c r="F622" s="4" t="s">
        <v>74</v>
      </c>
      <c r="G622" s="205"/>
      <c r="H622" s="205">
        <v>3</v>
      </c>
      <c r="I622" s="4" t="s">
        <v>7705</v>
      </c>
      <c r="J622" s="205">
        <v>1</v>
      </c>
      <c r="K622" s="11" t="s">
        <v>7703</v>
      </c>
      <c r="L622" s="205" t="s">
        <v>2276</v>
      </c>
      <c r="M622" s="205" t="s">
        <v>2276</v>
      </c>
    </row>
    <row r="623" spans="1:13" ht="31.5" customHeight="1">
      <c r="A623" s="19" t="s">
        <v>7451</v>
      </c>
      <c r="B623" s="19" t="s">
        <v>7504</v>
      </c>
      <c r="C623" s="205" t="s">
        <v>1105</v>
      </c>
      <c r="D623" s="205" t="s">
        <v>1242</v>
      </c>
      <c r="E623" s="4" t="s">
        <v>3209</v>
      </c>
      <c r="F623" s="4" t="s">
        <v>74</v>
      </c>
      <c r="G623" s="205"/>
      <c r="H623" s="205">
        <v>3</v>
      </c>
      <c r="I623" s="4" t="s">
        <v>7705</v>
      </c>
      <c r="J623" s="205">
        <v>1</v>
      </c>
      <c r="K623" s="11" t="s">
        <v>7703</v>
      </c>
      <c r="L623" s="205" t="s">
        <v>2276</v>
      </c>
      <c r="M623" s="205" t="s">
        <v>2276</v>
      </c>
    </row>
    <row r="624" spans="1:13" ht="31.5" customHeight="1">
      <c r="A624" s="19" t="s">
        <v>7452</v>
      </c>
      <c r="B624" s="19" t="s">
        <v>7505</v>
      </c>
      <c r="C624" s="205" t="s">
        <v>1105</v>
      </c>
      <c r="D624" s="205" t="s">
        <v>1242</v>
      </c>
      <c r="E624" s="4" t="s">
        <v>3209</v>
      </c>
      <c r="F624" s="4" t="s">
        <v>74</v>
      </c>
      <c r="G624" s="205"/>
      <c r="H624" s="205">
        <v>3</v>
      </c>
      <c r="I624" s="4" t="s">
        <v>7705</v>
      </c>
      <c r="J624" s="205">
        <v>1</v>
      </c>
      <c r="K624" s="11" t="s">
        <v>7703</v>
      </c>
      <c r="L624" s="205" t="s">
        <v>2276</v>
      </c>
      <c r="M624" s="205" t="s">
        <v>2276</v>
      </c>
    </row>
    <row r="625" spans="1:13" ht="31.5" customHeight="1">
      <c r="A625" s="19" t="s">
        <v>7453</v>
      </c>
      <c r="B625" s="19" t="s">
        <v>7506</v>
      </c>
      <c r="C625" s="205" t="s">
        <v>1105</v>
      </c>
      <c r="D625" s="205" t="s">
        <v>1242</v>
      </c>
      <c r="E625" s="4" t="s">
        <v>3209</v>
      </c>
      <c r="F625" s="4" t="s">
        <v>74</v>
      </c>
      <c r="G625" s="205"/>
      <c r="H625" s="205">
        <v>3</v>
      </c>
      <c r="I625" s="4" t="s">
        <v>7705</v>
      </c>
      <c r="J625" s="205">
        <v>1</v>
      </c>
      <c r="K625" s="11" t="s">
        <v>7703</v>
      </c>
      <c r="L625" s="205" t="s">
        <v>2276</v>
      </c>
      <c r="M625" s="205" t="s">
        <v>2276</v>
      </c>
    </row>
    <row r="626" spans="1:13" ht="31.5" customHeight="1">
      <c r="A626" s="19" t="s">
        <v>7454</v>
      </c>
      <c r="B626" s="19" t="s">
        <v>7507</v>
      </c>
      <c r="C626" s="205" t="s">
        <v>1105</v>
      </c>
      <c r="D626" s="205" t="s">
        <v>1242</v>
      </c>
      <c r="E626" s="4" t="s">
        <v>3209</v>
      </c>
      <c r="F626" s="4" t="s">
        <v>74</v>
      </c>
      <c r="G626" s="205"/>
      <c r="H626" s="205">
        <v>3</v>
      </c>
      <c r="I626" s="4" t="s">
        <v>7705</v>
      </c>
      <c r="J626" s="205">
        <v>1</v>
      </c>
      <c r="K626" s="11" t="s">
        <v>7703</v>
      </c>
      <c r="L626" s="205" t="s">
        <v>2276</v>
      </c>
      <c r="M626" s="205" t="s">
        <v>2276</v>
      </c>
    </row>
    <row r="627" spans="1:13" ht="31.5" customHeight="1">
      <c r="A627" s="19" t="s">
        <v>7455</v>
      </c>
      <c r="B627" s="19" t="s">
        <v>7508</v>
      </c>
      <c r="C627" s="205" t="s">
        <v>1105</v>
      </c>
      <c r="D627" s="205" t="s">
        <v>1242</v>
      </c>
      <c r="E627" s="4" t="s">
        <v>3209</v>
      </c>
      <c r="F627" s="4" t="s">
        <v>74</v>
      </c>
      <c r="G627" s="205"/>
      <c r="H627" s="205">
        <v>3</v>
      </c>
      <c r="I627" s="4" t="s">
        <v>7705</v>
      </c>
      <c r="J627" s="205">
        <v>1</v>
      </c>
      <c r="K627" s="11" t="s">
        <v>7703</v>
      </c>
      <c r="L627" s="205" t="s">
        <v>2276</v>
      </c>
      <c r="M627" s="205" t="s">
        <v>2276</v>
      </c>
    </row>
    <row r="628" spans="1:13" ht="31.5" customHeight="1">
      <c r="A628" s="19" t="s">
        <v>7456</v>
      </c>
      <c r="B628" s="19" t="s">
        <v>7509</v>
      </c>
      <c r="C628" s="205" t="s">
        <v>1105</v>
      </c>
      <c r="D628" s="205" t="s">
        <v>1242</v>
      </c>
      <c r="E628" s="4" t="s">
        <v>3209</v>
      </c>
      <c r="F628" s="4" t="s">
        <v>74</v>
      </c>
      <c r="G628" s="205"/>
      <c r="H628" s="205">
        <v>3</v>
      </c>
      <c r="I628" s="4" t="s">
        <v>7705</v>
      </c>
      <c r="J628" s="205">
        <v>1</v>
      </c>
      <c r="K628" s="11" t="s">
        <v>7703</v>
      </c>
      <c r="L628" s="205" t="s">
        <v>2276</v>
      </c>
      <c r="M628" s="205" t="s">
        <v>2276</v>
      </c>
    </row>
    <row r="629" spans="1:13" ht="31.5" customHeight="1">
      <c r="A629" s="19" t="s">
        <v>7457</v>
      </c>
      <c r="B629" s="19" t="s">
        <v>7510</v>
      </c>
      <c r="C629" s="205" t="s">
        <v>1105</v>
      </c>
      <c r="D629" s="205" t="s">
        <v>1242</v>
      </c>
      <c r="E629" s="4" t="s">
        <v>3209</v>
      </c>
      <c r="F629" s="4" t="s">
        <v>74</v>
      </c>
      <c r="G629" s="205"/>
      <c r="H629" s="205">
        <v>3</v>
      </c>
      <c r="I629" s="4" t="s">
        <v>7705</v>
      </c>
      <c r="J629" s="205">
        <v>1</v>
      </c>
      <c r="K629" s="11" t="s">
        <v>7703</v>
      </c>
      <c r="L629" s="205" t="s">
        <v>2276</v>
      </c>
      <c r="M629" s="205" t="s">
        <v>2276</v>
      </c>
    </row>
    <row r="630" spans="1:13" ht="31.5" customHeight="1">
      <c r="A630" s="19" t="s">
        <v>7458</v>
      </c>
      <c r="B630" s="19" t="s">
        <v>7511</v>
      </c>
      <c r="C630" s="205" t="s">
        <v>1105</v>
      </c>
      <c r="D630" s="205" t="s">
        <v>1242</v>
      </c>
      <c r="E630" s="4" t="s">
        <v>3209</v>
      </c>
      <c r="F630" s="4" t="s">
        <v>74</v>
      </c>
      <c r="G630" s="205"/>
      <c r="H630" s="205">
        <v>3</v>
      </c>
      <c r="I630" s="4" t="s">
        <v>7705</v>
      </c>
      <c r="J630" s="205">
        <v>1</v>
      </c>
      <c r="K630" s="11" t="s">
        <v>7703</v>
      </c>
      <c r="L630" s="205" t="s">
        <v>2276</v>
      </c>
      <c r="M630" s="205" t="s">
        <v>2276</v>
      </c>
    </row>
    <row r="631" spans="1:13" ht="31.5" customHeight="1">
      <c r="A631" s="19" t="s">
        <v>7459</v>
      </c>
      <c r="B631" s="19" t="s">
        <v>7512</v>
      </c>
      <c r="C631" s="205" t="s">
        <v>1105</v>
      </c>
      <c r="D631" s="205" t="s">
        <v>1242</v>
      </c>
      <c r="E631" s="4" t="s">
        <v>3209</v>
      </c>
      <c r="F631" s="4" t="s">
        <v>74</v>
      </c>
      <c r="G631" s="205"/>
      <c r="H631" s="205">
        <v>3</v>
      </c>
      <c r="I631" s="4" t="s">
        <v>7705</v>
      </c>
      <c r="J631" s="205">
        <v>2</v>
      </c>
      <c r="K631" s="11" t="s">
        <v>7704</v>
      </c>
      <c r="L631" s="205" t="s">
        <v>2276</v>
      </c>
      <c r="M631" s="205" t="s">
        <v>2276</v>
      </c>
    </row>
    <row r="632" spans="1:13" ht="31.5" customHeight="1">
      <c r="A632" s="19" t="s">
        <v>7460</v>
      </c>
      <c r="B632" s="19" t="s">
        <v>7513</v>
      </c>
      <c r="C632" s="205" t="s">
        <v>1105</v>
      </c>
      <c r="D632" s="205" t="s">
        <v>1242</v>
      </c>
      <c r="E632" s="4" t="s">
        <v>3209</v>
      </c>
      <c r="F632" s="4" t="s">
        <v>74</v>
      </c>
      <c r="G632" s="205"/>
      <c r="H632" s="205">
        <v>3</v>
      </c>
      <c r="I632" s="4" t="s">
        <v>7705</v>
      </c>
      <c r="J632" s="205">
        <v>1</v>
      </c>
      <c r="K632" s="11" t="s">
        <v>7703</v>
      </c>
      <c r="L632" s="205" t="s">
        <v>2276</v>
      </c>
      <c r="M632" s="205" t="s">
        <v>2276</v>
      </c>
    </row>
    <row r="633" spans="1:13" ht="31.5" customHeight="1">
      <c r="A633" s="19" t="s">
        <v>7461</v>
      </c>
      <c r="B633" s="19" t="s">
        <v>7514</v>
      </c>
      <c r="C633" s="205" t="s">
        <v>1105</v>
      </c>
      <c r="D633" s="205" t="s">
        <v>1242</v>
      </c>
      <c r="E633" s="4" t="s">
        <v>3209</v>
      </c>
      <c r="F633" s="4" t="s">
        <v>74</v>
      </c>
      <c r="G633" s="205"/>
      <c r="H633" s="205">
        <v>3</v>
      </c>
      <c r="I633" s="4" t="s">
        <v>7705</v>
      </c>
      <c r="J633" s="205">
        <v>1</v>
      </c>
      <c r="K633" s="11" t="s">
        <v>7703</v>
      </c>
      <c r="L633" s="205" t="s">
        <v>2276</v>
      </c>
      <c r="M633" s="205" t="s">
        <v>2276</v>
      </c>
    </row>
    <row r="634" spans="1:13" ht="31.5" customHeight="1">
      <c r="A634" s="19" t="s">
        <v>7462</v>
      </c>
      <c r="B634" s="19" t="s">
        <v>7515</v>
      </c>
      <c r="C634" s="205" t="s">
        <v>1105</v>
      </c>
      <c r="D634" s="205" t="s">
        <v>1242</v>
      </c>
      <c r="E634" s="4" t="s">
        <v>3209</v>
      </c>
      <c r="F634" s="4" t="s">
        <v>74</v>
      </c>
      <c r="G634" s="205"/>
      <c r="H634" s="205">
        <v>3</v>
      </c>
      <c r="I634" s="4" t="s">
        <v>7705</v>
      </c>
      <c r="J634" s="205">
        <v>1</v>
      </c>
      <c r="K634" s="11" t="s">
        <v>7703</v>
      </c>
      <c r="L634" s="205" t="s">
        <v>2276</v>
      </c>
      <c r="M634" s="205" t="s">
        <v>2276</v>
      </c>
    </row>
    <row r="635" spans="1:13" ht="31.5" customHeight="1">
      <c r="A635" s="19" t="s">
        <v>7463</v>
      </c>
      <c r="B635" s="19" t="s">
        <v>7516</v>
      </c>
      <c r="C635" s="205" t="s">
        <v>1105</v>
      </c>
      <c r="D635" s="205" t="s">
        <v>1242</v>
      </c>
      <c r="E635" s="4" t="s">
        <v>3209</v>
      </c>
      <c r="F635" s="4" t="s">
        <v>74</v>
      </c>
      <c r="G635" s="205"/>
      <c r="H635" s="205">
        <v>3</v>
      </c>
      <c r="I635" s="4" t="s">
        <v>7705</v>
      </c>
      <c r="J635" s="205">
        <v>1</v>
      </c>
      <c r="K635" s="11" t="s">
        <v>7703</v>
      </c>
      <c r="L635" s="205" t="s">
        <v>2276</v>
      </c>
      <c r="M635" s="205" t="s">
        <v>2276</v>
      </c>
    </row>
    <row r="636" spans="1:13" ht="31.5" customHeight="1">
      <c r="A636" s="19" t="s">
        <v>7464</v>
      </c>
      <c r="B636" s="19" t="s">
        <v>7517</v>
      </c>
      <c r="C636" s="205" t="s">
        <v>1105</v>
      </c>
      <c r="D636" s="205" t="s">
        <v>1242</v>
      </c>
      <c r="E636" s="4" t="s">
        <v>3209</v>
      </c>
      <c r="F636" s="4" t="s">
        <v>74</v>
      </c>
      <c r="G636" s="205"/>
      <c r="H636" s="205">
        <v>3</v>
      </c>
      <c r="I636" s="4" t="s">
        <v>7705</v>
      </c>
      <c r="J636" s="205">
        <v>1</v>
      </c>
      <c r="K636" s="11" t="s">
        <v>7703</v>
      </c>
      <c r="L636" s="205" t="s">
        <v>2276</v>
      </c>
      <c r="M636" s="205" t="s">
        <v>2276</v>
      </c>
    </row>
    <row r="637" spans="1:13" ht="31.5" customHeight="1">
      <c r="A637" s="19" t="s">
        <v>7465</v>
      </c>
      <c r="B637" s="19" t="s">
        <v>7518</v>
      </c>
      <c r="C637" s="205" t="s">
        <v>1105</v>
      </c>
      <c r="D637" s="205" t="s">
        <v>1242</v>
      </c>
      <c r="E637" s="4" t="s">
        <v>3209</v>
      </c>
      <c r="F637" s="4" t="s">
        <v>74</v>
      </c>
      <c r="G637" s="205"/>
      <c r="H637" s="205">
        <v>3</v>
      </c>
      <c r="I637" s="4" t="s">
        <v>7705</v>
      </c>
      <c r="J637" s="205">
        <v>2</v>
      </c>
      <c r="K637" s="11" t="s">
        <v>7704</v>
      </c>
      <c r="L637" s="205" t="s">
        <v>2276</v>
      </c>
      <c r="M637" s="205" t="s">
        <v>2276</v>
      </c>
    </row>
    <row r="638" spans="1:13" ht="31.5" customHeight="1">
      <c r="A638" s="19" t="s">
        <v>7466</v>
      </c>
      <c r="B638" s="19" t="s">
        <v>7519</v>
      </c>
      <c r="C638" s="205" t="s">
        <v>1105</v>
      </c>
      <c r="D638" s="205" t="s">
        <v>1242</v>
      </c>
      <c r="E638" s="4" t="s">
        <v>3209</v>
      </c>
      <c r="F638" s="4" t="s">
        <v>74</v>
      </c>
      <c r="G638" s="205"/>
      <c r="H638" s="205">
        <v>3</v>
      </c>
      <c r="I638" s="4" t="s">
        <v>7705</v>
      </c>
      <c r="J638" s="205">
        <v>2</v>
      </c>
      <c r="K638" s="11" t="s">
        <v>7704</v>
      </c>
      <c r="L638" s="205" t="s">
        <v>2276</v>
      </c>
      <c r="M638" s="205" t="s">
        <v>2276</v>
      </c>
    </row>
    <row r="639" spans="1:13" ht="31.5" customHeight="1">
      <c r="A639" s="19" t="s">
        <v>7467</v>
      </c>
      <c r="B639" s="19" t="s">
        <v>7520</v>
      </c>
      <c r="C639" s="205" t="s">
        <v>1105</v>
      </c>
      <c r="D639" s="205" t="s">
        <v>1242</v>
      </c>
      <c r="E639" s="4" t="s">
        <v>3209</v>
      </c>
      <c r="F639" s="4" t="s">
        <v>74</v>
      </c>
      <c r="G639" s="205"/>
      <c r="H639" s="205">
        <v>3</v>
      </c>
      <c r="I639" s="4" t="s">
        <v>7705</v>
      </c>
      <c r="J639" s="205">
        <v>2</v>
      </c>
      <c r="K639" s="11" t="s">
        <v>7704</v>
      </c>
      <c r="L639" s="205" t="s">
        <v>2276</v>
      </c>
      <c r="M639" s="205" t="s">
        <v>2276</v>
      </c>
    </row>
    <row r="640" spans="1:13" ht="31.5" customHeight="1">
      <c r="A640" s="19" t="s">
        <v>7666</v>
      </c>
      <c r="B640" s="19" t="s">
        <v>7668</v>
      </c>
      <c r="C640" s="205" t="s">
        <v>1105</v>
      </c>
      <c r="D640" s="205" t="s">
        <v>1242</v>
      </c>
      <c r="E640" s="4" t="s">
        <v>3209</v>
      </c>
      <c r="F640" s="4" t="s">
        <v>74</v>
      </c>
      <c r="G640" s="205"/>
      <c r="H640" s="205">
        <v>3</v>
      </c>
      <c r="I640" s="4" t="s">
        <v>7705</v>
      </c>
      <c r="J640" s="205">
        <v>1</v>
      </c>
      <c r="K640" s="11" t="s">
        <v>7703</v>
      </c>
      <c r="L640" s="205" t="s">
        <v>2276</v>
      </c>
      <c r="M640" s="205" t="s">
        <v>2276</v>
      </c>
    </row>
    <row r="641" spans="1:14" ht="31.5" customHeight="1">
      <c r="A641" s="55" t="s">
        <v>7688</v>
      </c>
      <c r="B641" s="55" t="s">
        <v>7702</v>
      </c>
      <c r="C641" s="38" t="s">
        <v>1105</v>
      </c>
      <c r="D641" s="38" t="s">
        <v>1242</v>
      </c>
      <c r="E641" s="168" t="s">
        <v>3209</v>
      </c>
      <c r="F641" s="168" t="s">
        <v>74</v>
      </c>
      <c r="G641" s="38"/>
      <c r="H641" s="38">
        <v>3</v>
      </c>
      <c r="I641" s="168" t="s">
        <v>7705</v>
      </c>
      <c r="J641" s="38">
        <v>1</v>
      </c>
      <c r="K641" s="35" t="s">
        <v>7703</v>
      </c>
      <c r="L641" s="38" t="s">
        <v>2276</v>
      </c>
      <c r="M641" s="38" t="s">
        <v>2276</v>
      </c>
    </row>
    <row r="642" spans="1:14" ht="29">
      <c r="A642" s="19" t="s">
        <v>7716</v>
      </c>
      <c r="B642" s="205" t="s">
        <v>7857</v>
      </c>
      <c r="C642" s="38" t="s">
        <v>1105</v>
      </c>
      <c r="D642" s="38" t="s">
        <v>1242</v>
      </c>
      <c r="E642" s="168" t="s">
        <v>3209</v>
      </c>
      <c r="F642" s="4" t="s">
        <v>2276</v>
      </c>
      <c r="G642" s="205"/>
      <c r="H642" s="4" t="s">
        <v>2276</v>
      </c>
      <c r="I642" s="4" t="s">
        <v>2276</v>
      </c>
      <c r="J642" s="205">
        <v>2</v>
      </c>
      <c r="K642" s="19" t="s">
        <v>7922</v>
      </c>
      <c r="L642" s="205" t="s">
        <v>2276</v>
      </c>
      <c r="M642" s="205" t="s">
        <v>2276</v>
      </c>
      <c r="N642" s="205"/>
    </row>
    <row r="643" spans="1:14" ht="29">
      <c r="A643" s="19" t="s">
        <v>7717</v>
      </c>
      <c r="B643" s="205" t="s">
        <v>7858</v>
      </c>
      <c r="C643" s="38" t="s">
        <v>1105</v>
      </c>
      <c r="D643" s="38" t="s">
        <v>1242</v>
      </c>
      <c r="E643" s="168" t="s">
        <v>3209</v>
      </c>
      <c r="F643" s="4" t="s">
        <v>2276</v>
      </c>
      <c r="G643" s="205"/>
      <c r="H643" s="4" t="s">
        <v>2276</v>
      </c>
      <c r="I643" s="4" t="s">
        <v>2276</v>
      </c>
      <c r="J643" s="205">
        <v>2</v>
      </c>
      <c r="K643" s="19" t="s">
        <v>7922</v>
      </c>
      <c r="L643" s="205" t="s">
        <v>2276</v>
      </c>
      <c r="M643" s="205" t="s">
        <v>2276</v>
      </c>
      <c r="N643" s="205"/>
    </row>
    <row r="644" spans="1:14" ht="29">
      <c r="A644" s="19" t="s">
        <v>7718</v>
      </c>
      <c r="B644" s="205" t="s">
        <v>7859</v>
      </c>
      <c r="C644" s="38" t="s">
        <v>1105</v>
      </c>
      <c r="D644" s="38" t="s">
        <v>1242</v>
      </c>
      <c r="E644" s="168" t="s">
        <v>3209</v>
      </c>
      <c r="F644" s="4" t="s">
        <v>2276</v>
      </c>
      <c r="G644" s="205"/>
      <c r="H644" s="4" t="s">
        <v>2276</v>
      </c>
      <c r="I644" s="4" t="s">
        <v>2276</v>
      </c>
      <c r="J644" s="205">
        <v>2</v>
      </c>
      <c r="K644" s="19" t="s">
        <v>7922</v>
      </c>
      <c r="L644" s="205" t="s">
        <v>2276</v>
      </c>
      <c r="M644" s="205" t="s">
        <v>2276</v>
      </c>
      <c r="N644" s="205"/>
    </row>
    <row r="645" spans="1:14" ht="29">
      <c r="A645" s="19" t="s">
        <v>7719</v>
      </c>
      <c r="B645" s="205" t="s">
        <v>7860</v>
      </c>
      <c r="C645" s="38" t="s">
        <v>1105</v>
      </c>
      <c r="D645" s="38" t="s">
        <v>1242</v>
      </c>
      <c r="E645" s="168" t="s">
        <v>3209</v>
      </c>
      <c r="F645" s="4" t="s">
        <v>2276</v>
      </c>
      <c r="G645" s="205"/>
      <c r="H645" s="4" t="s">
        <v>2276</v>
      </c>
      <c r="I645" s="4" t="s">
        <v>2276</v>
      </c>
      <c r="J645" s="205">
        <v>2</v>
      </c>
      <c r="K645" s="19" t="s">
        <v>7922</v>
      </c>
      <c r="L645" s="205" t="s">
        <v>2276</v>
      </c>
      <c r="M645" s="205" t="s">
        <v>2276</v>
      </c>
      <c r="N645" s="205"/>
    </row>
    <row r="646" spans="1:14" ht="29">
      <c r="A646" s="19" t="s">
        <v>7720</v>
      </c>
      <c r="B646" s="205" t="s">
        <v>7861</v>
      </c>
      <c r="C646" s="38" t="s">
        <v>1105</v>
      </c>
      <c r="D646" s="38" t="s">
        <v>1242</v>
      </c>
      <c r="E646" s="168" t="s">
        <v>3209</v>
      </c>
      <c r="F646" s="4" t="s">
        <v>2276</v>
      </c>
      <c r="G646" s="205"/>
      <c r="H646" s="4" t="s">
        <v>2276</v>
      </c>
      <c r="I646" s="4" t="s">
        <v>2276</v>
      </c>
      <c r="J646" s="205">
        <v>1</v>
      </c>
      <c r="K646" s="19" t="s">
        <v>7922</v>
      </c>
      <c r="L646" s="205" t="s">
        <v>2276</v>
      </c>
      <c r="M646" s="205" t="s">
        <v>2276</v>
      </c>
      <c r="N646" s="205"/>
    </row>
    <row r="647" spans="1:14" ht="29">
      <c r="A647" s="19" t="s">
        <v>7721</v>
      </c>
      <c r="B647" s="205" t="s">
        <v>7862</v>
      </c>
      <c r="C647" s="38" t="s">
        <v>1105</v>
      </c>
      <c r="D647" s="38" t="s">
        <v>1242</v>
      </c>
      <c r="E647" s="168" t="s">
        <v>3209</v>
      </c>
      <c r="F647" s="4" t="s">
        <v>2276</v>
      </c>
      <c r="G647" s="205"/>
      <c r="H647" s="4" t="s">
        <v>2276</v>
      </c>
      <c r="I647" s="4" t="s">
        <v>2276</v>
      </c>
      <c r="J647" s="205">
        <v>3</v>
      </c>
      <c r="K647" s="19" t="s">
        <v>7922</v>
      </c>
      <c r="L647" s="205" t="s">
        <v>2276</v>
      </c>
      <c r="M647" s="205" t="s">
        <v>2276</v>
      </c>
      <c r="N647" s="205"/>
    </row>
    <row r="648" spans="1:14" ht="29">
      <c r="A648" s="19" t="s">
        <v>7722</v>
      </c>
      <c r="B648" s="205" t="s">
        <v>7863</v>
      </c>
      <c r="C648" s="38" t="s">
        <v>1105</v>
      </c>
      <c r="D648" s="38" t="s">
        <v>1242</v>
      </c>
      <c r="E648" s="168" t="s">
        <v>3209</v>
      </c>
      <c r="F648" s="4" t="s">
        <v>2276</v>
      </c>
      <c r="G648" s="205"/>
      <c r="H648" s="4" t="s">
        <v>2276</v>
      </c>
      <c r="I648" s="4" t="s">
        <v>2276</v>
      </c>
      <c r="J648" s="205">
        <v>3</v>
      </c>
      <c r="K648" s="19" t="s">
        <v>7922</v>
      </c>
      <c r="L648" s="205" t="s">
        <v>2276</v>
      </c>
      <c r="M648" s="205" t="s">
        <v>2276</v>
      </c>
      <c r="N648" s="205"/>
    </row>
    <row r="649" spans="1:14" ht="29">
      <c r="A649" s="19" t="s">
        <v>7723</v>
      </c>
      <c r="B649" s="205" t="s">
        <v>7864</v>
      </c>
      <c r="C649" s="38" t="s">
        <v>1105</v>
      </c>
      <c r="D649" s="38" t="s">
        <v>1242</v>
      </c>
      <c r="E649" s="168" t="s">
        <v>3209</v>
      </c>
      <c r="F649" s="4" t="s">
        <v>2276</v>
      </c>
      <c r="G649" s="205"/>
      <c r="H649" s="4" t="s">
        <v>2276</v>
      </c>
      <c r="I649" s="4" t="s">
        <v>2276</v>
      </c>
      <c r="J649" s="205">
        <v>1</v>
      </c>
      <c r="K649" s="19" t="s">
        <v>7922</v>
      </c>
      <c r="L649" s="205" t="s">
        <v>2276</v>
      </c>
      <c r="M649" s="205" t="s">
        <v>2276</v>
      </c>
      <c r="N649" s="205"/>
    </row>
    <row r="650" spans="1:14" ht="29">
      <c r="A650" s="19" t="s">
        <v>7724</v>
      </c>
      <c r="B650" s="205" t="s">
        <v>7865</v>
      </c>
      <c r="C650" s="38" t="s">
        <v>1105</v>
      </c>
      <c r="D650" s="38" t="s">
        <v>1242</v>
      </c>
      <c r="E650" s="168" t="s">
        <v>3209</v>
      </c>
      <c r="F650" s="4" t="s">
        <v>2276</v>
      </c>
      <c r="G650" s="205"/>
      <c r="H650" s="4" t="s">
        <v>2276</v>
      </c>
      <c r="I650" s="4" t="s">
        <v>2276</v>
      </c>
      <c r="J650" s="205">
        <v>3</v>
      </c>
      <c r="K650" s="19" t="s">
        <v>7922</v>
      </c>
      <c r="L650" s="205" t="s">
        <v>2276</v>
      </c>
      <c r="M650" s="205" t="s">
        <v>2276</v>
      </c>
      <c r="N650" s="205"/>
    </row>
    <row r="651" spans="1:14" ht="29">
      <c r="A651" s="19" t="s">
        <v>7725</v>
      </c>
      <c r="B651" s="205" t="s">
        <v>7866</v>
      </c>
      <c r="C651" s="38" t="s">
        <v>1105</v>
      </c>
      <c r="D651" s="38" t="s">
        <v>1242</v>
      </c>
      <c r="E651" s="168" t="s">
        <v>3209</v>
      </c>
      <c r="F651" s="4" t="s">
        <v>2276</v>
      </c>
      <c r="G651" s="205"/>
      <c r="H651" s="4" t="s">
        <v>2276</v>
      </c>
      <c r="I651" s="4" t="s">
        <v>2276</v>
      </c>
      <c r="J651" s="205">
        <v>3</v>
      </c>
      <c r="K651" s="19" t="s">
        <v>7922</v>
      </c>
      <c r="L651" s="205" t="s">
        <v>2276</v>
      </c>
      <c r="M651" s="205" t="s">
        <v>2276</v>
      </c>
      <c r="N651" s="205"/>
    </row>
    <row r="652" spans="1:14" ht="29">
      <c r="A652" s="19" t="s">
        <v>7726</v>
      </c>
      <c r="B652" s="205" t="s">
        <v>7867</v>
      </c>
      <c r="C652" s="38" t="s">
        <v>1105</v>
      </c>
      <c r="D652" s="38" t="s">
        <v>1242</v>
      </c>
      <c r="E652" s="168" t="s">
        <v>3209</v>
      </c>
      <c r="F652" s="4" t="s">
        <v>2276</v>
      </c>
      <c r="G652" s="205"/>
      <c r="H652" s="4" t="s">
        <v>2276</v>
      </c>
      <c r="I652" s="4" t="s">
        <v>2276</v>
      </c>
      <c r="J652" s="205">
        <v>2</v>
      </c>
      <c r="K652" s="19" t="s">
        <v>7922</v>
      </c>
      <c r="L652" s="205" t="s">
        <v>2276</v>
      </c>
      <c r="M652" s="205" t="s">
        <v>2276</v>
      </c>
      <c r="N652" s="205"/>
    </row>
    <row r="653" spans="1:14" ht="29">
      <c r="A653" s="19" t="s">
        <v>7727</v>
      </c>
      <c r="B653" s="205" t="s">
        <v>7868</v>
      </c>
      <c r="C653" s="38" t="s">
        <v>1105</v>
      </c>
      <c r="D653" s="38" t="s">
        <v>1242</v>
      </c>
      <c r="E653" s="168" t="s">
        <v>3209</v>
      </c>
      <c r="F653" s="4" t="s">
        <v>2276</v>
      </c>
      <c r="G653" s="205"/>
      <c r="H653" s="4" t="s">
        <v>2276</v>
      </c>
      <c r="I653" s="4" t="s">
        <v>2276</v>
      </c>
      <c r="J653" s="205">
        <v>1</v>
      </c>
      <c r="K653" s="19" t="s">
        <v>7922</v>
      </c>
      <c r="L653" s="205" t="s">
        <v>2276</v>
      </c>
      <c r="M653" s="205" t="s">
        <v>2276</v>
      </c>
      <c r="N653" s="205"/>
    </row>
    <row r="654" spans="1:14" ht="29">
      <c r="A654" s="19" t="s">
        <v>7728</v>
      </c>
      <c r="B654" s="205" t="s">
        <v>7869</v>
      </c>
      <c r="C654" s="38" t="s">
        <v>1105</v>
      </c>
      <c r="D654" s="38" t="s">
        <v>1242</v>
      </c>
      <c r="E654" s="168" t="s">
        <v>3209</v>
      </c>
      <c r="F654" s="4" t="s">
        <v>2276</v>
      </c>
      <c r="G654" s="205"/>
      <c r="H654" s="4" t="s">
        <v>2276</v>
      </c>
      <c r="I654" s="4" t="s">
        <v>2276</v>
      </c>
      <c r="J654" s="205">
        <v>2</v>
      </c>
      <c r="K654" s="19" t="s">
        <v>7922</v>
      </c>
      <c r="L654" s="205" t="s">
        <v>2276</v>
      </c>
      <c r="M654" s="205" t="s">
        <v>2276</v>
      </c>
      <c r="N654" s="205"/>
    </row>
    <row r="655" spans="1:14" ht="29">
      <c r="A655" s="19" t="s">
        <v>7729</v>
      </c>
      <c r="B655" s="205" t="s">
        <v>7870</v>
      </c>
      <c r="C655" s="38" t="s">
        <v>1105</v>
      </c>
      <c r="D655" s="38" t="s">
        <v>1242</v>
      </c>
      <c r="E655" s="168" t="s">
        <v>3209</v>
      </c>
      <c r="F655" s="4" t="s">
        <v>2276</v>
      </c>
      <c r="G655" s="205"/>
      <c r="H655" s="4" t="s">
        <v>2276</v>
      </c>
      <c r="I655" s="4" t="s">
        <v>2276</v>
      </c>
      <c r="J655" s="205">
        <v>3</v>
      </c>
      <c r="K655" s="19" t="s">
        <v>7922</v>
      </c>
      <c r="L655" s="205" t="s">
        <v>2276</v>
      </c>
      <c r="M655" s="205" t="s">
        <v>2276</v>
      </c>
      <c r="N655" s="205"/>
    </row>
    <row r="656" spans="1:14" ht="29">
      <c r="A656" s="19" t="s">
        <v>7730</v>
      </c>
      <c r="B656" s="205" t="s">
        <v>7871</v>
      </c>
      <c r="C656" s="38" t="s">
        <v>1105</v>
      </c>
      <c r="D656" s="38" t="s">
        <v>1242</v>
      </c>
      <c r="E656" s="168" t="s">
        <v>3209</v>
      </c>
      <c r="F656" s="4" t="s">
        <v>2276</v>
      </c>
      <c r="G656" s="205"/>
      <c r="H656" s="4" t="s">
        <v>2276</v>
      </c>
      <c r="I656" s="4" t="s">
        <v>2276</v>
      </c>
      <c r="J656" s="205">
        <v>2</v>
      </c>
      <c r="K656" s="19" t="s">
        <v>7922</v>
      </c>
      <c r="L656" s="205" t="s">
        <v>2276</v>
      </c>
      <c r="M656" s="205" t="s">
        <v>2276</v>
      </c>
      <c r="N656" s="205"/>
    </row>
    <row r="657" spans="1:14" ht="29">
      <c r="A657" s="19" t="s">
        <v>7731</v>
      </c>
      <c r="B657" s="205" t="s">
        <v>7872</v>
      </c>
      <c r="C657" s="38" t="s">
        <v>1105</v>
      </c>
      <c r="D657" s="38" t="s">
        <v>1242</v>
      </c>
      <c r="E657" s="168" t="s">
        <v>3209</v>
      </c>
      <c r="F657" s="4" t="s">
        <v>2276</v>
      </c>
      <c r="G657" s="205"/>
      <c r="H657" s="4" t="s">
        <v>2276</v>
      </c>
      <c r="I657" s="4" t="s">
        <v>2276</v>
      </c>
      <c r="J657" s="205">
        <v>2</v>
      </c>
      <c r="K657" s="19" t="s">
        <v>7922</v>
      </c>
      <c r="L657" s="205" t="s">
        <v>2276</v>
      </c>
      <c r="M657" s="205" t="s">
        <v>2276</v>
      </c>
      <c r="N657" s="205"/>
    </row>
    <row r="658" spans="1:14" ht="29">
      <c r="A658" s="19" t="s">
        <v>7732</v>
      </c>
      <c r="B658" s="205" t="s">
        <v>7873</v>
      </c>
      <c r="C658" s="38" t="s">
        <v>1105</v>
      </c>
      <c r="D658" s="38" t="s">
        <v>1242</v>
      </c>
      <c r="E658" s="168" t="s">
        <v>3209</v>
      </c>
      <c r="F658" s="4" t="s">
        <v>2276</v>
      </c>
      <c r="G658" s="205"/>
      <c r="H658" s="4" t="s">
        <v>2276</v>
      </c>
      <c r="I658" s="4" t="s">
        <v>2276</v>
      </c>
      <c r="J658" s="205">
        <v>2</v>
      </c>
      <c r="K658" s="19" t="s">
        <v>7922</v>
      </c>
      <c r="L658" s="205" t="s">
        <v>2276</v>
      </c>
      <c r="M658" s="205" t="s">
        <v>2276</v>
      </c>
      <c r="N658" s="205"/>
    </row>
    <row r="659" spans="1:14" ht="29">
      <c r="A659" s="19" t="s">
        <v>7733</v>
      </c>
      <c r="B659" s="205" t="s">
        <v>7874</v>
      </c>
      <c r="C659" s="38" t="s">
        <v>1105</v>
      </c>
      <c r="D659" s="38" t="s">
        <v>1242</v>
      </c>
      <c r="E659" s="168" t="s">
        <v>3209</v>
      </c>
      <c r="F659" s="4" t="s">
        <v>2276</v>
      </c>
      <c r="G659" s="205"/>
      <c r="H659" s="4" t="s">
        <v>2276</v>
      </c>
      <c r="I659" s="4" t="s">
        <v>2276</v>
      </c>
      <c r="J659" s="205">
        <v>2</v>
      </c>
      <c r="K659" s="19" t="s">
        <v>7922</v>
      </c>
      <c r="L659" s="205" t="s">
        <v>2276</v>
      </c>
      <c r="M659" s="205" t="s">
        <v>2276</v>
      </c>
      <c r="N659" s="205"/>
    </row>
    <row r="660" spans="1:14" ht="29">
      <c r="A660" s="19" t="s">
        <v>7734</v>
      </c>
      <c r="B660" s="205" t="s">
        <v>7875</v>
      </c>
      <c r="C660" s="38" t="s">
        <v>1105</v>
      </c>
      <c r="D660" s="38" t="s">
        <v>1242</v>
      </c>
      <c r="E660" s="168" t="s">
        <v>3209</v>
      </c>
      <c r="F660" s="4" t="s">
        <v>2276</v>
      </c>
      <c r="G660" s="205"/>
      <c r="H660" s="4" t="s">
        <v>2276</v>
      </c>
      <c r="I660" s="4" t="s">
        <v>2276</v>
      </c>
      <c r="J660" s="205">
        <v>1</v>
      </c>
      <c r="K660" s="19" t="s">
        <v>7922</v>
      </c>
      <c r="L660" s="205" t="s">
        <v>2276</v>
      </c>
      <c r="M660" s="205" t="s">
        <v>2276</v>
      </c>
      <c r="N660" s="205"/>
    </row>
    <row r="661" spans="1:14" ht="29">
      <c r="A661" s="19" t="s">
        <v>7735</v>
      </c>
      <c r="B661" s="205" t="s">
        <v>7876</v>
      </c>
      <c r="C661" s="38" t="s">
        <v>1105</v>
      </c>
      <c r="D661" s="38" t="s">
        <v>1242</v>
      </c>
      <c r="E661" s="168" t="s">
        <v>3209</v>
      </c>
      <c r="F661" s="4" t="s">
        <v>2276</v>
      </c>
      <c r="G661" s="205"/>
      <c r="H661" s="4" t="s">
        <v>2276</v>
      </c>
      <c r="I661" s="4" t="s">
        <v>2276</v>
      </c>
      <c r="J661" s="205">
        <v>2</v>
      </c>
      <c r="K661" s="19" t="s">
        <v>7922</v>
      </c>
      <c r="L661" s="205" t="s">
        <v>2276</v>
      </c>
      <c r="M661" s="205" t="s">
        <v>2276</v>
      </c>
      <c r="N661" s="205"/>
    </row>
    <row r="662" spans="1:14" ht="29">
      <c r="A662" s="19" t="s">
        <v>7736</v>
      </c>
      <c r="B662" s="205" t="s">
        <v>7877</v>
      </c>
      <c r="C662" s="38" t="s">
        <v>1105</v>
      </c>
      <c r="D662" s="38" t="s">
        <v>1242</v>
      </c>
      <c r="E662" s="168" t="s">
        <v>3209</v>
      </c>
      <c r="F662" s="4" t="s">
        <v>2276</v>
      </c>
      <c r="G662" s="205"/>
      <c r="H662" s="4" t="s">
        <v>2276</v>
      </c>
      <c r="I662" s="4" t="s">
        <v>2276</v>
      </c>
      <c r="J662" s="205">
        <v>2</v>
      </c>
      <c r="K662" s="19" t="s">
        <v>7922</v>
      </c>
      <c r="L662" s="205" t="s">
        <v>2276</v>
      </c>
      <c r="M662" s="205" t="s">
        <v>2276</v>
      </c>
      <c r="N662" s="205"/>
    </row>
    <row r="663" spans="1:14" ht="29">
      <c r="A663" s="19" t="s">
        <v>7737</v>
      </c>
      <c r="B663" s="205" t="s">
        <v>7878</v>
      </c>
      <c r="C663" s="38" t="s">
        <v>1105</v>
      </c>
      <c r="D663" s="38" t="s">
        <v>1242</v>
      </c>
      <c r="E663" s="168" t="s">
        <v>3209</v>
      </c>
      <c r="F663" s="4" t="s">
        <v>2276</v>
      </c>
      <c r="G663" s="205"/>
      <c r="H663" s="4" t="s">
        <v>2276</v>
      </c>
      <c r="I663" s="4" t="s">
        <v>2276</v>
      </c>
      <c r="J663" s="205">
        <v>2</v>
      </c>
      <c r="K663" s="19" t="s">
        <v>7922</v>
      </c>
      <c r="L663" s="205" t="s">
        <v>2276</v>
      </c>
      <c r="M663" s="205" t="s">
        <v>2276</v>
      </c>
      <c r="N663" s="205"/>
    </row>
    <row r="664" spans="1:14" ht="29">
      <c r="A664" s="19" t="s">
        <v>7738</v>
      </c>
      <c r="B664" s="205" t="s">
        <v>7879</v>
      </c>
      <c r="C664" s="38" t="s">
        <v>1105</v>
      </c>
      <c r="D664" s="38" t="s">
        <v>1242</v>
      </c>
      <c r="E664" s="168" t="s">
        <v>3209</v>
      </c>
      <c r="F664" s="4" t="s">
        <v>2276</v>
      </c>
      <c r="G664" s="205"/>
      <c r="H664" s="4" t="s">
        <v>2276</v>
      </c>
      <c r="I664" s="4" t="s">
        <v>2276</v>
      </c>
      <c r="J664" s="205">
        <v>2</v>
      </c>
      <c r="K664" s="19" t="s">
        <v>7922</v>
      </c>
      <c r="L664" s="205" t="s">
        <v>2276</v>
      </c>
      <c r="M664" s="205" t="s">
        <v>2276</v>
      </c>
      <c r="N664" s="205"/>
    </row>
    <row r="665" spans="1:14" ht="29">
      <c r="A665" s="19" t="s">
        <v>7739</v>
      </c>
      <c r="B665" s="205" t="s">
        <v>7880</v>
      </c>
      <c r="C665" s="38" t="s">
        <v>1105</v>
      </c>
      <c r="D665" s="38" t="s">
        <v>1242</v>
      </c>
      <c r="E665" s="168" t="s">
        <v>3209</v>
      </c>
      <c r="F665" s="4" t="s">
        <v>2276</v>
      </c>
      <c r="G665" s="205"/>
      <c r="H665" s="4" t="s">
        <v>2276</v>
      </c>
      <c r="I665" s="4" t="s">
        <v>2276</v>
      </c>
      <c r="J665" s="205">
        <v>2</v>
      </c>
      <c r="K665" s="19" t="s">
        <v>7922</v>
      </c>
      <c r="L665" s="205" t="s">
        <v>2276</v>
      </c>
      <c r="M665" s="205" t="s">
        <v>2276</v>
      </c>
      <c r="N665" s="205"/>
    </row>
    <row r="666" spans="1:14" ht="29">
      <c r="A666" s="19" t="s">
        <v>7740</v>
      </c>
      <c r="B666" s="205" t="s">
        <v>7881</v>
      </c>
      <c r="C666" s="38" t="s">
        <v>1105</v>
      </c>
      <c r="D666" s="38" t="s">
        <v>1242</v>
      </c>
      <c r="E666" s="168" t="s">
        <v>3209</v>
      </c>
      <c r="F666" s="4" t="s">
        <v>2276</v>
      </c>
      <c r="G666" s="205"/>
      <c r="H666" s="4" t="s">
        <v>2276</v>
      </c>
      <c r="I666" s="4" t="s">
        <v>2276</v>
      </c>
      <c r="J666" s="205">
        <v>2</v>
      </c>
      <c r="K666" s="19" t="s">
        <v>7922</v>
      </c>
      <c r="L666" s="205" t="s">
        <v>2276</v>
      </c>
      <c r="M666" s="205" t="s">
        <v>2276</v>
      </c>
      <c r="N666" s="205"/>
    </row>
    <row r="667" spans="1:14" ht="29">
      <c r="A667" s="19" t="s">
        <v>7741</v>
      </c>
      <c r="B667" s="205" t="s">
        <v>7882</v>
      </c>
      <c r="C667" s="38" t="s">
        <v>1105</v>
      </c>
      <c r="D667" s="38" t="s">
        <v>1242</v>
      </c>
      <c r="E667" s="168" t="s">
        <v>3209</v>
      </c>
      <c r="F667" s="4" t="s">
        <v>2276</v>
      </c>
      <c r="G667" s="205"/>
      <c r="H667" s="4" t="s">
        <v>2276</v>
      </c>
      <c r="I667" s="4" t="s">
        <v>2276</v>
      </c>
      <c r="J667" s="205">
        <v>1</v>
      </c>
      <c r="K667" s="19" t="s">
        <v>7922</v>
      </c>
      <c r="L667" s="205" t="s">
        <v>2276</v>
      </c>
      <c r="M667" s="205" t="s">
        <v>2276</v>
      </c>
      <c r="N667" s="205"/>
    </row>
    <row r="668" spans="1:14" ht="29">
      <c r="A668" s="19" t="s">
        <v>7742</v>
      </c>
      <c r="B668" s="205" t="s">
        <v>7883</v>
      </c>
      <c r="C668" s="38" t="s">
        <v>1105</v>
      </c>
      <c r="D668" s="38" t="s">
        <v>1242</v>
      </c>
      <c r="E668" s="168" t="s">
        <v>3209</v>
      </c>
      <c r="F668" s="4" t="s">
        <v>2276</v>
      </c>
      <c r="G668" s="205"/>
      <c r="H668" s="4" t="s">
        <v>2276</v>
      </c>
      <c r="I668" s="4" t="s">
        <v>2276</v>
      </c>
      <c r="J668" s="205">
        <v>2</v>
      </c>
      <c r="K668" s="19" t="s">
        <v>7922</v>
      </c>
      <c r="L668" s="205" t="s">
        <v>2276</v>
      </c>
      <c r="M668" s="205" t="s">
        <v>2276</v>
      </c>
      <c r="N668" s="205"/>
    </row>
    <row r="669" spans="1:14" ht="29">
      <c r="A669" s="19" t="s">
        <v>7743</v>
      </c>
      <c r="B669" s="205" t="s">
        <v>7884</v>
      </c>
      <c r="C669" s="38" t="s">
        <v>1105</v>
      </c>
      <c r="D669" s="38" t="s">
        <v>1242</v>
      </c>
      <c r="E669" s="168" t="s">
        <v>3209</v>
      </c>
      <c r="F669" s="4" t="s">
        <v>2276</v>
      </c>
      <c r="G669" s="205"/>
      <c r="H669" s="4" t="s">
        <v>2276</v>
      </c>
      <c r="I669" s="4" t="s">
        <v>2276</v>
      </c>
      <c r="J669" s="205">
        <v>2</v>
      </c>
      <c r="K669" s="19" t="s">
        <v>7922</v>
      </c>
      <c r="L669" s="205" t="s">
        <v>2276</v>
      </c>
      <c r="M669" s="205" t="s">
        <v>2276</v>
      </c>
      <c r="N669" s="205"/>
    </row>
    <row r="670" spans="1:14" ht="29">
      <c r="A670" s="19" t="s">
        <v>7744</v>
      </c>
      <c r="B670" s="205" t="s">
        <v>7885</v>
      </c>
      <c r="C670" s="38" t="s">
        <v>1105</v>
      </c>
      <c r="D670" s="38" t="s">
        <v>1242</v>
      </c>
      <c r="E670" s="168" t="s">
        <v>3209</v>
      </c>
      <c r="F670" s="4" t="s">
        <v>2276</v>
      </c>
      <c r="G670" s="205"/>
      <c r="H670" s="4" t="s">
        <v>2276</v>
      </c>
      <c r="I670" s="4" t="s">
        <v>2276</v>
      </c>
      <c r="J670" s="205">
        <v>1</v>
      </c>
      <c r="K670" s="19" t="s">
        <v>7922</v>
      </c>
      <c r="L670" s="205" t="s">
        <v>2276</v>
      </c>
      <c r="M670" s="205" t="s">
        <v>2276</v>
      </c>
      <c r="N670" s="205"/>
    </row>
    <row r="671" spans="1:14" ht="29">
      <c r="A671" s="19" t="s">
        <v>7745</v>
      </c>
      <c r="B671" s="205" t="s">
        <v>7886</v>
      </c>
      <c r="C671" s="38" t="s">
        <v>1105</v>
      </c>
      <c r="D671" s="38" t="s">
        <v>1242</v>
      </c>
      <c r="E671" s="168" t="s">
        <v>3209</v>
      </c>
      <c r="F671" s="4" t="s">
        <v>2276</v>
      </c>
      <c r="G671" s="205"/>
      <c r="H671" s="4" t="s">
        <v>2276</v>
      </c>
      <c r="I671" s="4" t="s">
        <v>2276</v>
      </c>
      <c r="J671" s="205">
        <v>1</v>
      </c>
      <c r="K671" s="19" t="s">
        <v>7922</v>
      </c>
      <c r="L671" s="205" t="s">
        <v>2276</v>
      </c>
      <c r="M671" s="205" t="s">
        <v>2276</v>
      </c>
      <c r="N671" s="205"/>
    </row>
    <row r="672" spans="1:14" ht="29">
      <c r="A672" s="19" t="s">
        <v>7665</v>
      </c>
      <c r="B672" s="205" t="s">
        <v>7887</v>
      </c>
      <c r="C672" s="38" t="s">
        <v>1105</v>
      </c>
      <c r="D672" s="38" t="s">
        <v>1242</v>
      </c>
      <c r="E672" s="168" t="s">
        <v>3209</v>
      </c>
      <c r="F672" s="4" t="s">
        <v>2276</v>
      </c>
      <c r="G672" s="205"/>
      <c r="H672" s="4" t="s">
        <v>2276</v>
      </c>
      <c r="I672" s="4" t="s">
        <v>2276</v>
      </c>
      <c r="J672" s="205">
        <v>1</v>
      </c>
      <c r="K672" s="19" t="s">
        <v>7922</v>
      </c>
      <c r="L672" s="205" t="s">
        <v>2276</v>
      </c>
      <c r="M672" s="205" t="s">
        <v>2276</v>
      </c>
      <c r="N672" s="205"/>
    </row>
    <row r="673" spans="1:14" ht="29">
      <c r="A673" s="19" t="s">
        <v>7686</v>
      </c>
      <c r="B673" s="205" t="s">
        <v>7687</v>
      </c>
      <c r="C673" s="38" t="s">
        <v>1105</v>
      </c>
      <c r="D673" s="38" t="s">
        <v>1242</v>
      </c>
      <c r="E673" s="168" t="s">
        <v>3209</v>
      </c>
      <c r="F673" s="4" t="s">
        <v>2276</v>
      </c>
      <c r="G673" s="205"/>
      <c r="H673" s="4" t="s">
        <v>2276</v>
      </c>
      <c r="I673" s="4" t="s">
        <v>2276</v>
      </c>
      <c r="J673" s="205">
        <v>1</v>
      </c>
      <c r="K673" s="19" t="s">
        <v>7922</v>
      </c>
      <c r="L673" s="205" t="s">
        <v>2276</v>
      </c>
      <c r="M673" s="205" t="s">
        <v>2276</v>
      </c>
      <c r="N673" s="205"/>
    </row>
    <row r="674" spans="1:14" ht="29">
      <c r="A674" s="19" t="s">
        <v>7746</v>
      </c>
      <c r="B674" s="205" t="s">
        <v>7888</v>
      </c>
      <c r="C674" s="38" t="s">
        <v>1105</v>
      </c>
      <c r="D674" s="38" t="s">
        <v>1242</v>
      </c>
      <c r="E674" s="168" t="s">
        <v>3209</v>
      </c>
      <c r="F674" s="4" t="s">
        <v>2276</v>
      </c>
      <c r="G674" s="205"/>
      <c r="H674" s="4" t="s">
        <v>2276</v>
      </c>
      <c r="I674" s="4" t="s">
        <v>2276</v>
      </c>
      <c r="J674" s="205">
        <v>1</v>
      </c>
      <c r="K674" s="19" t="s">
        <v>7922</v>
      </c>
      <c r="L674" s="205" t="s">
        <v>2276</v>
      </c>
      <c r="M674" s="205" t="s">
        <v>2276</v>
      </c>
      <c r="N674" s="205"/>
    </row>
    <row r="675" spans="1:14" ht="29">
      <c r="A675" s="19" t="s">
        <v>7747</v>
      </c>
      <c r="B675" s="205" t="s">
        <v>7889</v>
      </c>
      <c r="C675" s="38" t="s">
        <v>1105</v>
      </c>
      <c r="D675" s="38" t="s">
        <v>1242</v>
      </c>
      <c r="E675" s="168" t="s">
        <v>3209</v>
      </c>
      <c r="F675" s="4" t="s">
        <v>2276</v>
      </c>
      <c r="G675" s="205"/>
      <c r="H675" s="4" t="s">
        <v>2276</v>
      </c>
      <c r="I675" s="4" t="s">
        <v>2276</v>
      </c>
      <c r="J675" s="205">
        <v>0</v>
      </c>
      <c r="K675" s="19" t="s">
        <v>7922</v>
      </c>
      <c r="L675" s="205" t="s">
        <v>2276</v>
      </c>
      <c r="M675" s="205" t="s">
        <v>2276</v>
      </c>
      <c r="N675" s="205"/>
    </row>
    <row r="676" spans="1:14" ht="29">
      <c r="A676" s="19" t="s">
        <v>7748</v>
      </c>
      <c r="B676" s="205" t="s">
        <v>7890</v>
      </c>
      <c r="C676" s="38" t="s">
        <v>1105</v>
      </c>
      <c r="D676" s="38" t="s">
        <v>1242</v>
      </c>
      <c r="E676" s="168" t="s">
        <v>3209</v>
      </c>
      <c r="F676" s="4" t="s">
        <v>2276</v>
      </c>
      <c r="G676" s="205"/>
      <c r="H676" s="4" t="s">
        <v>2276</v>
      </c>
      <c r="I676" s="4" t="s">
        <v>2276</v>
      </c>
      <c r="J676" s="205">
        <v>1</v>
      </c>
      <c r="K676" s="19" t="s">
        <v>7922</v>
      </c>
      <c r="L676" s="205" t="s">
        <v>2276</v>
      </c>
      <c r="M676" s="205" t="s">
        <v>2276</v>
      </c>
      <c r="N676" s="205"/>
    </row>
    <row r="677" spans="1:14" ht="29">
      <c r="A677" s="19" t="s">
        <v>7749</v>
      </c>
      <c r="B677" s="205" t="s">
        <v>7891</v>
      </c>
      <c r="C677" s="38" t="s">
        <v>1105</v>
      </c>
      <c r="D677" s="38" t="s">
        <v>1242</v>
      </c>
      <c r="E677" s="168" t="s">
        <v>3209</v>
      </c>
      <c r="F677" s="4" t="s">
        <v>2276</v>
      </c>
      <c r="G677" s="205"/>
      <c r="H677" s="4" t="s">
        <v>2276</v>
      </c>
      <c r="I677" s="4" t="s">
        <v>2276</v>
      </c>
      <c r="J677" s="205">
        <v>3</v>
      </c>
      <c r="K677" s="19" t="s">
        <v>7922</v>
      </c>
      <c r="L677" s="205" t="s">
        <v>2276</v>
      </c>
      <c r="M677" s="205" t="s">
        <v>2276</v>
      </c>
      <c r="N677" s="205"/>
    </row>
    <row r="678" spans="1:14" ht="29">
      <c r="A678" s="19" t="s">
        <v>7750</v>
      </c>
      <c r="B678" s="205" t="s">
        <v>7892</v>
      </c>
      <c r="C678" s="38" t="s">
        <v>1105</v>
      </c>
      <c r="D678" s="38" t="s">
        <v>1242</v>
      </c>
      <c r="E678" s="168" t="s">
        <v>3209</v>
      </c>
      <c r="F678" s="4" t="s">
        <v>2276</v>
      </c>
      <c r="G678" s="205"/>
      <c r="H678" s="4" t="s">
        <v>2276</v>
      </c>
      <c r="I678" s="4" t="s">
        <v>2276</v>
      </c>
      <c r="J678" s="205">
        <v>1</v>
      </c>
      <c r="K678" s="19" t="s">
        <v>7922</v>
      </c>
      <c r="L678" s="205" t="s">
        <v>2276</v>
      </c>
      <c r="M678" s="205" t="s">
        <v>2276</v>
      </c>
      <c r="N678" s="205"/>
    </row>
    <row r="679" spans="1:14" ht="29">
      <c r="A679" s="19" t="s">
        <v>7751</v>
      </c>
      <c r="B679" s="205" t="s">
        <v>7893</v>
      </c>
      <c r="C679" s="38" t="s">
        <v>1105</v>
      </c>
      <c r="D679" s="38" t="s">
        <v>1242</v>
      </c>
      <c r="E679" s="168" t="s">
        <v>3209</v>
      </c>
      <c r="F679" s="4" t="s">
        <v>2276</v>
      </c>
      <c r="G679" s="205"/>
      <c r="H679" s="4" t="s">
        <v>2276</v>
      </c>
      <c r="I679" s="4" t="s">
        <v>2276</v>
      </c>
      <c r="J679" s="205">
        <v>1</v>
      </c>
      <c r="K679" s="19" t="s">
        <v>7922</v>
      </c>
      <c r="L679" s="205" t="s">
        <v>2276</v>
      </c>
      <c r="M679" s="205" t="s">
        <v>2276</v>
      </c>
      <c r="N679" s="205"/>
    </row>
    <row r="680" spans="1:14" ht="29">
      <c r="A680" s="19" t="s">
        <v>7752</v>
      </c>
      <c r="B680" s="205" t="s">
        <v>7894</v>
      </c>
      <c r="C680" s="38" t="s">
        <v>1105</v>
      </c>
      <c r="D680" s="38" t="s">
        <v>1242</v>
      </c>
      <c r="E680" s="168" t="s">
        <v>3209</v>
      </c>
      <c r="F680" s="4" t="s">
        <v>2276</v>
      </c>
      <c r="G680" s="205"/>
      <c r="H680" s="4" t="s">
        <v>2276</v>
      </c>
      <c r="I680" s="4" t="s">
        <v>2276</v>
      </c>
      <c r="J680" s="205">
        <v>2</v>
      </c>
      <c r="K680" s="19" t="s">
        <v>7922</v>
      </c>
      <c r="L680" s="205" t="s">
        <v>2276</v>
      </c>
      <c r="M680" s="205" t="s">
        <v>2276</v>
      </c>
      <c r="N680" s="205"/>
    </row>
    <row r="681" spans="1:14" ht="29">
      <c r="A681" s="19" t="s">
        <v>7753</v>
      </c>
      <c r="B681" s="205" t="s">
        <v>7895</v>
      </c>
      <c r="C681" s="38" t="s">
        <v>1105</v>
      </c>
      <c r="D681" s="38" t="s">
        <v>1242</v>
      </c>
      <c r="E681" s="168" t="s">
        <v>3209</v>
      </c>
      <c r="F681" s="4" t="s">
        <v>2276</v>
      </c>
      <c r="G681" s="205"/>
      <c r="H681" s="4" t="s">
        <v>2276</v>
      </c>
      <c r="I681" s="4" t="s">
        <v>2276</v>
      </c>
      <c r="J681" s="205">
        <v>2</v>
      </c>
      <c r="K681" s="19" t="s">
        <v>7922</v>
      </c>
      <c r="L681" s="205" t="s">
        <v>2276</v>
      </c>
      <c r="M681" s="205" t="s">
        <v>2276</v>
      </c>
      <c r="N681" s="205"/>
    </row>
    <row r="682" spans="1:14" ht="29">
      <c r="A682" s="19" t="s">
        <v>7754</v>
      </c>
      <c r="B682" s="205" t="s">
        <v>7896</v>
      </c>
      <c r="C682" s="38" t="s">
        <v>1105</v>
      </c>
      <c r="D682" s="38" t="s">
        <v>1242</v>
      </c>
      <c r="E682" s="168" t="s">
        <v>3209</v>
      </c>
      <c r="F682" s="4" t="s">
        <v>2276</v>
      </c>
      <c r="G682" s="205"/>
      <c r="H682" s="4" t="s">
        <v>2276</v>
      </c>
      <c r="I682" s="4" t="s">
        <v>2276</v>
      </c>
      <c r="J682" s="205">
        <v>1</v>
      </c>
      <c r="K682" s="19" t="s">
        <v>7922</v>
      </c>
      <c r="L682" s="205" t="s">
        <v>2276</v>
      </c>
      <c r="M682" s="205" t="s">
        <v>2276</v>
      </c>
      <c r="N682" s="205"/>
    </row>
    <row r="683" spans="1:14" ht="29">
      <c r="A683" s="19" t="s">
        <v>7755</v>
      </c>
      <c r="B683" s="205" t="s">
        <v>7897</v>
      </c>
      <c r="C683" s="38" t="s">
        <v>1105</v>
      </c>
      <c r="D683" s="38" t="s">
        <v>1242</v>
      </c>
      <c r="E683" s="168" t="s">
        <v>3209</v>
      </c>
      <c r="F683" s="4" t="s">
        <v>2276</v>
      </c>
      <c r="G683" s="205"/>
      <c r="H683" s="4" t="s">
        <v>2276</v>
      </c>
      <c r="I683" s="4" t="s">
        <v>2276</v>
      </c>
      <c r="J683" s="205">
        <v>1</v>
      </c>
      <c r="K683" s="19" t="s">
        <v>7922</v>
      </c>
      <c r="L683" s="205" t="s">
        <v>2276</v>
      </c>
      <c r="M683" s="205" t="s">
        <v>2276</v>
      </c>
      <c r="N683" s="205"/>
    </row>
    <row r="684" spans="1:14" ht="29">
      <c r="A684" s="19" t="s">
        <v>7756</v>
      </c>
      <c r="B684" s="205" t="s">
        <v>7898</v>
      </c>
      <c r="C684" s="38" t="s">
        <v>1105</v>
      </c>
      <c r="D684" s="38" t="s">
        <v>1242</v>
      </c>
      <c r="E684" s="168" t="s">
        <v>3209</v>
      </c>
      <c r="F684" s="4" t="s">
        <v>2276</v>
      </c>
      <c r="G684" s="205"/>
      <c r="H684" s="4" t="s">
        <v>2276</v>
      </c>
      <c r="I684" s="4" t="s">
        <v>2276</v>
      </c>
      <c r="J684" s="205">
        <v>2</v>
      </c>
      <c r="K684" s="19" t="s">
        <v>7922</v>
      </c>
      <c r="L684" s="205" t="s">
        <v>2276</v>
      </c>
      <c r="M684" s="205" t="s">
        <v>2276</v>
      </c>
      <c r="N684" s="205"/>
    </row>
    <row r="685" spans="1:14" ht="29">
      <c r="A685" s="19" t="s">
        <v>7757</v>
      </c>
      <c r="B685" s="205" t="s">
        <v>7899</v>
      </c>
      <c r="C685" s="38" t="s">
        <v>1105</v>
      </c>
      <c r="D685" s="38" t="s">
        <v>1242</v>
      </c>
      <c r="E685" s="168" t="s">
        <v>3209</v>
      </c>
      <c r="F685" s="4" t="s">
        <v>2276</v>
      </c>
      <c r="G685" s="205"/>
      <c r="H685" s="4" t="s">
        <v>2276</v>
      </c>
      <c r="I685" s="4" t="s">
        <v>2276</v>
      </c>
      <c r="J685" s="205">
        <v>1</v>
      </c>
      <c r="K685" s="19" t="s">
        <v>7922</v>
      </c>
      <c r="L685" s="205" t="s">
        <v>2276</v>
      </c>
      <c r="M685" s="205" t="s">
        <v>2276</v>
      </c>
      <c r="N685" s="205"/>
    </row>
    <row r="686" spans="1:14" ht="29">
      <c r="A686" s="19" t="s">
        <v>7758</v>
      </c>
      <c r="B686" s="205" t="s">
        <v>7900</v>
      </c>
      <c r="C686" s="38" t="s">
        <v>1105</v>
      </c>
      <c r="D686" s="38" t="s">
        <v>1242</v>
      </c>
      <c r="E686" s="168" t="s">
        <v>3209</v>
      </c>
      <c r="F686" s="4" t="s">
        <v>2276</v>
      </c>
      <c r="G686" s="205"/>
      <c r="H686" s="4" t="s">
        <v>2276</v>
      </c>
      <c r="I686" s="4" t="s">
        <v>2276</v>
      </c>
      <c r="J686" s="205">
        <v>1</v>
      </c>
      <c r="K686" s="19" t="s">
        <v>7922</v>
      </c>
      <c r="L686" s="205" t="s">
        <v>2276</v>
      </c>
      <c r="M686" s="205" t="s">
        <v>2276</v>
      </c>
      <c r="N686" s="205"/>
    </row>
    <row r="687" spans="1:14" ht="29">
      <c r="A687" s="19" t="s">
        <v>7759</v>
      </c>
      <c r="B687" s="205" t="s">
        <v>7901</v>
      </c>
      <c r="C687" s="38" t="s">
        <v>1105</v>
      </c>
      <c r="D687" s="38" t="s">
        <v>1242</v>
      </c>
      <c r="E687" s="168" t="s">
        <v>3209</v>
      </c>
      <c r="F687" s="4" t="s">
        <v>2276</v>
      </c>
      <c r="G687" s="205"/>
      <c r="H687" s="4" t="s">
        <v>2276</v>
      </c>
      <c r="I687" s="4" t="s">
        <v>2276</v>
      </c>
      <c r="J687" s="205">
        <v>1</v>
      </c>
      <c r="K687" s="19" t="s">
        <v>7922</v>
      </c>
      <c r="L687" s="205" t="s">
        <v>2276</v>
      </c>
      <c r="M687" s="205" t="s">
        <v>2276</v>
      </c>
      <c r="N687" s="205"/>
    </row>
    <row r="688" spans="1:14" ht="29">
      <c r="A688" s="19" t="s">
        <v>7760</v>
      </c>
      <c r="B688" s="205" t="s">
        <v>7902</v>
      </c>
      <c r="C688" s="38" t="s">
        <v>1105</v>
      </c>
      <c r="D688" s="38" t="s">
        <v>1242</v>
      </c>
      <c r="E688" s="168" t="s">
        <v>3209</v>
      </c>
      <c r="F688" s="4" t="s">
        <v>2276</v>
      </c>
      <c r="G688" s="205"/>
      <c r="H688" s="4" t="s">
        <v>2276</v>
      </c>
      <c r="I688" s="4" t="s">
        <v>2276</v>
      </c>
      <c r="J688" s="205">
        <v>1</v>
      </c>
      <c r="K688" s="19" t="s">
        <v>7922</v>
      </c>
      <c r="L688" s="205" t="s">
        <v>2276</v>
      </c>
      <c r="M688" s="205" t="s">
        <v>2276</v>
      </c>
      <c r="N688" s="205"/>
    </row>
    <row r="689" spans="1:14" ht="29">
      <c r="A689" s="19" t="s">
        <v>7761</v>
      </c>
      <c r="B689" s="205" t="s">
        <v>7903</v>
      </c>
      <c r="C689" s="38" t="s">
        <v>1105</v>
      </c>
      <c r="D689" s="38" t="s">
        <v>1242</v>
      </c>
      <c r="E689" s="168" t="s">
        <v>3209</v>
      </c>
      <c r="F689" s="4" t="s">
        <v>2276</v>
      </c>
      <c r="G689" s="205"/>
      <c r="H689" s="4" t="s">
        <v>2276</v>
      </c>
      <c r="I689" s="4" t="s">
        <v>2276</v>
      </c>
      <c r="J689" s="205">
        <v>1</v>
      </c>
      <c r="K689" s="19" t="s">
        <v>7922</v>
      </c>
      <c r="L689" s="205" t="s">
        <v>2276</v>
      </c>
      <c r="M689" s="205" t="s">
        <v>2276</v>
      </c>
      <c r="N689" s="205"/>
    </row>
    <row r="690" spans="1:14" ht="29">
      <c r="A690" s="19" t="s">
        <v>7762</v>
      </c>
      <c r="B690" s="205" t="s">
        <v>7904</v>
      </c>
      <c r="C690" s="38" t="s">
        <v>1105</v>
      </c>
      <c r="D690" s="38" t="s">
        <v>1242</v>
      </c>
      <c r="E690" s="168" t="s">
        <v>3209</v>
      </c>
      <c r="F690" s="4" t="s">
        <v>2276</v>
      </c>
      <c r="G690" s="205"/>
      <c r="H690" s="4" t="s">
        <v>2276</v>
      </c>
      <c r="I690" s="4" t="s">
        <v>2276</v>
      </c>
      <c r="J690" s="205">
        <v>1</v>
      </c>
      <c r="K690" s="19" t="s">
        <v>7922</v>
      </c>
      <c r="L690" s="205" t="s">
        <v>2276</v>
      </c>
      <c r="M690" s="205" t="s">
        <v>2276</v>
      </c>
      <c r="N690" s="205"/>
    </row>
    <row r="691" spans="1:14" ht="29">
      <c r="A691" s="19" t="s">
        <v>7763</v>
      </c>
      <c r="B691" s="205" t="s">
        <v>7905</v>
      </c>
      <c r="C691" s="38" t="s">
        <v>1105</v>
      </c>
      <c r="D691" s="38" t="s">
        <v>1242</v>
      </c>
      <c r="E691" s="168" t="s">
        <v>3209</v>
      </c>
      <c r="F691" s="4" t="s">
        <v>2276</v>
      </c>
      <c r="G691" s="205"/>
      <c r="H691" s="4" t="s">
        <v>2276</v>
      </c>
      <c r="I691" s="4" t="s">
        <v>2276</v>
      </c>
      <c r="J691" s="205">
        <v>2</v>
      </c>
      <c r="K691" s="19" t="s">
        <v>7922</v>
      </c>
      <c r="L691" s="205" t="s">
        <v>2276</v>
      </c>
      <c r="M691" s="205" t="s">
        <v>2276</v>
      </c>
      <c r="N691" s="205"/>
    </row>
    <row r="692" spans="1:14" ht="29">
      <c r="A692" s="19" t="s">
        <v>7764</v>
      </c>
      <c r="B692" s="205" t="s">
        <v>7906</v>
      </c>
      <c r="C692" s="38" t="s">
        <v>1105</v>
      </c>
      <c r="D692" s="38" t="s">
        <v>1242</v>
      </c>
      <c r="E692" s="168" t="s">
        <v>3209</v>
      </c>
      <c r="F692" s="4" t="s">
        <v>2276</v>
      </c>
      <c r="G692" s="205"/>
      <c r="H692" s="4" t="s">
        <v>2276</v>
      </c>
      <c r="I692" s="4" t="s">
        <v>2276</v>
      </c>
      <c r="J692" s="205">
        <v>0</v>
      </c>
      <c r="K692" s="19" t="s">
        <v>7922</v>
      </c>
      <c r="L692" s="205" t="s">
        <v>2276</v>
      </c>
      <c r="M692" s="205" t="s">
        <v>2276</v>
      </c>
      <c r="N692" s="205"/>
    </row>
    <row r="693" spans="1:14" ht="29">
      <c r="A693" s="19" t="s">
        <v>7832</v>
      </c>
      <c r="B693" s="205" t="s">
        <v>7907</v>
      </c>
      <c r="C693" s="38" t="s">
        <v>1105</v>
      </c>
      <c r="D693" s="38" t="s">
        <v>1242</v>
      </c>
      <c r="E693" s="168" t="s">
        <v>3209</v>
      </c>
      <c r="F693" s="4" t="s">
        <v>2276</v>
      </c>
      <c r="G693" s="205"/>
      <c r="H693" s="4" t="s">
        <v>2276</v>
      </c>
      <c r="I693" s="4" t="s">
        <v>2276</v>
      </c>
      <c r="J693" s="205">
        <v>1</v>
      </c>
      <c r="K693" s="19" t="s">
        <v>7922</v>
      </c>
      <c r="L693" s="205" t="s">
        <v>2276</v>
      </c>
      <c r="M693" s="205" t="s">
        <v>2276</v>
      </c>
      <c r="N693" s="205"/>
    </row>
    <row r="694" spans="1:14" ht="29">
      <c r="A694" s="19" t="s">
        <v>7833</v>
      </c>
      <c r="B694" s="205" t="s">
        <v>7908</v>
      </c>
      <c r="C694" s="38" t="s">
        <v>1105</v>
      </c>
      <c r="D694" s="38" t="s">
        <v>1242</v>
      </c>
      <c r="E694" s="168" t="s">
        <v>3209</v>
      </c>
      <c r="F694" s="4" t="s">
        <v>2276</v>
      </c>
      <c r="G694" s="205"/>
      <c r="H694" s="4" t="s">
        <v>2276</v>
      </c>
      <c r="I694" s="4" t="s">
        <v>2276</v>
      </c>
      <c r="J694" s="205">
        <v>2</v>
      </c>
      <c r="K694" s="19" t="s">
        <v>7922</v>
      </c>
      <c r="L694" s="205" t="s">
        <v>2276</v>
      </c>
      <c r="M694" s="205" t="s">
        <v>2276</v>
      </c>
      <c r="N694" s="205"/>
    </row>
    <row r="695" spans="1:14" ht="29">
      <c r="A695" s="19" t="s">
        <v>7834</v>
      </c>
      <c r="B695" s="205" t="s">
        <v>7909</v>
      </c>
      <c r="C695" s="38" t="s">
        <v>1105</v>
      </c>
      <c r="D695" s="38" t="s">
        <v>1242</v>
      </c>
      <c r="E695" s="168" t="s">
        <v>3209</v>
      </c>
      <c r="F695" s="4" t="s">
        <v>2276</v>
      </c>
      <c r="G695" s="205"/>
      <c r="H695" s="4" t="s">
        <v>2276</v>
      </c>
      <c r="I695" s="4" t="s">
        <v>2276</v>
      </c>
      <c r="J695" s="205">
        <v>3</v>
      </c>
      <c r="K695" s="19" t="s">
        <v>7922</v>
      </c>
      <c r="L695" s="205" t="s">
        <v>2276</v>
      </c>
      <c r="M695" s="205" t="s">
        <v>2276</v>
      </c>
      <c r="N695" s="205"/>
    </row>
    <row r="696" spans="1:14" ht="29">
      <c r="A696" s="19" t="s">
        <v>7835</v>
      </c>
      <c r="B696" s="205" t="s">
        <v>7910</v>
      </c>
      <c r="C696" s="38" t="s">
        <v>1105</v>
      </c>
      <c r="D696" s="38" t="s">
        <v>1242</v>
      </c>
      <c r="E696" s="168" t="s">
        <v>3209</v>
      </c>
      <c r="F696" s="4" t="s">
        <v>2276</v>
      </c>
      <c r="G696" s="205"/>
      <c r="H696" s="4" t="s">
        <v>2276</v>
      </c>
      <c r="I696" s="4" t="s">
        <v>2276</v>
      </c>
      <c r="J696" s="205">
        <v>3</v>
      </c>
      <c r="K696" s="19" t="s">
        <v>7922</v>
      </c>
      <c r="L696" s="205" t="s">
        <v>2276</v>
      </c>
      <c r="M696" s="205" t="s">
        <v>2276</v>
      </c>
      <c r="N696" s="205"/>
    </row>
    <row r="697" spans="1:14" ht="29">
      <c r="A697" s="19" t="s">
        <v>7836</v>
      </c>
      <c r="B697" s="205" t="s">
        <v>7911</v>
      </c>
      <c r="C697" s="38" t="s">
        <v>1105</v>
      </c>
      <c r="D697" s="38" t="s">
        <v>1242</v>
      </c>
      <c r="E697" s="168" t="s">
        <v>3209</v>
      </c>
      <c r="F697" s="4" t="s">
        <v>2276</v>
      </c>
      <c r="G697" s="205"/>
      <c r="H697" s="4" t="s">
        <v>2276</v>
      </c>
      <c r="I697" s="4" t="s">
        <v>2276</v>
      </c>
      <c r="J697" s="205">
        <v>1</v>
      </c>
      <c r="K697" s="19" t="s">
        <v>7922</v>
      </c>
      <c r="L697" s="205" t="s">
        <v>2276</v>
      </c>
      <c r="M697" s="205" t="s">
        <v>2276</v>
      </c>
      <c r="N697" s="205"/>
    </row>
    <row r="698" spans="1:14" ht="29">
      <c r="A698" s="19" t="s">
        <v>7837</v>
      </c>
      <c r="B698" s="205" t="s">
        <v>7912</v>
      </c>
      <c r="C698" s="38" t="s">
        <v>1105</v>
      </c>
      <c r="D698" s="38" t="s">
        <v>1242</v>
      </c>
      <c r="E698" s="168" t="s">
        <v>3209</v>
      </c>
      <c r="F698" s="4" t="s">
        <v>2276</v>
      </c>
      <c r="G698" s="205"/>
      <c r="H698" s="4" t="s">
        <v>2276</v>
      </c>
      <c r="I698" s="4" t="s">
        <v>2276</v>
      </c>
      <c r="J698" s="205">
        <v>2</v>
      </c>
      <c r="K698" s="19" t="s">
        <v>7922</v>
      </c>
      <c r="L698" s="205" t="s">
        <v>2276</v>
      </c>
      <c r="M698" s="205" t="s">
        <v>2276</v>
      </c>
      <c r="N698" s="205"/>
    </row>
    <row r="699" spans="1:14" ht="29">
      <c r="A699" s="19" t="s">
        <v>7838</v>
      </c>
      <c r="B699" s="205" t="s">
        <v>7913</v>
      </c>
      <c r="C699" s="38" t="s">
        <v>1105</v>
      </c>
      <c r="D699" s="38" t="s">
        <v>1242</v>
      </c>
      <c r="E699" s="168" t="s">
        <v>3209</v>
      </c>
      <c r="F699" s="4" t="s">
        <v>2276</v>
      </c>
      <c r="G699" s="205"/>
      <c r="H699" s="4" t="s">
        <v>2276</v>
      </c>
      <c r="I699" s="4" t="s">
        <v>2276</v>
      </c>
      <c r="J699" s="205">
        <v>1</v>
      </c>
      <c r="K699" s="19" t="s">
        <v>7922</v>
      </c>
      <c r="L699" s="205" t="s">
        <v>2276</v>
      </c>
      <c r="M699" s="205" t="s">
        <v>2276</v>
      </c>
      <c r="N699" s="205"/>
    </row>
    <row r="700" spans="1:14" ht="29">
      <c r="A700" s="19" t="s">
        <v>7742</v>
      </c>
      <c r="B700" s="205" t="s">
        <v>7883</v>
      </c>
      <c r="C700" s="38" t="s">
        <v>1105</v>
      </c>
      <c r="D700" s="38" t="s">
        <v>1242</v>
      </c>
      <c r="E700" s="168" t="s">
        <v>3209</v>
      </c>
      <c r="F700" s="4" t="s">
        <v>2276</v>
      </c>
      <c r="G700" s="205"/>
      <c r="H700" s="4" t="s">
        <v>2276</v>
      </c>
      <c r="I700" s="4" t="s">
        <v>2276</v>
      </c>
      <c r="J700" s="205">
        <v>1</v>
      </c>
      <c r="K700" s="19" t="s">
        <v>7922</v>
      </c>
      <c r="L700" s="205" t="s">
        <v>2276</v>
      </c>
      <c r="M700" s="205" t="s">
        <v>2276</v>
      </c>
      <c r="N700" s="205"/>
    </row>
    <row r="701" spans="1:14" ht="29">
      <c r="A701" s="19" t="s">
        <v>7839</v>
      </c>
      <c r="B701" s="205" t="s">
        <v>7914</v>
      </c>
      <c r="C701" s="38" t="s">
        <v>1105</v>
      </c>
      <c r="D701" s="38" t="s">
        <v>1242</v>
      </c>
      <c r="E701" s="168" t="s">
        <v>3209</v>
      </c>
      <c r="F701" s="4" t="s">
        <v>2276</v>
      </c>
      <c r="G701" s="205"/>
      <c r="H701" s="4" t="s">
        <v>2276</v>
      </c>
      <c r="I701" s="4" t="s">
        <v>2276</v>
      </c>
      <c r="J701" s="205">
        <v>1</v>
      </c>
      <c r="K701" s="19" t="s">
        <v>7922</v>
      </c>
      <c r="L701" s="205" t="s">
        <v>2276</v>
      </c>
      <c r="M701" s="205" t="s">
        <v>2276</v>
      </c>
      <c r="N701" s="205"/>
    </row>
    <row r="702" spans="1:14" ht="29">
      <c r="A702" s="19" t="s">
        <v>7840</v>
      </c>
      <c r="B702" s="205" t="s">
        <v>7915</v>
      </c>
      <c r="C702" s="38" t="s">
        <v>1105</v>
      </c>
      <c r="D702" s="38" t="s">
        <v>1242</v>
      </c>
      <c r="E702" s="168" t="s">
        <v>3209</v>
      </c>
      <c r="F702" s="4" t="s">
        <v>2276</v>
      </c>
      <c r="G702" s="205"/>
      <c r="H702" s="4" t="s">
        <v>2276</v>
      </c>
      <c r="I702" s="4" t="s">
        <v>2276</v>
      </c>
      <c r="J702" s="205">
        <v>0</v>
      </c>
      <c r="K702" s="19" t="s">
        <v>7922</v>
      </c>
      <c r="L702" s="205" t="s">
        <v>2276</v>
      </c>
      <c r="M702" s="205" t="s">
        <v>2276</v>
      </c>
      <c r="N702" s="205"/>
    </row>
    <row r="703" spans="1:14" ht="29">
      <c r="A703" s="19" t="s">
        <v>7841</v>
      </c>
      <c r="B703" s="205" t="s">
        <v>7916</v>
      </c>
      <c r="C703" s="38" t="s">
        <v>1105</v>
      </c>
      <c r="D703" s="38" t="s">
        <v>1242</v>
      </c>
      <c r="E703" s="168" t="s">
        <v>3209</v>
      </c>
      <c r="F703" s="4" t="s">
        <v>2276</v>
      </c>
      <c r="G703" s="205"/>
      <c r="H703" s="4" t="s">
        <v>2276</v>
      </c>
      <c r="I703" s="4" t="s">
        <v>2276</v>
      </c>
      <c r="J703" s="205">
        <v>1</v>
      </c>
      <c r="K703" s="19" t="s">
        <v>7922</v>
      </c>
      <c r="L703" s="205" t="s">
        <v>2276</v>
      </c>
      <c r="M703" s="205" t="s">
        <v>2276</v>
      </c>
      <c r="N703" s="205"/>
    </row>
    <row r="704" spans="1:14" ht="29">
      <c r="A704" s="19" t="s">
        <v>7842</v>
      </c>
      <c r="B704" s="205" t="s">
        <v>7917</v>
      </c>
      <c r="C704" s="38" t="s">
        <v>1105</v>
      </c>
      <c r="D704" s="38" t="s">
        <v>1242</v>
      </c>
      <c r="E704" s="168" t="s">
        <v>3209</v>
      </c>
      <c r="F704" s="4" t="s">
        <v>2276</v>
      </c>
      <c r="G704" s="205"/>
      <c r="H704" s="4" t="s">
        <v>2276</v>
      </c>
      <c r="I704" s="4" t="s">
        <v>2276</v>
      </c>
      <c r="J704" s="205">
        <v>1</v>
      </c>
      <c r="K704" s="19" t="s">
        <v>7922</v>
      </c>
      <c r="L704" s="205" t="s">
        <v>2276</v>
      </c>
      <c r="M704" s="205" t="s">
        <v>2276</v>
      </c>
      <c r="N704" s="205"/>
    </row>
    <row r="705" spans="1:14" ht="29">
      <c r="A705" s="19" t="s">
        <v>7843</v>
      </c>
      <c r="B705" s="205" t="s">
        <v>7918</v>
      </c>
      <c r="C705" s="38" t="s">
        <v>1105</v>
      </c>
      <c r="D705" s="38" t="s">
        <v>1242</v>
      </c>
      <c r="E705" s="168" t="s">
        <v>3209</v>
      </c>
      <c r="F705" s="4" t="s">
        <v>2276</v>
      </c>
      <c r="G705" s="205"/>
      <c r="H705" s="4" t="s">
        <v>2276</v>
      </c>
      <c r="I705" s="4" t="s">
        <v>2276</v>
      </c>
      <c r="J705" s="205">
        <v>1</v>
      </c>
      <c r="K705" s="19" t="s">
        <v>7922</v>
      </c>
      <c r="L705" s="205" t="s">
        <v>2276</v>
      </c>
      <c r="M705" s="205" t="s">
        <v>2276</v>
      </c>
      <c r="N705" s="205"/>
    </row>
    <row r="706" spans="1:14" ht="29">
      <c r="A706" s="19" t="s">
        <v>7844</v>
      </c>
      <c r="B706" s="205" t="s">
        <v>7919</v>
      </c>
      <c r="C706" s="205" t="s">
        <v>1105</v>
      </c>
      <c r="D706" s="205" t="s">
        <v>1242</v>
      </c>
      <c r="E706" s="4" t="s">
        <v>3209</v>
      </c>
      <c r="F706" s="4" t="s">
        <v>2276</v>
      </c>
      <c r="G706" s="205"/>
      <c r="H706" s="4" t="s">
        <v>2276</v>
      </c>
      <c r="I706" s="4" t="s">
        <v>2276</v>
      </c>
      <c r="J706" s="205">
        <v>1</v>
      </c>
      <c r="K706" s="19" t="s">
        <v>7922</v>
      </c>
      <c r="L706" s="205" t="s">
        <v>2276</v>
      </c>
      <c r="M706" s="205" t="s">
        <v>2276</v>
      </c>
      <c r="N706" s="205"/>
    </row>
    <row r="707" spans="1:14" ht="29">
      <c r="A707" s="19" t="s">
        <v>7845</v>
      </c>
      <c r="B707" s="205" t="s">
        <v>7920</v>
      </c>
      <c r="C707" s="205" t="s">
        <v>1105</v>
      </c>
      <c r="D707" s="205" t="s">
        <v>1242</v>
      </c>
      <c r="E707" s="4" t="s">
        <v>3209</v>
      </c>
      <c r="F707" s="4" t="s">
        <v>2276</v>
      </c>
      <c r="G707" s="205"/>
      <c r="H707" s="4" t="s">
        <v>2276</v>
      </c>
      <c r="I707" s="4" t="s">
        <v>2276</v>
      </c>
      <c r="J707" s="205">
        <v>0</v>
      </c>
      <c r="K707" s="19" t="s">
        <v>7922</v>
      </c>
      <c r="L707" s="205" t="s">
        <v>2276</v>
      </c>
      <c r="M707" s="205" t="s">
        <v>2276</v>
      </c>
      <c r="N707" s="205"/>
    </row>
    <row r="708" spans="1:14" ht="29">
      <c r="A708" s="19" t="s">
        <v>7846</v>
      </c>
      <c r="B708" s="205" t="s">
        <v>7921</v>
      </c>
      <c r="C708" s="205" t="s">
        <v>1105</v>
      </c>
      <c r="D708" s="205" t="s">
        <v>1242</v>
      </c>
      <c r="E708" s="4" t="s">
        <v>3209</v>
      </c>
      <c r="F708" s="4" t="s">
        <v>2276</v>
      </c>
      <c r="G708" s="205"/>
      <c r="H708" s="4" t="s">
        <v>2276</v>
      </c>
      <c r="I708" s="4" t="s">
        <v>2276</v>
      </c>
      <c r="J708" s="205">
        <v>2</v>
      </c>
      <c r="K708" s="19" t="s">
        <v>7922</v>
      </c>
      <c r="L708" s="205" t="s">
        <v>2276</v>
      </c>
      <c r="M708" s="205" t="s">
        <v>2276</v>
      </c>
      <c r="N708" s="205"/>
    </row>
  </sheetData>
  <autoFilter ref="A1:A708" xr:uid="{D51B2D5E-D687-4BEF-AD8D-C0C0A4AF7AEF}"/>
  <phoneticPr fontId="6" type="noConversion"/>
  <dataValidations xWindow="1212" yWindow="874" count="9">
    <dataValidation allowBlank="1" showInputMessage="1" showErrorMessage="1" prompt="The same as Case study ID in Record Info" sqref="B57:B62 A1:A202 B227:B228 A225:A231 B238:B239 B251:B255 B268:B279 A234:A286 A302:A304 F307:G308 G309:G311 B307:C308 B315:B322 A307:A322 B333:B334 B337:B348 B355:B357 A516:A519 A417:A465 A501:A505 B373:B376 B383:B384 A331:A399 G586 A709:A1048576 A547:A591"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501:B505 B405:B465 B369:B372 B709:B1048576 B516:B588" xr:uid="{6A6EF5BA-79F7-4B26-8190-9E5956E67713}"/>
    <dataValidation type="whole" allowBlank="1" showInputMessage="1" showErrorMessage="1" prompt="Blank if refers to all study years" sqref="G55:G88 G106:G246 G1:G43 G251:G304 G312:G505 G587:G1048576 G510:G585"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642:B708 B589:B591 B506:B515"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A497:A500 B592:B641 A520:A546 B498:B500 A466:B496 A592:A708 A506:A512"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6:G507 G509" xr:uid="{2CCE6A99-02B7-46C3-9C1F-DBE23BEB1FEE}">
      <formula1>1900</formula1>
      <formula2>2020</formula2>
    </dataValidation>
    <dataValidation allowBlank="1" showInputMessage="1" showErrorMessage="1" prompt="The same as Case study ID in Record Info_x000a_" sqref="A513:A515 A400 A403"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212" yWindow="874" count="17">
        <x14:dataValidation type="list" allowBlank="1" showInputMessage="1" showErrorMessage="1" xr:uid="{B63E25C7-F911-439D-9F0A-9A77154F1872}">
          <x14:formula1>
            <xm:f>'IGNORE Lookups'!$E$3:$E$9</xm:f>
          </x14:formula1>
          <xm:sqref>C1:C64 C78:C90 C109:C111 C187:C246 C331:C332 C268:C301 C256:C265 C115:C182 D351 C417:C500 C337:C376 F390:F391 F393 F395 F397 C389:D404 C410:D412 F413:F414 D465:D496 D559 D556:D557 C556:C564 C566:D568 C570:D570 C572:D572 C574:D574 C576:D576 C578:D581 C583:D584 C592:C1048576 C508:D508</xm:sqref>
        </x14:dataValidation>
        <x14:dataValidation type="list" allowBlank="1" showInputMessage="1" showErrorMessage="1" xr:uid="{AAF9C4C1-09FE-4569-A9E5-AD024FF08D29}">
          <x14:formula1>
            <xm:f>'IGNORE Lookups'!$G$3:$G$10</xm:f>
          </x14:formula1>
          <xm:sqref>F1:F53 F56:F301 F305:F306 F309:F312 F323:F324 F415:F500 H559:I559 F392 F396 F394 F398:F404 F408 F410:F412 F389 F331:F376 D560:D561 F556:F1048576 H642:I708 G508</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K367:K372 J490:J496 M373:M376 H141:H376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H500 H463:H464 L322:L376 I372:I376 J1:J376 L556:L558 H556:H558 M561:M708 K560:M560 K561 I563 I565:I586 K587:K591 J556:J1048576 L561:L1048576 H560:H641 H709:H1048576 J508 J526</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 C586:C591</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D497:D500 D352:D376 D379:D380 D417:D464 D558 D562:D565 C565 C569:D569 C571:D571 C573:D573 C575:D575 C577:D577 C582:D582 C585:D585 D586:D1048576 D549:D552 D509:D512 D527 D531</xm:sqref>
        </x14:dataValidation>
        <x14:dataValidation type="list" allowBlank="1" showInputMessage="1" showErrorMessage="1" xr:uid="{9FD56368-611F-424A-BF9F-CC9F55131B81}">
          <x14:formula1>
            <xm:f>'IGNORE Lookups'!$C$23:$C$45</xm:f>
          </x14:formula1>
          <xm:sqref>E415:E500 E1:E376 E378 E380 E382 E384 E386 E410:E412 E388:E408 E556:E1048576 E508</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E513:F513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J499:J500 I499 K500:M500 C413:D416 J464:M464 J497 E490:E496 H465:H499 I465:I497 J465:J489 L465:M497 E506:E507 L506:M508 M509:M510 F509:F510 F514:F515 H506:I515 H520 H524 H522 H526:H528 H530:H532 H534 H536 H538:H539 H541 H543 H545:H546 H548:H553 H555 J551:J552 J546:J547 J539:J544 J531:J537 J527:J529 J520:J525 J509:J515 L513:L515 L521 L523 L525:L526 L529:L530 L533 L535 L537:L538 L542 L540 L544:L545 L547:L548 L554:L555</xm:sqref>
        </x14:dataValidation>
        <x14:dataValidation type="list" allowBlank="1" showInputMessage="1" showErrorMessage="1" xr:uid="{87ABBDB9-CB9A-40AF-A7D4-67CF0E6AAD9F}">
          <x14:formula1>
            <xm:f>'[Adam''s fire data.xlsx]IGNORE Lookups'!#REF!</xm:f>
          </x14:formula1>
          <xm:sqref>J501:J505 H501:H505 L501:L505 C501:F505</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E514:E555 C511 C520:C548 E509:E512 C553:D555 L559 C509 D532:D548 J516:J519 F516:F555 H554 C506:C507 D521:D526 D528:D530 J530 F511:F512 H516:H519 H523 H521 H525 H529 H533 H535 H537 H540 H542 H544 H547 J553:J555 J548:J550 J545 J538 L511:L512 L516:L520 L522 L524 L527:L528 L531:L532 L534 L536 L541 L539 L543 L546 L549:L553</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C550 C552</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C510 C512</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D506:D507</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L509:L510 F506:F508 J506:J507 K509</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C513:C519 D513:D520</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E514:E515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793"/>
  <sheetViews>
    <sheetView zoomScale="55" zoomScaleNormal="55" workbookViewId="0">
      <pane ySplit="1" topLeftCell="A740" activePane="bottomLeft" state="frozen"/>
      <selection pane="bottomLeft" activeCell="A723" sqref="A723:XFD761"/>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3"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2"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4"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3"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3"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3"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3"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3"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3"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5060</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5084</v>
      </c>
    </row>
    <row r="233" spans="1:23" ht="66" customHeight="1">
      <c r="A233" s="11" t="s">
        <v>5059</v>
      </c>
      <c r="B233" s="11" t="s">
        <v>5068</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5085</v>
      </c>
    </row>
    <row r="234" spans="1:23" ht="66" customHeight="1">
      <c r="A234" s="11" t="s">
        <v>933</v>
      </c>
      <c r="B234" s="11" t="s">
        <v>5061</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5086</v>
      </c>
    </row>
    <row r="235" spans="1:23" ht="66" customHeight="1">
      <c r="A235" s="11" t="s">
        <v>5059</v>
      </c>
      <c r="B235" s="11" t="s">
        <v>5070</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5086</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3"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3"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3"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3"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3"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3"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3"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3"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3"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3"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3"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3"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3"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3"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3"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3"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49"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29">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29">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29">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29">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6089</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6090</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6091</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6092</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6"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6"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6"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5109</v>
      </c>
      <c r="B531" s="19" t="s">
        <v>5111</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5115</v>
      </c>
    </row>
    <row r="532" spans="1:23" ht="43.5" customHeight="1">
      <c r="A532" s="11" t="s">
        <v>5123</v>
      </c>
      <c r="B532" s="3" t="s">
        <v>5140</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5124</v>
      </c>
      <c r="B533" s="3" t="s">
        <v>5141</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5125</v>
      </c>
      <c r="B534" s="3" t="s">
        <v>5142</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5126</v>
      </c>
      <c r="B535" s="3" t="s">
        <v>5143</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5127</v>
      </c>
      <c r="B536" s="3" t="s">
        <v>5144</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5128</v>
      </c>
      <c r="B537" s="3" t="s">
        <v>5145</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5164</v>
      </c>
    </row>
    <row r="538" spans="1:23" ht="43.5" customHeight="1">
      <c r="A538" s="11" t="s">
        <v>5129</v>
      </c>
      <c r="B538" s="3" t="s">
        <v>5146</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5164</v>
      </c>
    </row>
    <row r="539" spans="1:23" ht="43.5" customHeight="1">
      <c r="A539" s="11" t="s">
        <v>5130</v>
      </c>
      <c r="B539" s="3" t="s">
        <v>5147</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5164</v>
      </c>
    </row>
    <row r="540" spans="1:23" ht="43.5" customHeight="1">
      <c r="A540" s="11" t="s">
        <v>5131</v>
      </c>
      <c r="B540" s="3" t="s">
        <v>5148</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5164</v>
      </c>
    </row>
    <row r="541" spans="1:23" ht="43.5" customHeight="1">
      <c r="A541" s="11" t="s">
        <v>5132</v>
      </c>
      <c r="B541" s="3" t="s">
        <v>5149</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5164</v>
      </c>
    </row>
    <row r="542" spans="1:23" ht="42.5" customHeight="1">
      <c r="A542" s="3" t="s">
        <v>5190</v>
      </c>
      <c r="B542" s="11" t="s">
        <v>5193</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5206</v>
      </c>
    </row>
    <row r="543" spans="1:23" ht="43.5">
      <c r="A543" s="3" t="s">
        <v>5190</v>
      </c>
      <c r="B543" s="11" t="s">
        <v>5194</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5206</v>
      </c>
    </row>
    <row r="544" spans="1:23" ht="43.5">
      <c r="A544" s="3" t="s">
        <v>5190</v>
      </c>
      <c r="B544" s="11" t="s">
        <v>5195</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5206</v>
      </c>
    </row>
    <row r="545" spans="1:23" ht="62" customHeight="1">
      <c r="A545" s="4" t="s">
        <v>5209</v>
      </c>
      <c r="B545" s="19" t="s">
        <v>5216</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5221</v>
      </c>
    </row>
    <row r="546" spans="1:23" ht="67.5" customHeight="1">
      <c r="A546" s="4" t="s">
        <v>5209</v>
      </c>
      <c r="B546" s="19" t="s">
        <v>5217</v>
      </c>
      <c r="C546" s="4" t="s">
        <v>24</v>
      </c>
      <c r="D546" s="4" t="s">
        <v>137</v>
      </c>
      <c r="E546" s="4" t="s">
        <v>406</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5221</v>
      </c>
    </row>
    <row r="547" spans="1:23" ht="61" customHeight="1">
      <c r="A547" s="3" t="s">
        <v>5223</v>
      </c>
      <c r="B547" s="11" t="s">
        <v>5227</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5232</v>
      </c>
    </row>
    <row r="548" spans="1:23" ht="41.5" customHeight="1">
      <c r="A548" s="3" t="s">
        <v>5337</v>
      </c>
      <c r="B548" s="11" t="s">
        <v>5346</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5338</v>
      </c>
      <c r="B549" s="11" t="s">
        <v>5349</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5358</v>
      </c>
    </row>
    <row r="550" spans="1:23" ht="67" customHeight="1">
      <c r="A550" s="3" t="s">
        <v>5338</v>
      </c>
      <c r="B550" s="11" t="s">
        <v>5350</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5358</v>
      </c>
    </row>
    <row r="551" spans="1:23" ht="67" customHeight="1">
      <c r="A551" s="3" t="s">
        <v>5338</v>
      </c>
      <c r="B551" s="11" t="s">
        <v>5351</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5360</v>
      </c>
    </row>
    <row r="552" spans="1:23" ht="67" customHeight="1">
      <c r="A552" s="3" t="s">
        <v>5338</v>
      </c>
      <c r="B552" s="11" t="s">
        <v>5359</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5360</v>
      </c>
    </row>
    <row r="553" spans="1:23" ht="67" customHeight="1">
      <c r="A553" s="3" t="s">
        <v>5339</v>
      </c>
      <c r="B553" s="11" t="s">
        <v>5353</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5340</v>
      </c>
      <c r="B554" s="11" t="s">
        <v>5356</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5358</v>
      </c>
    </row>
    <row r="555" spans="1:23" ht="67" customHeight="1">
      <c r="A555" s="3" t="s">
        <v>5340</v>
      </c>
      <c r="B555" s="11" t="s">
        <v>5357</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5358</v>
      </c>
    </row>
    <row r="556" spans="1:23" ht="79" customHeight="1">
      <c r="A556" s="152" t="s">
        <v>5370</v>
      </c>
      <c r="B556" s="152" t="s">
        <v>5374</v>
      </c>
      <c r="C556" s="152"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5381</v>
      </c>
    </row>
    <row r="557" spans="1:23" ht="54.5" customHeight="1">
      <c r="A557" s="11" t="s">
        <v>5385</v>
      </c>
      <c r="B557" s="11" t="s">
        <v>5388</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5400</v>
      </c>
    </row>
    <row r="558" spans="1:23" ht="47" customHeight="1">
      <c r="A558" s="35" t="s">
        <v>5385</v>
      </c>
      <c r="B558" s="35" t="s">
        <v>5389</v>
      </c>
      <c r="C558" s="38" t="s">
        <v>24</v>
      </c>
      <c r="D558" s="38" t="s">
        <v>1242</v>
      </c>
      <c r="E558" s="38" t="s">
        <v>116</v>
      </c>
      <c r="F558" s="168" t="s">
        <v>2662</v>
      </c>
      <c r="G558" s="38"/>
      <c r="H558" s="168"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5401</v>
      </c>
    </row>
    <row r="559" spans="1:23" ht="80" customHeight="1">
      <c r="A559" s="11" t="s">
        <v>5421</v>
      </c>
      <c r="B559" s="11" t="s">
        <v>5423</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5426</v>
      </c>
    </row>
    <row r="560" spans="1:23" ht="80" customHeight="1">
      <c r="A560" s="11" t="s">
        <v>5421</v>
      </c>
      <c r="B560" s="11" t="s">
        <v>5424</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5426</v>
      </c>
    </row>
    <row r="561" spans="1:23" ht="43" customHeight="1">
      <c r="A561" s="11" t="s">
        <v>5427</v>
      </c>
      <c r="B561" s="11" t="s">
        <v>5430</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5437</v>
      </c>
    </row>
    <row r="562" spans="1:23" ht="30.5" customHeight="1">
      <c r="A562" s="11" t="s">
        <v>5440</v>
      </c>
      <c r="B562" s="11" t="s">
        <v>5456</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5526</v>
      </c>
    </row>
    <row r="563" spans="1:23" ht="30.5" customHeight="1">
      <c r="A563" s="11" t="s">
        <v>5443</v>
      </c>
      <c r="B563" s="11" t="s">
        <v>5483</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5526</v>
      </c>
    </row>
    <row r="564" spans="1:23" ht="30.5" customHeight="1">
      <c r="A564" s="11" t="s">
        <v>5444</v>
      </c>
      <c r="B564" s="11" t="s">
        <v>5495</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5526</v>
      </c>
    </row>
    <row r="565" spans="1:23" ht="30.5" customHeight="1">
      <c r="A565" s="11" t="s">
        <v>5446</v>
      </c>
      <c r="B565" s="11" t="s">
        <v>5507</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5526</v>
      </c>
    </row>
    <row r="566" spans="1:23" ht="30.5" customHeight="1">
      <c r="A566" s="11" t="s">
        <v>5445</v>
      </c>
      <c r="B566" s="11" t="s">
        <v>5517</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5526</v>
      </c>
    </row>
    <row r="567" spans="1:23" ht="32" customHeight="1">
      <c r="A567" s="11" t="s">
        <v>5527</v>
      </c>
      <c r="B567" s="11" t="s">
        <v>5551</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1" t="s">
        <v>5576</v>
      </c>
    </row>
    <row r="568" spans="1:23" ht="32" customHeight="1">
      <c r="A568" s="11" t="s">
        <v>5539</v>
      </c>
      <c r="B568" s="11" t="s">
        <v>5552</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1" t="s">
        <v>5576</v>
      </c>
    </row>
    <row r="569" spans="1:23" ht="32" customHeight="1">
      <c r="A569" s="11" t="s">
        <v>5540</v>
      </c>
      <c r="B569" s="11" t="s">
        <v>5553</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1" t="s">
        <v>5576</v>
      </c>
    </row>
    <row r="570" spans="1:23" ht="32" customHeight="1">
      <c r="A570" s="11" t="s">
        <v>5541</v>
      </c>
      <c r="B570" s="11" t="s">
        <v>5554</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1" t="s">
        <v>5576</v>
      </c>
    </row>
    <row r="571" spans="1:23" ht="32" customHeight="1">
      <c r="A571" s="11" t="s">
        <v>5542</v>
      </c>
      <c r="B571" s="11" t="s">
        <v>5555</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1" t="s">
        <v>5576</v>
      </c>
    </row>
    <row r="572" spans="1:23" ht="32" customHeight="1">
      <c r="A572" s="11" t="s">
        <v>5543</v>
      </c>
      <c r="B572" s="11" t="s">
        <v>5556</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1" t="s">
        <v>5576</v>
      </c>
    </row>
    <row r="573" spans="1:23" ht="32" customHeight="1">
      <c r="A573" s="11" t="s">
        <v>5547</v>
      </c>
      <c r="B573" s="11" t="s">
        <v>5557</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1" t="s">
        <v>5576</v>
      </c>
    </row>
    <row r="574" spans="1:23" ht="32" customHeight="1">
      <c r="A574" s="35" t="s">
        <v>5548</v>
      </c>
      <c r="B574" s="35" t="s">
        <v>5558</v>
      </c>
      <c r="C574" s="38" t="s">
        <v>24</v>
      </c>
      <c r="D574" s="38" t="s">
        <v>27</v>
      </c>
      <c r="E574" s="38" t="s">
        <v>1105</v>
      </c>
      <c r="F574" s="168" t="s">
        <v>160</v>
      </c>
      <c r="G574" s="38"/>
      <c r="H574" s="168"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1" t="s">
        <v>5576</v>
      </c>
    </row>
    <row r="575" spans="1:23" ht="45.5" customHeight="1">
      <c r="A575" s="3" t="s">
        <v>5578</v>
      </c>
      <c r="B575" s="11" t="s">
        <v>5582</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5585</v>
      </c>
    </row>
    <row r="576" spans="1:23" ht="36.5" customHeight="1">
      <c r="A576" s="3" t="s">
        <v>5578</v>
      </c>
      <c r="B576" s="11" t="s">
        <v>5583</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5585</v>
      </c>
    </row>
    <row r="577" spans="1:23" ht="29">
      <c r="A577" s="3" t="s">
        <v>5578</v>
      </c>
      <c r="B577" s="11" t="s">
        <v>5586</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5588</v>
      </c>
    </row>
    <row r="578" spans="1:23" ht="29">
      <c r="A578" s="3" t="s">
        <v>5578</v>
      </c>
      <c r="B578" s="11" t="s">
        <v>5587</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5588</v>
      </c>
    </row>
    <row r="579" spans="1:23" ht="35.5" customHeight="1">
      <c r="A579" s="11" t="s">
        <v>5590</v>
      </c>
      <c r="B579" s="11" t="s">
        <v>5593</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5596</v>
      </c>
    </row>
    <row r="580" spans="1:23" ht="51" customHeight="1">
      <c r="A580" s="11" t="s">
        <v>5590</v>
      </c>
      <c r="B580" s="11" t="s">
        <v>5594</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5597</v>
      </c>
    </row>
    <row r="581" spans="1:23" ht="33.5" customHeight="1">
      <c r="A581" s="11" t="s">
        <v>5599</v>
      </c>
      <c r="B581" s="11" t="s">
        <v>5603</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5621</v>
      </c>
    </row>
    <row r="582" spans="1:23" ht="33.5" customHeight="1">
      <c r="A582" s="11" t="s">
        <v>5600</v>
      </c>
      <c r="B582" s="11" t="s">
        <v>5604</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5621</v>
      </c>
    </row>
    <row r="583" spans="1:23" ht="33.5" customHeight="1">
      <c r="A583" s="11" t="s">
        <v>5599</v>
      </c>
      <c r="B583" s="11" t="s">
        <v>5605</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5621</v>
      </c>
    </row>
    <row r="584" spans="1:23" ht="48" customHeight="1">
      <c r="A584" s="11" t="s">
        <v>5600</v>
      </c>
      <c r="B584" s="11" t="s">
        <v>5606</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5622</v>
      </c>
    </row>
    <row r="585" spans="1:23" ht="64.5" customHeight="1">
      <c r="A585" s="11" t="s">
        <v>5649</v>
      </c>
      <c r="B585" s="11" t="s">
        <v>5652</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5657</v>
      </c>
    </row>
    <row r="586" spans="1:23" ht="53.5" customHeight="1">
      <c r="A586" s="11" t="s">
        <v>5649</v>
      </c>
      <c r="B586" s="11" t="s">
        <v>5653</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5658</v>
      </c>
    </row>
    <row r="587" spans="1:23" ht="43.5" customHeight="1">
      <c r="A587" s="11" t="s">
        <v>5649</v>
      </c>
      <c r="B587" s="11" t="s">
        <v>5654</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5659</v>
      </c>
    </row>
    <row r="588" spans="1:23" ht="60.5" customHeight="1">
      <c r="A588" s="11" t="s">
        <v>5649</v>
      </c>
      <c r="B588" s="11" t="s">
        <v>5655</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5659</v>
      </c>
    </row>
    <row r="589" spans="1:23" ht="43.5">
      <c r="A589" s="19" t="s">
        <v>5661</v>
      </c>
      <c r="B589" s="19" t="s">
        <v>5664</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5674</v>
      </c>
    </row>
    <row r="590" spans="1:23" ht="43.5">
      <c r="A590" s="19" t="s">
        <v>5661</v>
      </c>
      <c r="B590" s="19" t="s">
        <v>5665</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5674</v>
      </c>
    </row>
    <row r="591" spans="1:23" ht="43.5">
      <c r="A591" s="19" t="s">
        <v>5661</v>
      </c>
      <c r="B591" s="19" t="s">
        <v>5666</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5674</v>
      </c>
    </row>
    <row r="592" spans="1:23" ht="43.5">
      <c r="A592" s="19" t="s">
        <v>5661</v>
      </c>
      <c r="B592" s="19" t="s">
        <v>5667</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5674</v>
      </c>
    </row>
    <row r="593" spans="1:23" ht="50" customHeight="1">
      <c r="A593" s="19" t="s">
        <v>5684</v>
      </c>
      <c r="B593" s="19" t="s">
        <v>5686</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5690</v>
      </c>
    </row>
    <row r="594" spans="1:23" ht="50" customHeight="1">
      <c r="A594" s="19" t="s">
        <v>5684</v>
      </c>
      <c r="B594" s="19" t="s">
        <v>5687</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5689</v>
      </c>
    </row>
    <row r="595" spans="1:23" ht="51" customHeight="1">
      <c r="A595" s="19" t="s">
        <v>5684</v>
      </c>
      <c r="B595" s="19" t="s">
        <v>5688</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5689</v>
      </c>
    </row>
    <row r="596" spans="1:23" ht="41" customHeight="1">
      <c r="A596" s="19" t="s">
        <v>5693</v>
      </c>
      <c r="B596" s="19" t="s">
        <v>5698</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5705</v>
      </c>
    </row>
    <row r="597" spans="1:23" ht="35.5" customHeight="1">
      <c r="A597" s="19" t="s">
        <v>5693</v>
      </c>
      <c r="B597" s="19" t="s">
        <v>5699</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5713</v>
      </c>
    </row>
    <row r="598" spans="1:23" ht="36" customHeight="1">
      <c r="A598" s="19" t="s">
        <v>5693</v>
      </c>
      <c r="B598" s="19" t="s">
        <v>5700</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5713</v>
      </c>
    </row>
    <row r="599" spans="1:23" ht="29">
      <c r="A599" s="11" t="s">
        <v>5715</v>
      </c>
      <c r="B599" s="11" t="s">
        <v>5717</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5720</v>
      </c>
    </row>
    <row r="600" spans="1:23" ht="29">
      <c r="A600" s="11" t="s">
        <v>5715</v>
      </c>
      <c r="B600" s="11" t="s">
        <v>5718</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5720</v>
      </c>
    </row>
    <row r="601" spans="1:23" ht="29">
      <c r="A601" s="11" t="s">
        <v>5715</v>
      </c>
      <c r="B601" s="11" t="s">
        <v>5719</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5720</v>
      </c>
    </row>
    <row r="602" spans="1:23" ht="43.5" customHeight="1">
      <c r="A602" s="11" t="s">
        <v>5723</v>
      </c>
      <c r="B602" s="11" t="s">
        <v>5732</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1" t="s">
        <v>5734</v>
      </c>
    </row>
    <row r="603" spans="1:23" ht="29">
      <c r="A603" s="19" t="s">
        <v>5726</v>
      </c>
      <c r="B603" s="11" t="s">
        <v>5735</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1" t="s">
        <v>5734</v>
      </c>
    </row>
    <row r="604" spans="1:23" ht="29">
      <c r="A604" s="19" t="s">
        <v>5727</v>
      </c>
      <c r="B604" s="11" t="s">
        <v>5736</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1" t="s">
        <v>5734</v>
      </c>
    </row>
    <row r="605" spans="1:23" ht="29">
      <c r="A605" s="19" t="s">
        <v>5728</v>
      </c>
      <c r="B605" s="11" t="s">
        <v>5737</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1" t="s">
        <v>5734</v>
      </c>
    </row>
    <row r="606" spans="1:23" ht="28" customHeight="1">
      <c r="A606" s="19" t="s">
        <v>5739</v>
      </c>
      <c r="B606" s="19" t="s">
        <v>5746</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5794</v>
      </c>
    </row>
    <row r="607" spans="1:23" ht="28" customHeight="1">
      <c r="A607" s="19" t="s">
        <v>5739</v>
      </c>
      <c r="B607" s="19" t="s">
        <v>5750</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5739</v>
      </c>
      <c r="B608" s="19" t="s">
        <v>5755</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5743</v>
      </c>
      <c r="B609" s="19" t="s">
        <v>5747</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5794</v>
      </c>
    </row>
    <row r="610" spans="1:23" ht="28" customHeight="1">
      <c r="A610" s="19" t="s">
        <v>5743</v>
      </c>
      <c r="B610" s="19" t="s">
        <v>5751</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5743</v>
      </c>
      <c r="B611" s="19" t="s">
        <v>5756</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5797</v>
      </c>
      <c r="B612" s="19" t="s">
        <v>5802</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5814</v>
      </c>
    </row>
    <row r="613" spans="1:23" ht="43.5">
      <c r="A613" s="19" t="s">
        <v>5797</v>
      </c>
      <c r="B613" s="19" t="s">
        <v>5803</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5814</v>
      </c>
    </row>
    <row r="614" spans="1:23" ht="82" customHeight="1">
      <c r="A614" s="19" t="s">
        <v>5816</v>
      </c>
      <c r="B614" s="19" t="s">
        <v>5820</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5826</v>
      </c>
    </row>
    <row r="615" spans="1:23" ht="82" customHeight="1">
      <c r="A615" s="19" t="s">
        <v>5817</v>
      </c>
      <c r="B615" s="19" t="s">
        <v>5823</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5826</v>
      </c>
    </row>
    <row r="616" spans="1:23" ht="64.5" customHeight="1">
      <c r="A616" s="3" t="s">
        <v>5862</v>
      </c>
      <c r="B616" s="3" t="s">
        <v>5884</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5893</v>
      </c>
    </row>
    <row r="617" spans="1:23" ht="51.5" customHeight="1">
      <c r="A617" s="19" t="s">
        <v>5875</v>
      </c>
      <c r="B617" s="19" t="s">
        <v>5900</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5909</v>
      </c>
      <c r="B618" s="19" t="s">
        <v>5912</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5928</v>
      </c>
    </row>
    <row r="619" spans="1:23" ht="36" customHeight="1">
      <c r="A619" s="19" t="s">
        <v>5909</v>
      </c>
      <c r="B619" s="19" t="s">
        <v>5913</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5929</v>
      </c>
    </row>
    <row r="620" spans="1:23" ht="36" customHeight="1">
      <c r="A620" s="19" t="s">
        <v>5909</v>
      </c>
      <c r="B620" s="19" t="s">
        <v>5914</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5929</v>
      </c>
    </row>
    <row r="621" spans="1:23" ht="36" customHeight="1">
      <c r="A621" s="19" t="s">
        <v>5909</v>
      </c>
      <c r="B621" s="19" t="s">
        <v>5915</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5929</v>
      </c>
    </row>
    <row r="622" spans="1:23" ht="48.5" customHeight="1">
      <c r="A622" s="19" t="s">
        <v>5909</v>
      </c>
      <c r="B622" s="19" t="s">
        <v>5916</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5930</v>
      </c>
    </row>
    <row r="623" spans="1:23" ht="47.5" customHeight="1">
      <c r="A623" s="19" t="s">
        <v>5909</v>
      </c>
      <c r="B623" s="19" t="s">
        <v>5917</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5930</v>
      </c>
    </row>
    <row r="624" spans="1:23" ht="53" customHeight="1">
      <c r="A624" s="19" t="s">
        <v>5932</v>
      </c>
      <c r="B624" s="19" t="s">
        <v>5934</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5945</v>
      </c>
    </row>
    <row r="625" spans="1:23" ht="43.5" customHeight="1">
      <c r="A625" s="3" t="s">
        <v>5956</v>
      </c>
      <c r="B625" s="3" t="s">
        <v>5957</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5966</v>
      </c>
    </row>
    <row r="626" spans="1:23" ht="43.5" customHeight="1">
      <c r="A626" s="3" t="s">
        <v>5956</v>
      </c>
      <c r="B626" s="3" t="s">
        <v>5960</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5966</v>
      </c>
    </row>
    <row r="627" spans="1:23" ht="43.5" customHeight="1">
      <c r="A627" s="3" t="s">
        <v>5956</v>
      </c>
      <c r="B627" s="3" t="s">
        <v>5961</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5966</v>
      </c>
    </row>
    <row r="628" spans="1:23" ht="47.5" customHeight="1">
      <c r="A628" s="3" t="s">
        <v>5956</v>
      </c>
      <c r="B628" s="3" t="s">
        <v>5964</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5967</v>
      </c>
    </row>
    <row r="629" spans="1:23" ht="47.5" customHeight="1">
      <c r="A629" s="3" t="s">
        <v>5956</v>
      </c>
      <c r="B629" s="3" t="s">
        <v>5965</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5967</v>
      </c>
    </row>
    <row r="630" spans="1:23" ht="47.5" customHeight="1">
      <c r="A630" s="11" t="s">
        <v>5969</v>
      </c>
      <c r="B630" s="11" t="s">
        <v>5971</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5980</v>
      </c>
    </row>
    <row r="631" spans="1:23" ht="71.5" customHeight="1">
      <c r="A631" s="11" t="s">
        <v>5982</v>
      </c>
      <c r="B631" s="11" t="s">
        <v>5987</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5993</v>
      </c>
    </row>
    <row r="632" spans="1:23" ht="44" customHeight="1">
      <c r="A632" s="11" t="s">
        <v>6048</v>
      </c>
      <c r="B632" s="11" t="s">
        <v>6052</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6059</v>
      </c>
    </row>
    <row r="633" spans="1:23" ht="44" customHeight="1">
      <c r="A633" s="11" t="s">
        <v>6048</v>
      </c>
      <c r="B633" s="11" t="s">
        <v>6053</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6059</v>
      </c>
    </row>
    <row r="634" spans="1:23" ht="41.5" customHeight="1">
      <c r="A634" s="4" t="s">
        <v>6148</v>
      </c>
      <c r="B634" s="4" t="s">
        <v>6190</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6256</v>
      </c>
    </row>
    <row r="635" spans="1:23" ht="41.5" customHeight="1">
      <c r="A635" s="4" t="s">
        <v>6149</v>
      </c>
      <c r="B635" s="4" t="s">
        <v>6194</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6257</v>
      </c>
    </row>
    <row r="636" spans="1:23" s="204" customFormat="1" ht="41.5" customHeight="1">
      <c r="A636" s="205" t="s">
        <v>6711</v>
      </c>
      <c r="B636" s="205" t="s">
        <v>6718</v>
      </c>
      <c r="C636" s="205" t="s">
        <v>24</v>
      </c>
      <c r="D636" s="205" t="s">
        <v>1242</v>
      </c>
      <c r="E636" s="4" t="s">
        <v>137</v>
      </c>
      <c r="F636" s="205" t="s">
        <v>74</v>
      </c>
      <c r="G636" s="4"/>
      <c r="H636" s="4" t="s">
        <v>2673</v>
      </c>
      <c r="I636" s="4" t="s">
        <v>2276</v>
      </c>
      <c r="J636" s="4" t="s">
        <v>2276</v>
      </c>
      <c r="K636" s="4" t="s">
        <v>2276</v>
      </c>
      <c r="L636" s="4" t="s">
        <v>2276</v>
      </c>
      <c r="M636" s="4" t="s">
        <v>2728</v>
      </c>
      <c r="N636" s="205" t="s">
        <v>2276</v>
      </c>
      <c r="O636" s="205" t="s">
        <v>2276</v>
      </c>
      <c r="P636" s="4" t="s">
        <v>534</v>
      </c>
      <c r="Q636" s="4">
        <v>4</v>
      </c>
      <c r="R636" s="4" t="s">
        <v>537</v>
      </c>
      <c r="S636" s="205" t="s">
        <v>2276</v>
      </c>
      <c r="T636" s="205" t="s">
        <v>2276</v>
      </c>
      <c r="U636" s="4" t="s">
        <v>537</v>
      </c>
      <c r="V636" s="205" t="s">
        <v>2276</v>
      </c>
      <c r="W636" s="4" t="s">
        <v>6728</v>
      </c>
    </row>
    <row r="637" spans="1:23" s="204" customFormat="1" ht="41.5" customHeight="1">
      <c r="A637" s="205" t="s">
        <v>6711</v>
      </c>
      <c r="B637" s="205" t="s">
        <v>6719</v>
      </c>
      <c r="C637" s="205" t="s">
        <v>24</v>
      </c>
      <c r="D637" s="205" t="s">
        <v>1242</v>
      </c>
      <c r="E637" s="4" t="s">
        <v>2649</v>
      </c>
      <c r="F637" s="205" t="s">
        <v>74</v>
      </c>
      <c r="G637" s="4"/>
      <c r="H637" s="4" t="s">
        <v>2673</v>
      </c>
      <c r="I637" s="4" t="s">
        <v>2276</v>
      </c>
      <c r="J637" s="4" t="s">
        <v>2276</v>
      </c>
      <c r="K637" s="4" t="s">
        <v>2276</v>
      </c>
      <c r="L637" s="4" t="s">
        <v>2276</v>
      </c>
      <c r="M637" s="4" t="s">
        <v>2728</v>
      </c>
      <c r="N637" s="205" t="s">
        <v>2276</v>
      </c>
      <c r="O637" s="205" t="s">
        <v>2276</v>
      </c>
      <c r="P637" s="4" t="s">
        <v>534</v>
      </c>
      <c r="Q637" s="4">
        <v>4</v>
      </c>
      <c r="R637" s="4" t="s">
        <v>537</v>
      </c>
      <c r="S637" s="205" t="s">
        <v>2276</v>
      </c>
      <c r="T637" s="205" t="s">
        <v>2276</v>
      </c>
      <c r="U637" s="4" t="s">
        <v>537</v>
      </c>
      <c r="V637" s="205" t="s">
        <v>2276</v>
      </c>
      <c r="W637" s="4" t="s">
        <v>6728</v>
      </c>
    </row>
    <row r="638" spans="1:23" s="204" customFormat="1" ht="41.5" customHeight="1">
      <c r="A638" s="205" t="s">
        <v>6712</v>
      </c>
      <c r="B638" s="205" t="s">
        <v>6720</v>
      </c>
      <c r="C638" s="205" t="s">
        <v>24</v>
      </c>
      <c r="D638" s="205" t="s">
        <v>1242</v>
      </c>
      <c r="E638" s="4" t="s">
        <v>137</v>
      </c>
      <c r="F638" s="205" t="s">
        <v>74</v>
      </c>
      <c r="G638" s="4"/>
      <c r="H638" s="4" t="s">
        <v>2673</v>
      </c>
      <c r="I638" s="4" t="s">
        <v>2276</v>
      </c>
      <c r="J638" s="4" t="s">
        <v>2276</v>
      </c>
      <c r="K638" s="4" t="s">
        <v>2276</v>
      </c>
      <c r="L638" s="4" t="s">
        <v>2276</v>
      </c>
      <c r="M638" s="4" t="s">
        <v>2728</v>
      </c>
      <c r="N638" s="205" t="s">
        <v>2276</v>
      </c>
      <c r="O638" s="205" t="s">
        <v>2276</v>
      </c>
      <c r="P638" s="4" t="s">
        <v>534</v>
      </c>
      <c r="Q638" s="4">
        <v>4</v>
      </c>
      <c r="R638" s="4" t="s">
        <v>537</v>
      </c>
      <c r="S638" s="205" t="s">
        <v>2276</v>
      </c>
      <c r="T638" s="205" t="s">
        <v>2276</v>
      </c>
      <c r="U638" s="4" t="s">
        <v>537</v>
      </c>
      <c r="V638" s="205" t="s">
        <v>2276</v>
      </c>
      <c r="W638" s="4" t="s">
        <v>6728</v>
      </c>
    </row>
    <row r="639" spans="1:23" s="204" customFormat="1" ht="41.5" customHeight="1">
      <c r="A639" s="205" t="s">
        <v>6712</v>
      </c>
      <c r="B639" s="205" t="s">
        <v>6721</v>
      </c>
      <c r="C639" s="205" t="s">
        <v>24</v>
      </c>
      <c r="D639" s="205" t="s">
        <v>1242</v>
      </c>
      <c r="E639" s="4" t="s">
        <v>2649</v>
      </c>
      <c r="F639" s="205" t="s">
        <v>74</v>
      </c>
      <c r="G639" s="4"/>
      <c r="H639" s="4" t="s">
        <v>2673</v>
      </c>
      <c r="I639" s="4" t="s">
        <v>2276</v>
      </c>
      <c r="J639" s="4" t="s">
        <v>2276</v>
      </c>
      <c r="K639" s="4" t="s">
        <v>2276</v>
      </c>
      <c r="L639" s="4" t="s">
        <v>2276</v>
      </c>
      <c r="M639" s="4" t="s">
        <v>2728</v>
      </c>
      <c r="N639" s="205" t="s">
        <v>2276</v>
      </c>
      <c r="O639" s="205" t="s">
        <v>2276</v>
      </c>
      <c r="P639" s="4" t="s">
        <v>534</v>
      </c>
      <c r="Q639" s="4">
        <v>4</v>
      </c>
      <c r="R639" s="4" t="s">
        <v>537</v>
      </c>
      <c r="S639" s="205" t="s">
        <v>2276</v>
      </c>
      <c r="T639" s="205" t="s">
        <v>2276</v>
      </c>
      <c r="U639" s="4" t="s">
        <v>537</v>
      </c>
      <c r="V639" s="205" t="s">
        <v>2276</v>
      </c>
      <c r="W639" s="4" t="s">
        <v>6728</v>
      </c>
    </row>
    <row r="640" spans="1:23" s="204" customFormat="1" ht="41.5" customHeight="1">
      <c r="A640" s="205" t="s">
        <v>6713</v>
      </c>
      <c r="B640" s="205" t="s">
        <v>6722</v>
      </c>
      <c r="C640" s="205" t="s">
        <v>24</v>
      </c>
      <c r="D640" s="205" t="s">
        <v>1242</v>
      </c>
      <c r="E640" s="4" t="s">
        <v>137</v>
      </c>
      <c r="F640" s="205" t="s">
        <v>74</v>
      </c>
      <c r="G640" s="4"/>
      <c r="H640" s="4" t="s">
        <v>2673</v>
      </c>
      <c r="I640" s="4" t="s">
        <v>2276</v>
      </c>
      <c r="J640" s="4" t="s">
        <v>2276</v>
      </c>
      <c r="K640" s="4" t="s">
        <v>2276</v>
      </c>
      <c r="L640" s="4" t="s">
        <v>2276</v>
      </c>
      <c r="M640" s="4" t="s">
        <v>2728</v>
      </c>
      <c r="N640" s="205" t="s">
        <v>2276</v>
      </c>
      <c r="O640" s="205" t="s">
        <v>2276</v>
      </c>
      <c r="P640" s="4" t="s">
        <v>534</v>
      </c>
      <c r="Q640" s="4">
        <v>4</v>
      </c>
      <c r="R640" s="4" t="s">
        <v>537</v>
      </c>
      <c r="S640" s="205" t="s">
        <v>2276</v>
      </c>
      <c r="T640" s="205" t="s">
        <v>2276</v>
      </c>
      <c r="U640" s="4" t="s">
        <v>537</v>
      </c>
      <c r="V640" s="205" t="s">
        <v>2276</v>
      </c>
      <c r="W640" s="4" t="s">
        <v>6728</v>
      </c>
    </row>
    <row r="641" spans="1:23" s="204" customFormat="1" ht="41.5" customHeight="1">
      <c r="A641" s="205" t="s">
        <v>6713</v>
      </c>
      <c r="B641" s="205" t="s">
        <v>6723</v>
      </c>
      <c r="C641" s="205" t="s">
        <v>24</v>
      </c>
      <c r="D641" s="205" t="s">
        <v>1242</v>
      </c>
      <c r="E641" s="4" t="s">
        <v>2649</v>
      </c>
      <c r="F641" s="205" t="s">
        <v>74</v>
      </c>
      <c r="G641" s="4"/>
      <c r="H641" s="4" t="s">
        <v>2673</v>
      </c>
      <c r="I641" s="4" t="s">
        <v>2276</v>
      </c>
      <c r="J641" s="4" t="s">
        <v>2276</v>
      </c>
      <c r="K641" s="4" t="s">
        <v>2276</v>
      </c>
      <c r="L641" s="4" t="s">
        <v>2276</v>
      </c>
      <c r="M641" s="4" t="s">
        <v>2728</v>
      </c>
      <c r="N641" s="205" t="s">
        <v>2276</v>
      </c>
      <c r="O641" s="205" t="s">
        <v>2276</v>
      </c>
      <c r="P641" s="4" t="s">
        <v>534</v>
      </c>
      <c r="Q641" s="4">
        <v>4</v>
      </c>
      <c r="R641" s="4" t="s">
        <v>537</v>
      </c>
      <c r="S641" s="205" t="s">
        <v>2276</v>
      </c>
      <c r="T641" s="205" t="s">
        <v>2276</v>
      </c>
      <c r="U641" s="4" t="s">
        <v>537</v>
      </c>
      <c r="V641" s="205" t="s">
        <v>2276</v>
      </c>
      <c r="W641" s="4" t="s">
        <v>6728</v>
      </c>
    </row>
    <row r="642" spans="1:23" ht="41.5" customHeight="1">
      <c r="A642" s="4" t="s">
        <v>6162</v>
      </c>
      <c r="B642" s="4" t="s">
        <v>6214</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6258</v>
      </c>
    </row>
    <row r="643" spans="1:23" ht="41.5" customHeight="1">
      <c r="A643" s="4" t="s">
        <v>6168</v>
      </c>
      <c r="B643" s="4" t="s">
        <v>6223</v>
      </c>
      <c r="C643" s="205" t="s">
        <v>24</v>
      </c>
      <c r="D643" s="205" t="s">
        <v>25</v>
      </c>
      <c r="E643" s="4" t="s">
        <v>3855</v>
      </c>
      <c r="F643" s="205" t="s">
        <v>29</v>
      </c>
      <c r="G643" s="4"/>
      <c r="H643" s="4" t="s">
        <v>541</v>
      </c>
      <c r="I643" s="4" t="s">
        <v>2276</v>
      </c>
      <c r="J643" s="4" t="s">
        <v>2276</v>
      </c>
      <c r="K643" s="4" t="s">
        <v>2276</v>
      </c>
      <c r="L643" s="4" t="s">
        <v>2276</v>
      </c>
      <c r="M643" s="4" t="s">
        <v>2671</v>
      </c>
      <c r="N643" s="205" t="s">
        <v>2276</v>
      </c>
      <c r="O643" s="4" t="s">
        <v>534</v>
      </c>
      <c r="P643" s="205" t="s">
        <v>2276</v>
      </c>
      <c r="Q643" s="4">
        <v>2</v>
      </c>
      <c r="R643" s="4" t="s">
        <v>537</v>
      </c>
      <c r="S643" s="4" t="s">
        <v>537</v>
      </c>
      <c r="T643" s="4" t="s">
        <v>537</v>
      </c>
      <c r="U643" s="4" t="s">
        <v>537</v>
      </c>
      <c r="V643" s="4" t="s">
        <v>2276</v>
      </c>
      <c r="W643" s="4" t="s">
        <v>6858</v>
      </c>
    </row>
    <row r="644" spans="1:23" ht="50.5" customHeight="1">
      <c r="A644" s="4" t="s">
        <v>6168</v>
      </c>
      <c r="B644" s="4" t="s">
        <v>6224</v>
      </c>
      <c r="C644" s="205" t="s">
        <v>24</v>
      </c>
      <c r="D644" s="205" t="s">
        <v>2659</v>
      </c>
      <c r="E644" s="4" t="s">
        <v>3855</v>
      </c>
      <c r="F644" s="205" t="s">
        <v>28</v>
      </c>
      <c r="G644" s="4"/>
      <c r="H644" s="4" t="s">
        <v>541</v>
      </c>
      <c r="I644" s="4" t="s">
        <v>2276</v>
      </c>
      <c r="J644" s="4" t="s">
        <v>2276</v>
      </c>
      <c r="K644" s="4" t="s">
        <v>2276</v>
      </c>
      <c r="L644" s="4" t="s">
        <v>2276</v>
      </c>
      <c r="M644" s="4" t="s">
        <v>2671</v>
      </c>
      <c r="N644" s="205" t="s">
        <v>2276</v>
      </c>
      <c r="O644" s="4" t="s">
        <v>534</v>
      </c>
      <c r="P644" s="205" t="s">
        <v>2276</v>
      </c>
      <c r="Q644" s="4">
        <v>2</v>
      </c>
      <c r="R644" s="4" t="s">
        <v>537</v>
      </c>
      <c r="S644" s="4" t="s">
        <v>537</v>
      </c>
      <c r="T644" s="4" t="s">
        <v>537</v>
      </c>
      <c r="U644" s="4" t="s">
        <v>537</v>
      </c>
      <c r="V644" s="4" t="s">
        <v>2276</v>
      </c>
      <c r="W644" s="4" t="s">
        <v>6858</v>
      </c>
    </row>
    <row r="645" spans="1:23" ht="49" customHeight="1">
      <c r="A645" s="4" t="s">
        <v>6168</v>
      </c>
      <c r="B645" s="4" t="s">
        <v>6225</v>
      </c>
      <c r="C645" s="205" t="s">
        <v>24</v>
      </c>
      <c r="D645" s="205" t="s">
        <v>2659</v>
      </c>
      <c r="E645" s="4" t="s">
        <v>3855</v>
      </c>
      <c r="F645" s="205" t="s">
        <v>28</v>
      </c>
      <c r="G645" s="4"/>
      <c r="H645" s="4" t="s">
        <v>4077</v>
      </c>
      <c r="I645" s="4" t="s">
        <v>2690</v>
      </c>
      <c r="J645" s="4" t="s">
        <v>537</v>
      </c>
      <c r="K645" s="4" t="s">
        <v>534</v>
      </c>
      <c r="L645" s="4" t="s">
        <v>537</v>
      </c>
      <c r="M645" s="4" t="s">
        <v>537</v>
      </c>
      <c r="N645" s="4" t="s">
        <v>537</v>
      </c>
      <c r="O645" s="4" t="s">
        <v>537</v>
      </c>
      <c r="P645" s="4" t="s">
        <v>537</v>
      </c>
      <c r="Q645" s="205" t="s">
        <v>2276</v>
      </c>
      <c r="R645" s="205" t="s">
        <v>2276</v>
      </c>
      <c r="S645" s="205" t="s">
        <v>2276</v>
      </c>
      <c r="T645" s="205" t="s">
        <v>2276</v>
      </c>
      <c r="U645" s="205" t="s">
        <v>2276</v>
      </c>
      <c r="V645" s="205" t="s">
        <v>2276</v>
      </c>
      <c r="W645" s="4" t="s">
        <v>6859</v>
      </c>
    </row>
    <row r="646" spans="1:23" s="204" customFormat="1" ht="49" customHeight="1">
      <c r="A646" s="4" t="s">
        <v>6169</v>
      </c>
      <c r="B646" s="4" t="s">
        <v>6229</v>
      </c>
      <c r="C646" s="205" t="s">
        <v>24</v>
      </c>
      <c r="D646" s="205" t="s">
        <v>25</v>
      </c>
      <c r="E646" s="4" t="s">
        <v>3855</v>
      </c>
      <c r="F646" s="205" t="s">
        <v>29</v>
      </c>
      <c r="G646" s="4"/>
      <c r="H646" s="4" t="s">
        <v>541</v>
      </c>
      <c r="I646" s="4" t="s">
        <v>2276</v>
      </c>
      <c r="J646" s="4" t="s">
        <v>2276</v>
      </c>
      <c r="K646" s="4" t="s">
        <v>2276</v>
      </c>
      <c r="L646" s="4" t="s">
        <v>2276</v>
      </c>
      <c r="M646" s="4" t="s">
        <v>2671</v>
      </c>
      <c r="N646" s="205" t="s">
        <v>2276</v>
      </c>
      <c r="O646" s="4" t="s">
        <v>534</v>
      </c>
      <c r="P646" s="205" t="s">
        <v>2276</v>
      </c>
      <c r="Q646" s="4">
        <v>2</v>
      </c>
      <c r="R646" s="4" t="s">
        <v>537</v>
      </c>
      <c r="S646" s="4" t="s">
        <v>537</v>
      </c>
      <c r="T646" s="4" t="s">
        <v>537</v>
      </c>
      <c r="U646" s="4" t="s">
        <v>537</v>
      </c>
      <c r="V646" s="4" t="s">
        <v>2276</v>
      </c>
      <c r="W646" s="4" t="s">
        <v>6858</v>
      </c>
    </row>
    <row r="647" spans="1:23" s="204" customFormat="1" ht="49" customHeight="1">
      <c r="A647" s="4" t="s">
        <v>6169</v>
      </c>
      <c r="B647" s="4" t="s">
        <v>6787</v>
      </c>
      <c r="C647" s="205" t="s">
        <v>24</v>
      </c>
      <c r="D647" s="205" t="s">
        <v>2659</v>
      </c>
      <c r="E647" s="4" t="s">
        <v>3855</v>
      </c>
      <c r="F647" s="205" t="s">
        <v>28</v>
      </c>
      <c r="G647" s="4"/>
      <c r="H647" s="4" t="s">
        <v>541</v>
      </c>
      <c r="I647" s="4" t="s">
        <v>2276</v>
      </c>
      <c r="J647" s="4" t="s">
        <v>2276</v>
      </c>
      <c r="K647" s="4" t="s">
        <v>2276</v>
      </c>
      <c r="L647" s="4" t="s">
        <v>2276</v>
      </c>
      <c r="M647" s="4" t="s">
        <v>2671</v>
      </c>
      <c r="N647" s="205" t="s">
        <v>2276</v>
      </c>
      <c r="O647" s="4" t="s">
        <v>534</v>
      </c>
      <c r="P647" s="205" t="s">
        <v>2276</v>
      </c>
      <c r="Q647" s="4">
        <v>2</v>
      </c>
      <c r="R647" s="4" t="s">
        <v>537</v>
      </c>
      <c r="S647" s="4" t="s">
        <v>537</v>
      </c>
      <c r="T647" s="4" t="s">
        <v>537</v>
      </c>
      <c r="U647" s="4" t="s">
        <v>537</v>
      </c>
      <c r="V647" s="4" t="s">
        <v>2276</v>
      </c>
      <c r="W647" s="4" t="s">
        <v>6858</v>
      </c>
    </row>
    <row r="648" spans="1:23" s="204" customFormat="1" ht="49" customHeight="1">
      <c r="A648" s="4" t="s">
        <v>6169</v>
      </c>
      <c r="B648" s="4" t="s">
        <v>6788</v>
      </c>
      <c r="C648" s="205" t="s">
        <v>24</v>
      </c>
      <c r="D648" s="205" t="s">
        <v>2659</v>
      </c>
      <c r="E648" s="4" t="s">
        <v>3855</v>
      </c>
      <c r="F648" s="205" t="s">
        <v>28</v>
      </c>
      <c r="G648" s="4"/>
      <c r="H648" s="4" t="s">
        <v>4077</v>
      </c>
      <c r="I648" s="4" t="s">
        <v>2690</v>
      </c>
      <c r="J648" s="4" t="s">
        <v>537</v>
      </c>
      <c r="K648" s="4" t="s">
        <v>534</v>
      </c>
      <c r="L648" s="4" t="s">
        <v>537</v>
      </c>
      <c r="M648" s="4" t="s">
        <v>537</v>
      </c>
      <c r="N648" s="4" t="s">
        <v>537</v>
      </c>
      <c r="O648" s="4" t="s">
        <v>537</v>
      </c>
      <c r="P648" s="4" t="s">
        <v>537</v>
      </c>
      <c r="Q648" s="205" t="s">
        <v>2276</v>
      </c>
      <c r="R648" s="205" t="s">
        <v>2276</v>
      </c>
      <c r="S648" s="205" t="s">
        <v>2276</v>
      </c>
      <c r="T648" s="205" t="s">
        <v>2276</v>
      </c>
      <c r="U648" s="205" t="s">
        <v>2276</v>
      </c>
      <c r="V648" s="205" t="s">
        <v>2276</v>
      </c>
      <c r="W648" s="4" t="s">
        <v>6859</v>
      </c>
    </row>
    <row r="649" spans="1:23" s="204" customFormat="1" ht="49" customHeight="1">
      <c r="A649" s="4" t="s">
        <v>6170</v>
      </c>
      <c r="B649" s="4" t="s">
        <v>6230</v>
      </c>
      <c r="C649" s="205" t="s">
        <v>24</v>
      </c>
      <c r="D649" s="205" t="s">
        <v>25</v>
      </c>
      <c r="E649" s="4" t="s">
        <v>3855</v>
      </c>
      <c r="F649" s="205" t="s">
        <v>29</v>
      </c>
      <c r="G649" s="4"/>
      <c r="H649" s="4" t="s">
        <v>541</v>
      </c>
      <c r="I649" s="4" t="s">
        <v>2276</v>
      </c>
      <c r="J649" s="4" t="s">
        <v>2276</v>
      </c>
      <c r="K649" s="4" t="s">
        <v>2276</v>
      </c>
      <c r="L649" s="4" t="s">
        <v>2276</v>
      </c>
      <c r="M649" s="4" t="s">
        <v>2671</v>
      </c>
      <c r="N649" s="205" t="s">
        <v>2276</v>
      </c>
      <c r="O649" s="4" t="s">
        <v>534</v>
      </c>
      <c r="P649" s="205" t="s">
        <v>2276</v>
      </c>
      <c r="Q649" s="4">
        <v>2</v>
      </c>
      <c r="R649" s="4" t="s">
        <v>537</v>
      </c>
      <c r="S649" s="4" t="s">
        <v>537</v>
      </c>
      <c r="T649" s="4" t="s">
        <v>537</v>
      </c>
      <c r="U649" s="4" t="s">
        <v>537</v>
      </c>
      <c r="V649" s="4" t="s">
        <v>2276</v>
      </c>
      <c r="W649" s="4" t="s">
        <v>6858</v>
      </c>
    </row>
    <row r="650" spans="1:23" s="204" customFormat="1" ht="49" customHeight="1">
      <c r="A650" s="4" t="s">
        <v>6170</v>
      </c>
      <c r="B650" s="4" t="s">
        <v>6793</v>
      </c>
      <c r="C650" s="205" t="s">
        <v>24</v>
      </c>
      <c r="D650" s="205" t="s">
        <v>2659</v>
      </c>
      <c r="E650" s="4" t="s">
        <v>3855</v>
      </c>
      <c r="F650" s="205" t="s">
        <v>28</v>
      </c>
      <c r="G650" s="4"/>
      <c r="H650" s="4" t="s">
        <v>541</v>
      </c>
      <c r="I650" s="4" t="s">
        <v>2276</v>
      </c>
      <c r="J650" s="4" t="s">
        <v>2276</v>
      </c>
      <c r="K650" s="4" t="s">
        <v>2276</v>
      </c>
      <c r="L650" s="4" t="s">
        <v>2276</v>
      </c>
      <c r="M650" s="4" t="s">
        <v>2671</v>
      </c>
      <c r="N650" s="205" t="s">
        <v>2276</v>
      </c>
      <c r="O650" s="4" t="s">
        <v>534</v>
      </c>
      <c r="P650" s="205" t="s">
        <v>2276</v>
      </c>
      <c r="Q650" s="4">
        <v>2</v>
      </c>
      <c r="R650" s="4" t="s">
        <v>537</v>
      </c>
      <c r="S650" s="4" t="s">
        <v>537</v>
      </c>
      <c r="T650" s="4" t="s">
        <v>537</v>
      </c>
      <c r="U650" s="4" t="s">
        <v>537</v>
      </c>
      <c r="V650" s="4" t="s">
        <v>2276</v>
      </c>
      <c r="W650" s="4" t="s">
        <v>6858</v>
      </c>
    </row>
    <row r="651" spans="1:23" s="204" customFormat="1" ht="49" customHeight="1">
      <c r="A651" s="4" t="s">
        <v>6170</v>
      </c>
      <c r="B651" s="4" t="s">
        <v>6794</v>
      </c>
      <c r="C651" s="205" t="s">
        <v>24</v>
      </c>
      <c r="D651" s="205" t="s">
        <v>2659</v>
      </c>
      <c r="E651" s="4" t="s">
        <v>3855</v>
      </c>
      <c r="F651" s="205" t="s">
        <v>28</v>
      </c>
      <c r="G651" s="4"/>
      <c r="H651" s="4" t="s">
        <v>4077</v>
      </c>
      <c r="I651" s="4" t="s">
        <v>2690</v>
      </c>
      <c r="J651" s="4" t="s">
        <v>537</v>
      </c>
      <c r="K651" s="4" t="s">
        <v>534</v>
      </c>
      <c r="L651" s="4" t="s">
        <v>537</v>
      </c>
      <c r="M651" s="4" t="s">
        <v>537</v>
      </c>
      <c r="N651" s="4" t="s">
        <v>537</v>
      </c>
      <c r="O651" s="4" t="s">
        <v>537</v>
      </c>
      <c r="P651" s="4" t="s">
        <v>537</v>
      </c>
      <c r="Q651" s="205" t="s">
        <v>2276</v>
      </c>
      <c r="R651" s="205" t="s">
        <v>2276</v>
      </c>
      <c r="S651" s="205" t="s">
        <v>2276</v>
      </c>
      <c r="T651" s="205" t="s">
        <v>2276</v>
      </c>
      <c r="U651" s="205" t="s">
        <v>2276</v>
      </c>
      <c r="V651" s="205" t="s">
        <v>2276</v>
      </c>
      <c r="W651" s="4" t="s">
        <v>6859</v>
      </c>
    </row>
    <row r="652" spans="1:23" s="204" customFormat="1" ht="49" customHeight="1">
      <c r="A652" s="4" t="s">
        <v>6171</v>
      </c>
      <c r="B652" s="4" t="s">
        <v>6231</v>
      </c>
      <c r="C652" s="205" t="s">
        <v>24</v>
      </c>
      <c r="D652" s="205" t="s">
        <v>25</v>
      </c>
      <c r="E652" s="4" t="s">
        <v>3855</v>
      </c>
      <c r="F652" s="205" t="s">
        <v>29</v>
      </c>
      <c r="G652" s="4"/>
      <c r="H652" s="4" t="s">
        <v>541</v>
      </c>
      <c r="I652" s="4" t="s">
        <v>2276</v>
      </c>
      <c r="J652" s="4" t="s">
        <v>2276</v>
      </c>
      <c r="K652" s="4" t="s">
        <v>2276</v>
      </c>
      <c r="L652" s="4" t="s">
        <v>2276</v>
      </c>
      <c r="M652" s="4" t="s">
        <v>2671</v>
      </c>
      <c r="N652" s="205" t="s">
        <v>2276</v>
      </c>
      <c r="O652" s="4" t="s">
        <v>534</v>
      </c>
      <c r="P652" s="205" t="s">
        <v>2276</v>
      </c>
      <c r="Q652" s="4">
        <v>2</v>
      </c>
      <c r="R652" s="4" t="s">
        <v>537</v>
      </c>
      <c r="S652" s="4" t="s">
        <v>537</v>
      </c>
      <c r="T652" s="4" t="s">
        <v>537</v>
      </c>
      <c r="U652" s="4" t="s">
        <v>537</v>
      </c>
      <c r="V652" s="4" t="s">
        <v>2276</v>
      </c>
      <c r="W652" s="4" t="s">
        <v>6858</v>
      </c>
    </row>
    <row r="653" spans="1:23" s="204" customFormat="1" ht="49" customHeight="1">
      <c r="A653" s="4" t="s">
        <v>6171</v>
      </c>
      <c r="B653" s="4" t="s">
        <v>6799</v>
      </c>
      <c r="C653" s="205" t="s">
        <v>24</v>
      </c>
      <c r="D653" s="205" t="s">
        <v>2659</v>
      </c>
      <c r="E653" s="4" t="s">
        <v>3855</v>
      </c>
      <c r="F653" s="205" t="s">
        <v>28</v>
      </c>
      <c r="G653" s="4"/>
      <c r="H653" s="4" t="s">
        <v>541</v>
      </c>
      <c r="I653" s="4" t="s">
        <v>2276</v>
      </c>
      <c r="J653" s="4" t="s">
        <v>2276</v>
      </c>
      <c r="K653" s="4" t="s">
        <v>2276</v>
      </c>
      <c r="L653" s="4" t="s">
        <v>2276</v>
      </c>
      <c r="M653" s="4" t="s">
        <v>2671</v>
      </c>
      <c r="N653" s="205" t="s">
        <v>2276</v>
      </c>
      <c r="O653" s="4" t="s">
        <v>534</v>
      </c>
      <c r="P653" s="205" t="s">
        <v>2276</v>
      </c>
      <c r="Q653" s="4">
        <v>2</v>
      </c>
      <c r="R653" s="4" t="s">
        <v>537</v>
      </c>
      <c r="S653" s="4" t="s">
        <v>537</v>
      </c>
      <c r="T653" s="4" t="s">
        <v>537</v>
      </c>
      <c r="U653" s="4" t="s">
        <v>537</v>
      </c>
      <c r="V653" s="4" t="s">
        <v>2276</v>
      </c>
      <c r="W653" s="4" t="s">
        <v>6858</v>
      </c>
    </row>
    <row r="654" spans="1:23" s="204" customFormat="1" ht="49" customHeight="1">
      <c r="A654" s="4" t="s">
        <v>6171</v>
      </c>
      <c r="B654" s="4" t="s">
        <v>6800</v>
      </c>
      <c r="C654" s="205" t="s">
        <v>24</v>
      </c>
      <c r="D654" s="205" t="s">
        <v>2659</v>
      </c>
      <c r="E654" s="4" t="s">
        <v>3855</v>
      </c>
      <c r="F654" s="205" t="s">
        <v>28</v>
      </c>
      <c r="G654" s="4"/>
      <c r="H654" s="4" t="s">
        <v>4077</v>
      </c>
      <c r="I654" s="4" t="s">
        <v>2690</v>
      </c>
      <c r="J654" s="4" t="s">
        <v>537</v>
      </c>
      <c r="K654" s="4" t="s">
        <v>534</v>
      </c>
      <c r="L654" s="4" t="s">
        <v>537</v>
      </c>
      <c r="M654" s="4" t="s">
        <v>537</v>
      </c>
      <c r="N654" s="4" t="s">
        <v>537</v>
      </c>
      <c r="O654" s="4" t="s">
        <v>537</v>
      </c>
      <c r="P654" s="4" t="s">
        <v>537</v>
      </c>
      <c r="Q654" s="205" t="s">
        <v>2276</v>
      </c>
      <c r="R654" s="205" t="s">
        <v>2276</v>
      </c>
      <c r="S654" s="205" t="s">
        <v>2276</v>
      </c>
      <c r="T654" s="205" t="s">
        <v>2276</v>
      </c>
      <c r="U654" s="205" t="s">
        <v>2276</v>
      </c>
      <c r="V654" s="205" t="s">
        <v>2276</v>
      </c>
      <c r="W654" s="4" t="s">
        <v>6859</v>
      </c>
    </row>
    <row r="655" spans="1:23" s="204" customFormat="1" ht="49" customHeight="1">
      <c r="A655" s="4" t="s">
        <v>6172</v>
      </c>
      <c r="B655" s="4" t="s">
        <v>6232</v>
      </c>
      <c r="C655" s="205" t="s">
        <v>24</v>
      </c>
      <c r="D655" s="205" t="s">
        <v>25</v>
      </c>
      <c r="E655" s="4" t="s">
        <v>3855</v>
      </c>
      <c r="F655" s="205" t="s">
        <v>29</v>
      </c>
      <c r="G655" s="4"/>
      <c r="H655" s="4" t="s">
        <v>541</v>
      </c>
      <c r="I655" s="4" t="s">
        <v>2276</v>
      </c>
      <c r="J655" s="4" t="s">
        <v>2276</v>
      </c>
      <c r="K655" s="4" t="s">
        <v>2276</v>
      </c>
      <c r="L655" s="4" t="s">
        <v>2276</v>
      </c>
      <c r="M655" s="4" t="s">
        <v>2671</v>
      </c>
      <c r="N655" s="205" t="s">
        <v>2276</v>
      </c>
      <c r="O655" s="4" t="s">
        <v>534</v>
      </c>
      <c r="P655" s="205" t="s">
        <v>2276</v>
      </c>
      <c r="Q655" s="4">
        <v>2</v>
      </c>
      <c r="R655" s="4" t="s">
        <v>537</v>
      </c>
      <c r="S655" s="4" t="s">
        <v>537</v>
      </c>
      <c r="T655" s="4" t="s">
        <v>537</v>
      </c>
      <c r="U655" s="4" t="s">
        <v>537</v>
      </c>
      <c r="V655" s="4" t="s">
        <v>2276</v>
      </c>
      <c r="W655" s="4" t="s">
        <v>6858</v>
      </c>
    </row>
    <row r="656" spans="1:23" s="204" customFormat="1" ht="49" customHeight="1">
      <c r="A656" s="4" t="s">
        <v>6172</v>
      </c>
      <c r="B656" s="4" t="s">
        <v>6805</v>
      </c>
      <c r="C656" s="205" t="s">
        <v>24</v>
      </c>
      <c r="D656" s="205" t="s">
        <v>2659</v>
      </c>
      <c r="E656" s="4" t="s">
        <v>3855</v>
      </c>
      <c r="F656" s="205" t="s">
        <v>28</v>
      </c>
      <c r="G656" s="4"/>
      <c r="H656" s="4" t="s">
        <v>541</v>
      </c>
      <c r="I656" s="4" t="s">
        <v>2276</v>
      </c>
      <c r="J656" s="4" t="s">
        <v>2276</v>
      </c>
      <c r="K656" s="4" t="s">
        <v>2276</v>
      </c>
      <c r="L656" s="4" t="s">
        <v>2276</v>
      </c>
      <c r="M656" s="4" t="s">
        <v>2671</v>
      </c>
      <c r="N656" s="205" t="s">
        <v>2276</v>
      </c>
      <c r="O656" s="4" t="s">
        <v>534</v>
      </c>
      <c r="P656" s="205" t="s">
        <v>2276</v>
      </c>
      <c r="Q656" s="4">
        <v>2</v>
      </c>
      <c r="R656" s="4" t="s">
        <v>537</v>
      </c>
      <c r="S656" s="4" t="s">
        <v>537</v>
      </c>
      <c r="T656" s="4" t="s">
        <v>537</v>
      </c>
      <c r="U656" s="4" t="s">
        <v>537</v>
      </c>
      <c r="V656" s="4" t="s">
        <v>2276</v>
      </c>
      <c r="W656" s="4" t="s">
        <v>6858</v>
      </c>
    </row>
    <row r="657" spans="1:23" s="204" customFormat="1" ht="49" customHeight="1">
      <c r="A657" s="4" t="s">
        <v>6172</v>
      </c>
      <c r="B657" s="4" t="s">
        <v>6806</v>
      </c>
      <c r="C657" s="205" t="s">
        <v>24</v>
      </c>
      <c r="D657" s="205" t="s">
        <v>2659</v>
      </c>
      <c r="E657" s="4" t="s">
        <v>3855</v>
      </c>
      <c r="F657" s="205" t="s">
        <v>28</v>
      </c>
      <c r="G657" s="4"/>
      <c r="H657" s="4" t="s">
        <v>4077</v>
      </c>
      <c r="I657" s="4" t="s">
        <v>2690</v>
      </c>
      <c r="J657" s="4" t="s">
        <v>537</v>
      </c>
      <c r="K657" s="4" t="s">
        <v>534</v>
      </c>
      <c r="L657" s="4" t="s">
        <v>537</v>
      </c>
      <c r="M657" s="4" t="s">
        <v>537</v>
      </c>
      <c r="N657" s="4" t="s">
        <v>537</v>
      </c>
      <c r="O657" s="4" t="s">
        <v>537</v>
      </c>
      <c r="P657" s="4" t="s">
        <v>537</v>
      </c>
      <c r="Q657" s="205" t="s">
        <v>2276</v>
      </c>
      <c r="R657" s="205" t="s">
        <v>2276</v>
      </c>
      <c r="S657" s="205" t="s">
        <v>2276</v>
      </c>
      <c r="T657" s="205" t="s">
        <v>2276</v>
      </c>
      <c r="U657" s="205" t="s">
        <v>2276</v>
      </c>
      <c r="V657" s="205" t="s">
        <v>2276</v>
      </c>
      <c r="W657" s="4" t="s">
        <v>6859</v>
      </c>
    </row>
    <row r="658" spans="1:23" s="204" customFormat="1" ht="49" customHeight="1">
      <c r="A658" s="4" t="s">
        <v>6173</v>
      </c>
      <c r="B658" s="4" t="s">
        <v>6233</v>
      </c>
      <c r="C658" s="205" t="s">
        <v>24</v>
      </c>
      <c r="D658" s="205" t="s">
        <v>25</v>
      </c>
      <c r="E658" s="4" t="s">
        <v>3855</v>
      </c>
      <c r="F658" s="205" t="s">
        <v>29</v>
      </c>
      <c r="G658" s="4"/>
      <c r="H658" s="4" t="s">
        <v>541</v>
      </c>
      <c r="I658" s="4" t="s">
        <v>2276</v>
      </c>
      <c r="J658" s="4" t="s">
        <v>2276</v>
      </c>
      <c r="K658" s="4" t="s">
        <v>2276</v>
      </c>
      <c r="L658" s="4" t="s">
        <v>2276</v>
      </c>
      <c r="M658" s="4" t="s">
        <v>2671</v>
      </c>
      <c r="N658" s="205" t="s">
        <v>2276</v>
      </c>
      <c r="O658" s="4" t="s">
        <v>534</v>
      </c>
      <c r="P658" s="205" t="s">
        <v>2276</v>
      </c>
      <c r="Q658" s="4">
        <v>2</v>
      </c>
      <c r="R658" s="4" t="s">
        <v>537</v>
      </c>
      <c r="S658" s="4" t="s">
        <v>537</v>
      </c>
      <c r="T658" s="4" t="s">
        <v>537</v>
      </c>
      <c r="U658" s="4" t="s">
        <v>537</v>
      </c>
      <c r="V658" s="4" t="s">
        <v>2276</v>
      </c>
      <c r="W658" s="4" t="s">
        <v>6858</v>
      </c>
    </row>
    <row r="659" spans="1:23" s="204" customFormat="1" ht="49" customHeight="1">
      <c r="A659" s="4" t="s">
        <v>6173</v>
      </c>
      <c r="B659" s="4" t="s">
        <v>6811</v>
      </c>
      <c r="C659" s="205" t="s">
        <v>24</v>
      </c>
      <c r="D659" s="205" t="s">
        <v>2659</v>
      </c>
      <c r="E659" s="4" t="s">
        <v>3855</v>
      </c>
      <c r="F659" s="205" t="s">
        <v>28</v>
      </c>
      <c r="G659" s="4"/>
      <c r="H659" s="4" t="s">
        <v>541</v>
      </c>
      <c r="I659" s="4" t="s">
        <v>2276</v>
      </c>
      <c r="J659" s="4" t="s">
        <v>2276</v>
      </c>
      <c r="K659" s="4" t="s">
        <v>2276</v>
      </c>
      <c r="L659" s="4" t="s">
        <v>2276</v>
      </c>
      <c r="M659" s="4" t="s">
        <v>2671</v>
      </c>
      <c r="N659" s="205" t="s">
        <v>2276</v>
      </c>
      <c r="O659" s="4" t="s">
        <v>534</v>
      </c>
      <c r="P659" s="205" t="s">
        <v>2276</v>
      </c>
      <c r="Q659" s="4">
        <v>2</v>
      </c>
      <c r="R659" s="4" t="s">
        <v>537</v>
      </c>
      <c r="S659" s="4" t="s">
        <v>537</v>
      </c>
      <c r="T659" s="4" t="s">
        <v>537</v>
      </c>
      <c r="U659" s="4" t="s">
        <v>537</v>
      </c>
      <c r="V659" s="4" t="s">
        <v>2276</v>
      </c>
      <c r="W659" s="4" t="s">
        <v>6858</v>
      </c>
    </row>
    <row r="660" spans="1:23" s="204" customFormat="1" ht="49" customHeight="1">
      <c r="A660" s="4" t="s">
        <v>6173</v>
      </c>
      <c r="B660" s="4" t="s">
        <v>6812</v>
      </c>
      <c r="C660" s="205" t="s">
        <v>24</v>
      </c>
      <c r="D660" s="205" t="s">
        <v>2659</v>
      </c>
      <c r="E660" s="4" t="s">
        <v>3855</v>
      </c>
      <c r="F660" s="205" t="s">
        <v>28</v>
      </c>
      <c r="G660" s="4"/>
      <c r="H660" s="4" t="s">
        <v>4077</v>
      </c>
      <c r="I660" s="4" t="s">
        <v>2690</v>
      </c>
      <c r="J660" s="4" t="s">
        <v>537</v>
      </c>
      <c r="K660" s="4" t="s">
        <v>534</v>
      </c>
      <c r="L660" s="4" t="s">
        <v>537</v>
      </c>
      <c r="M660" s="4" t="s">
        <v>537</v>
      </c>
      <c r="N660" s="4" t="s">
        <v>537</v>
      </c>
      <c r="O660" s="4" t="s">
        <v>537</v>
      </c>
      <c r="P660" s="4" t="s">
        <v>537</v>
      </c>
      <c r="Q660" s="205" t="s">
        <v>2276</v>
      </c>
      <c r="R660" s="205" t="s">
        <v>2276</v>
      </c>
      <c r="S660" s="205" t="s">
        <v>2276</v>
      </c>
      <c r="T660" s="205" t="s">
        <v>2276</v>
      </c>
      <c r="U660" s="205" t="s">
        <v>2276</v>
      </c>
      <c r="V660" s="205" t="s">
        <v>2276</v>
      </c>
      <c r="W660" s="4" t="s">
        <v>6859</v>
      </c>
    </row>
    <row r="661" spans="1:23" s="204" customFormat="1" ht="49" customHeight="1">
      <c r="A661" s="4" t="s">
        <v>6174</v>
      </c>
      <c r="B661" s="4" t="s">
        <v>6234</v>
      </c>
      <c r="C661" s="205" t="s">
        <v>24</v>
      </c>
      <c r="D661" s="205" t="s">
        <v>25</v>
      </c>
      <c r="E661" s="4" t="s">
        <v>3855</v>
      </c>
      <c r="F661" s="205" t="s">
        <v>29</v>
      </c>
      <c r="G661" s="4"/>
      <c r="H661" s="4" t="s">
        <v>541</v>
      </c>
      <c r="I661" s="4" t="s">
        <v>2276</v>
      </c>
      <c r="J661" s="4" t="s">
        <v>2276</v>
      </c>
      <c r="K661" s="4" t="s">
        <v>2276</v>
      </c>
      <c r="L661" s="4" t="s">
        <v>2276</v>
      </c>
      <c r="M661" s="4" t="s">
        <v>2671</v>
      </c>
      <c r="N661" s="205" t="s">
        <v>2276</v>
      </c>
      <c r="O661" s="4" t="s">
        <v>534</v>
      </c>
      <c r="P661" s="205" t="s">
        <v>2276</v>
      </c>
      <c r="Q661" s="4">
        <v>2</v>
      </c>
      <c r="R661" s="4" t="s">
        <v>537</v>
      </c>
      <c r="S661" s="4" t="s">
        <v>537</v>
      </c>
      <c r="T661" s="4" t="s">
        <v>537</v>
      </c>
      <c r="U661" s="4" t="s">
        <v>537</v>
      </c>
      <c r="V661" s="4" t="s">
        <v>2276</v>
      </c>
      <c r="W661" s="4" t="s">
        <v>6858</v>
      </c>
    </row>
    <row r="662" spans="1:23" s="204" customFormat="1" ht="49" customHeight="1">
      <c r="A662" s="4" t="s">
        <v>6174</v>
      </c>
      <c r="B662" s="4" t="s">
        <v>6817</v>
      </c>
      <c r="C662" s="205" t="s">
        <v>24</v>
      </c>
      <c r="D662" s="205" t="s">
        <v>2659</v>
      </c>
      <c r="E662" s="4" t="s">
        <v>3855</v>
      </c>
      <c r="F662" s="205" t="s">
        <v>28</v>
      </c>
      <c r="G662" s="4"/>
      <c r="H662" s="4" t="s">
        <v>541</v>
      </c>
      <c r="I662" s="4" t="s">
        <v>2276</v>
      </c>
      <c r="J662" s="4" t="s">
        <v>2276</v>
      </c>
      <c r="K662" s="4" t="s">
        <v>2276</v>
      </c>
      <c r="L662" s="4" t="s">
        <v>2276</v>
      </c>
      <c r="M662" s="4" t="s">
        <v>2671</v>
      </c>
      <c r="N662" s="205" t="s">
        <v>2276</v>
      </c>
      <c r="O662" s="4" t="s">
        <v>534</v>
      </c>
      <c r="P662" s="205" t="s">
        <v>2276</v>
      </c>
      <c r="Q662" s="4">
        <v>2</v>
      </c>
      <c r="R662" s="4" t="s">
        <v>537</v>
      </c>
      <c r="S662" s="4" t="s">
        <v>537</v>
      </c>
      <c r="T662" s="4" t="s">
        <v>537</v>
      </c>
      <c r="U662" s="4" t="s">
        <v>537</v>
      </c>
      <c r="V662" s="4" t="s">
        <v>2276</v>
      </c>
      <c r="W662" s="4" t="s">
        <v>6858</v>
      </c>
    </row>
    <row r="663" spans="1:23" s="204" customFormat="1" ht="49" customHeight="1">
      <c r="A663" s="4" t="s">
        <v>6174</v>
      </c>
      <c r="B663" s="4" t="s">
        <v>6818</v>
      </c>
      <c r="C663" s="205" t="s">
        <v>24</v>
      </c>
      <c r="D663" s="205" t="s">
        <v>2659</v>
      </c>
      <c r="E663" s="4" t="s">
        <v>3855</v>
      </c>
      <c r="F663" s="205" t="s">
        <v>28</v>
      </c>
      <c r="G663" s="4"/>
      <c r="H663" s="4" t="s">
        <v>4077</v>
      </c>
      <c r="I663" s="4" t="s">
        <v>2690</v>
      </c>
      <c r="J663" s="4" t="s">
        <v>537</v>
      </c>
      <c r="K663" s="4" t="s">
        <v>534</v>
      </c>
      <c r="L663" s="4" t="s">
        <v>537</v>
      </c>
      <c r="M663" s="4" t="s">
        <v>537</v>
      </c>
      <c r="N663" s="4" t="s">
        <v>537</v>
      </c>
      <c r="O663" s="4" t="s">
        <v>537</v>
      </c>
      <c r="P663" s="4" t="s">
        <v>537</v>
      </c>
      <c r="Q663" s="205" t="s">
        <v>2276</v>
      </c>
      <c r="R663" s="205" t="s">
        <v>2276</v>
      </c>
      <c r="S663" s="205" t="s">
        <v>2276</v>
      </c>
      <c r="T663" s="205" t="s">
        <v>2276</v>
      </c>
      <c r="U663" s="205" t="s">
        <v>2276</v>
      </c>
      <c r="V663" s="205" t="s">
        <v>2276</v>
      </c>
      <c r="W663" s="4" t="s">
        <v>6859</v>
      </c>
    </row>
    <row r="664" spans="1:23" s="204" customFormat="1" ht="49" customHeight="1">
      <c r="A664" s="4" t="s">
        <v>6175</v>
      </c>
      <c r="B664" s="4" t="s">
        <v>6235</v>
      </c>
      <c r="C664" s="205" t="s">
        <v>24</v>
      </c>
      <c r="D664" s="205" t="s">
        <v>25</v>
      </c>
      <c r="E664" s="4" t="s">
        <v>3855</v>
      </c>
      <c r="F664" s="205" t="s">
        <v>29</v>
      </c>
      <c r="G664" s="4"/>
      <c r="H664" s="4" t="s">
        <v>541</v>
      </c>
      <c r="I664" s="4" t="s">
        <v>2276</v>
      </c>
      <c r="J664" s="4" t="s">
        <v>2276</v>
      </c>
      <c r="K664" s="4" t="s">
        <v>2276</v>
      </c>
      <c r="L664" s="4" t="s">
        <v>2276</v>
      </c>
      <c r="M664" s="4" t="s">
        <v>2671</v>
      </c>
      <c r="N664" s="205" t="s">
        <v>2276</v>
      </c>
      <c r="O664" s="4" t="s">
        <v>534</v>
      </c>
      <c r="P664" s="205" t="s">
        <v>2276</v>
      </c>
      <c r="Q664" s="4">
        <v>2</v>
      </c>
      <c r="R664" s="4" t="s">
        <v>537</v>
      </c>
      <c r="S664" s="4" t="s">
        <v>537</v>
      </c>
      <c r="T664" s="4" t="s">
        <v>537</v>
      </c>
      <c r="U664" s="4" t="s">
        <v>537</v>
      </c>
      <c r="V664" s="4" t="s">
        <v>2276</v>
      </c>
      <c r="W664" s="4" t="s">
        <v>6858</v>
      </c>
    </row>
    <row r="665" spans="1:23" s="204" customFormat="1" ht="49" customHeight="1">
      <c r="A665" s="4" t="s">
        <v>6175</v>
      </c>
      <c r="B665" s="4" t="s">
        <v>6823</v>
      </c>
      <c r="C665" s="205" t="s">
        <v>24</v>
      </c>
      <c r="D665" s="205" t="s">
        <v>2659</v>
      </c>
      <c r="E665" s="4" t="s">
        <v>3855</v>
      </c>
      <c r="F665" s="205" t="s">
        <v>28</v>
      </c>
      <c r="G665" s="4"/>
      <c r="H665" s="4" t="s">
        <v>541</v>
      </c>
      <c r="I665" s="4" t="s">
        <v>2276</v>
      </c>
      <c r="J665" s="4" t="s">
        <v>2276</v>
      </c>
      <c r="K665" s="4" t="s">
        <v>2276</v>
      </c>
      <c r="L665" s="4" t="s">
        <v>2276</v>
      </c>
      <c r="M665" s="4" t="s">
        <v>2671</v>
      </c>
      <c r="N665" s="205" t="s">
        <v>2276</v>
      </c>
      <c r="O665" s="4" t="s">
        <v>534</v>
      </c>
      <c r="P665" s="205" t="s">
        <v>2276</v>
      </c>
      <c r="Q665" s="4">
        <v>2</v>
      </c>
      <c r="R665" s="4" t="s">
        <v>537</v>
      </c>
      <c r="S665" s="4" t="s">
        <v>537</v>
      </c>
      <c r="T665" s="4" t="s">
        <v>537</v>
      </c>
      <c r="U665" s="4" t="s">
        <v>537</v>
      </c>
      <c r="V665" s="4" t="s">
        <v>2276</v>
      </c>
      <c r="W665" s="4" t="s">
        <v>6858</v>
      </c>
    </row>
    <row r="666" spans="1:23" s="204" customFormat="1" ht="49" customHeight="1">
      <c r="A666" s="4" t="s">
        <v>6175</v>
      </c>
      <c r="B666" s="4" t="s">
        <v>6824</v>
      </c>
      <c r="C666" s="205" t="s">
        <v>24</v>
      </c>
      <c r="D666" s="205" t="s">
        <v>2659</v>
      </c>
      <c r="E666" s="4" t="s">
        <v>3855</v>
      </c>
      <c r="F666" s="205" t="s">
        <v>28</v>
      </c>
      <c r="G666" s="4"/>
      <c r="H666" s="4" t="s">
        <v>4077</v>
      </c>
      <c r="I666" s="4" t="s">
        <v>2690</v>
      </c>
      <c r="J666" s="4" t="s">
        <v>537</v>
      </c>
      <c r="K666" s="4" t="s">
        <v>534</v>
      </c>
      <c r="L666" s="4" t="s">
        <v>537</v>
      </c>
      <c r="M666" s="4" t="s">
        <v>537</v>
      </c>
      <c r="N666" s="4" t="s">
        <v>537</v>
      </c>
      <c r="O666" s="4" t="s">
        <v>537</v>
      </c>
      <c r="P666" s="4" t="s">
        <v>537</v>
      </c>
      <c r="Q666" s="205" t="s">
        <v>2276</v>
      </c>
      <c r="R666" s="205" t="s">
        <v>2276</v>
      </c>
      <c r="S666" s="205" t="s">
        <v>2276</v>
      </c>
      <c r="T666" s="205" t="s">
        <v>2276</v>
      </c>
      <c r="U666" s="205" t="s">
        <v>2276</v>
      </c>
      <c r="V666" s="205" t="s">
        <v>2276</v>
      </c>
      <c r="W666" s="4" t="s">
        <v>6859</v>
      </c>
    </row>
    <row r="667" spans="1:23" s="204" customFormat="1" ht="49" customHeight="1">
      <c r="A667" s="4" t="s">
        <v>6176</v>
      </c>
      <c r="B667" s="4" t="s">
        <v>6236</v>
      </c>
      <c r="C667" s="205" t="s">
        <v>24</v>
      </c>
      <c r="D667" s="205" t="s">
        <v>25</v>
      </c>
      <c r="E667" s="4" t="s">
        <v>3855</v>
      </c>
      <c r="F667" s="205" t="s">
        <v>29</v>
      </c>
      <c r="G667" s="4"/>
      <c r="H667" s="4" t="s">
        <v>541</v>
      </c>
      <c r="I667" s="4" t="s">
        <v>2276</v>
      </c>
      <c r="J667" s="4" t="s">
        <v>2276</v>
      </c>
      <c r="K667" s="4" t="s">
        <v>2276</v>
      </c>
      <c r="L667" s="4" t="s">
        <v>2276</v>
      </c>
      <c r="M667" s="4" t="s">
        <v>2671</v>
      </c>
      <c r="N667" s="205" t="s">
        <v>2276</v>
      </c>
      <c r="O667" s="4" t="s">
        <v>534</v>
      </c>
      <c r="P667" s="205" t="s">
        <v>2276</v>
      </c>
      <c r="Q667" s="4">
        <v>2</v>
      </c>
      <c r="R667" s="4" t="s">
        <v>537</v>
      </c>
      <c r="S667" s="4" t="s">
        <v>537</v>
      </c>
      <c r="T667" s="4" t="s">
        <v>537</v>
      </c>
      <c r="U667" s="4" t="s">
        <v>537</v>
      </c>
      <c r="V667" s="4" t="s">
        <v>2276</v>
      </c>
      <c r="W667" s="4" t="s">
        <v>6858</v>
      </c>
    </row>
    <row r="668" spans="1:23" s="204" customFormat="1" ht="49" customHeight="1">
      <c r="A668" s="4" t="s">
        <v>6176</v>
      </c>
      <c r="B668" s="4" t="s">
        <v>6829</v>
      </c>
      <c r="C668" s="205" t="s">
        <v>24</v>
      </c>
      <c r="D668" s="205" t="s">
        <v>2659</v>
      </c>
      <c r="E668" s="4" t="s">
        <v>3855</v>
      </c>
      <c r="F668" s="205" t="s">
        <v>28</v>
      </c>
      <c r="G668" s="4"/>
      <c r="H668" s="4" t="s">
        <v>541</v>
      </c>
      <c r="I668" s="4" t="s">
        <v>2276</v>
      </c>
      <c r="J668" s="4" t="s">
        <v>2276</v>
      </c>
      <c r="K668" s="4" t="s">
        <v>2276</v>
      </c>
      <c r="L668" s="4" t="s">
        <v>2276</v>
      </c>
      <c r="M668" s="4" t="s">
        <v>2671</v>
      </c>
      <c r="N668" s="205" t="s">
        <v>2276</v>
      </c>
      <c r="O668" s="4" t="s">
        <v>534</v>
      </c>
      <c r="P668" s="205" t="s">
        <v>2276</v>
      </c>
      <c r="Q668" s="4">
        <v>2</v>
      </c>
      <c r="R668" s="4" t="s">
        <v>537</v>
      </c>
      <c r="S668" s="4" t="s">
        <v>537</v>
      </c>
      <c r="T668" s="4" t="s">
        <v>537</v>
      </c>
      <c r="U668" s="4" t="s">
        <v>537</v>
      </c>
      <c r="V668" s="4" t="s">
        <v>2276</v>
      </c>
      <c r="W668" s="4" t="s">
        <v>6858</v>
      </c>
    </row>
    <row r="669" spans="1:23" s="204" customFormat="1" ht="49" customHeight="1">
      <c r="A669" s="4" t="s">
        <v>6176</v>
      </c>
      <c r="B669" s="4" t="s">
        <v>6830</v>
      </c>
      <c r="C669" s="205" t="s">
        <v>24</v>
      </c>
      <c r="D669" s="205" t="s">
        <v>2659</v>
      </c>
      <c r="E669" s="4" t="s">
        <v>3855</v>
      </c>
      <c r="F669" s="205" t="s">
        <v>28</v>
      </c>
      <c r="G669" s="4"/>
      <c r="H669" s="4" t="s">
        <v>4077</v>
      </c>
      <c r="I669" s="4" t="s">
        <v>2690</v>
      </c>
      <c r="J669" s="4" t="s">
        <v>537</v>
      </c>
      <c r="K669" s="4" t="s">
        <v>534</v>
      </c>
      <c r="L669" s="4" t="s">
        <v>537</v>
      </c>
      <c r="M669" s="4" t="s">
        <v>537</v>
      </c>
      <c r="N669" s="4" t="s">
        <v>537</v>
      </c>
      <c r="O669" s="4" t="s">
        <v>537</v>
      </c>
      <c r="P669" s="4" t="s">
        <v>537</v>
      </c>
      <c r="Q669" s="205" t="s">
        <v>2276</v>
      </c>
      <c r="R669" s="205" t="s">
        <v>2276</v>
      </c>
      <c r="S669" s="205" t="s">
        <v>2276</v>
      </c>
      <c r="T669" s="205" t="s">
        <v>2276</v>
      </c>
      <c r="U669" s="205" t="s">
        <v>2276</v>
      </c>
      <c r="V669" s="205" t="s">
        <v>2276</v>
      </c>
      <c r="W669" s="4" t="s">
        <v>6859</v>
      </c>
    </row>
    <row r="670" spans="1:23" s="204" customFormat="1" ht="49" customHeight="1">
      <c r="A670" s="4" t="s">
        <v>6177</v>
      </c>
      <c r="B670" s="4" t="s">
        <v>6237</v>
      </c>
      <c r="C670" s="205" t="s">
        <v>24</v>
      </c>
      <c r="D670" s="205" t="s">
        <v>25</v>
      </c>
      <c r="E670" s="4" t="s">
        <v>3855</v>
      </c>
      <c r="F670" s="205" t="s">
        <v>29</v>
      </c>
      <c r="G670" s="4"/>
      <c r="H670" s="4" t="s">
        <v>541</v>
      </c>
      <c r="I670" s="4" t="s">
        <v>2276</v>
      </c>
      <c r="J670" s="4" t="s">
        <v>2276</v>
      </c>
      <c r="K670" s="4" t="s">
        <v>2276</v>
      </c>
      <c r="L670" s="4" t="s">
        <v>2276</v>
      </c>
      <c r="M670" s="4" t="s">
        <v>2671</v>
      </c>
      <c r="N670" s="205" t="s">
        <v>2276</v>
      </c>
      <c r="O670" s="4" t="s">
        <v>534</v>
      </c>
      <c r="P670" s="205" t="s">
        <v>2276</v>
      </c>
      <c r="Q670" s="4">
        <v>2</v>
      </c>
      <c r="R670" s="4" t="s">
        <v>537</v>
      </c>
      <c r="S670" s="4" t="s">
        <v>537</v>
      </c>
      <c r="T670" s="4" t="s">
        <v>537</v>
      </c>
      <c r="U670" s="4" t="s">
        <v>537</v>
      </c>
      <c r="V670" s="4" t="s">
        <v>2276</v>
      </c>
      <c r="W670" s="4" t="s">
        <v>6858</v>
      </c>
    </row>
    <row r="671" spans="1:23" s="204" customFormat="1" ht="49" customHeight="1">
      <c r="A671" s="4" t="s">
        <v>6177</v>
      </c>
      <c r="B671" s="4" t="s">
        <v>6835</v>
      </c>
      <c r="C671" s="205" t="s">
        <v>24</v>
      </c>
      <c r="D671" s="205" t="s">
        <v>2659</v>
      </c>
      <c r="E671" s="4" t="s">
        <v>3855</v>
      </c>
      <c r="F671" s="205" t="s">
        <v>28</v>
      </c>
      <c r="G671" s="4"/>
      <c r="H671" s="4" t="s">
        <v>541</v>
      </c>
      <c r="I671" s="4" t="s">
        <v>2276</v>
      </c>
      <c r="J671" s="4" t="s">
        <v>2276</v>
      </c>
      <c r="K671" s="4" t="s">
        <v>2276</v>
      </c>
      <c r="L671" s="4" t="s">
        <v>2276</v>
      </c>
      <c r="M671" s="4" t="s">
        <v>2671</v>
      </c>
      <c r="N671" s="205" t="s">
        <v>2276</v>
      </c>
      <c r="O671" s="4" t="s">
        <v>534</v>
      </c>
      <c r="P671" s="205" t="s">
        <v>2276</v>
      </c>
      <c r="Q671" s="4">
        <v>2</v>
      </c>
      <c r="R671" s="4" t="s">
        <v>537</v>
      </c>
      <c r="S671" s="4" t="s">
        <v>537</v>
      </c>
      <c r="T671" s="4" t="s">
        <v>537</v>
      </c>
      <c r="U671" s="4" t="s">
        <v>537</v>
      </c>
      <c r="V671" s="4" t="s">
        <v>2276</v>
      </c>
      <c r="W671" s="4" t="s">
        <v>6858</v>
      </c>
    </row>
    <row r="672" spans="1:23" s="204" customFormat="1" ht="49" customHeight="1">
      <c r="A672" s="4" t="s">
        <v>6177</v>
      </c>
      <c r="B672" s="4" t="s">
        <v>6836</v>
      </c>
      <c r="C672" s="205" t="s">
        <v>24</v>
      </c>
      <c r="D672" s="205" t="s">
        <v>2659</v>
      </c>
      <c r="E672" s="4" t="s">
        <v>3855</v>
      </c>
      <c r="F672" s="205" t="s">
        <v>28</v>
      </c>
      <c r="G672" s="4"/>
      <c r="H672" s="4" t="s">
        <v>4077</v>
      </c>
      <c r="I672" s="4" t="s">
        <v>2690</v>
      </c>
      <c r="J672" s="4" t="s">
        <v>537</v>
      </c>
      <c r="K672" s="4" t="s">
        <v>534</v>
      </c>
      <c r="L672" s="4" t="s">
        <v>537</v>
      </c>
      <c r="M672" s="4" t="s">
        <v>537</v>
      </c>
      <c r="N672" s="4" t="s">
        <v>537</v>
      </c>
      <c r="O672" s="4" t="s">
        <v>537</v>
      </c>
      <c r="P672" s="4" t="s">
        <v>537</v>
      </c>
      <c r="Q672" s="205" t="s">
        <v>2276</v>
      </c>
      <c r="R672" s="205" t="s">
        <v>2276</v>
      </c>
      <c r="S672" s="205" t="s">
        <v>2276</v>
      </c>
      <c r="T672" s="205" t="s">
        <v>2276</v>
      </c>
      <c r="U672" s="205" t="s">
        <v>2276</v>
      </c>
      <c r="V672" s="205" t="s">
        <v>2276</v>
      </c>
      <c r="W672" s="4" t="s">
        <v>6859</v>
      </c>
    </row>
    <row r="673" spans="1:23" s="204" customFormat="1" ht="49" customHeight="1">
      <c r="A673" s="4" t="s">
        <v>6178</v>
      </c>
      <c r="B673" s="4" t="s">
        <v>6238</v>
      </c>
      <c r="C673" s="205" t="s">
        <v>24</v>
      </c>
      <c r="D673" s="205" t="s">
        <v>25</v>
      </c>
      <c r="E673" s="4" t="s">
        <v>3855</v>
      </c>
      <c r="F673" s="205" t="s">
        <v>29</v>
      </c>
      <c r="G673" s="4"/>
      <c r="H673" s="4" t="s">
        <v>541</v>
      </c>
      <c r="I673" s="4" t="s">
        <v>2276</v>
      </c>
      <c r="J673" s="4" t="s">
        <v>2276</v>
      </c>
      <c r="K673" s="4" t="s">
        <v>2276</v>
      </c>
      <c r="L673" s="4" t="s">
        <v>2276</v>
      </c>
      <c r="M673" s="4" t="s">
        <v>2671</v>
      </c>
      <c r="N673" s="205" t="s">
        <v>2276</v>
      </c>
      <c r="O673" s="4" t="s">
        <v>534</v>
      </c>
      <c r="P673" s="205" t="s">
        <v>2276</v>
      </c>
      <c r="Q673" s="4">
        <v>2</v>
      </c>
      <c r="R673" s="4" t="s">
        <v>537</v>
      </c>
      <c r="S673" s="4" t="s">
        <v>537</v>
      </c>
      <c r="T673" s="4" t="s">
        <v>537</v>
      </c>
      <c r="U673" s="4" t="s">
        <v>537</v>
      </c>
      <c r="V673" s="4" t="s">
        <v>2276</v>
      </c>
      <c r="W673" s="4" t="s">
        <v>6858</v>
      </c>
    </row>
    <row r="674" spans="1:23" s="204" customFormat="1" ht="49" customHeight="1">
      <c r="A674" s="4" t="s">
        <v>6178</v>
      </c>
      <c r="B674" s="4" t="s">
        <v>6841</v>
      </c>
      <c r="C674" s="205" t="s">
        <v>24</v>
      </c>
      <c r="D674" s="205" t="s">
        <v>2659</v>
      </c>
      <c r="E674" s="4" t="s">
        <v>3855</v>
      </c>
      <c r="F674" s="205" t="s">
        <v>28</v>
      </c>
      <c r="G674" s="4"/>
      <c r="H674" s="4" t="s">
        <v>541</v>
      </c>
      <c r="I674" s="4" t="s">
        <v>2276</v>
      </c>
      <c r="J674" s="4" t="s">
        <v>2276</v>
      </c>
      <c r="K674" s="4" t="s">
        <v>2276</v>
      </c>
      <c r="L674" s="4" t="s">
        <v>2276</v>
      </c>
      <c r="M674" s="4" t="s">
        <v>2671</v>
      </c>
      <c r="N674" s="205" t="s">
        <v>2276</v>
      </c>
      <c r="O674" s="4" t="s">
        <v>534</v>
      </c>
      <c r="P674" s="205" t="s">
        <v>2276</v>
      </c>
      <c r="Q674" s="4">
        <v>2</v>
      </c>
      <c r="R674" s="4" t="s">
        <v>537</v>
      </c>
      <c r="S674" s="4" t="s">
        <v>537</v>
      </c>
      <c r="T674" s="4" t="s">
        <v>537</v>
      </c>
      <c r="U674" s="4" t="s">
        <v>537</v>
      </c>
      <c r="V674" s="4" t="s">
        <v>2276</v>
      </c>
      <c r="W674" s="4" t="s">
        <v>6858</v>
      </c>
    </row>
    <row r="675" spans="1:23" s="204" customFormat="1" ht="49" customHeight="1">
      <c r="A675" s="4" t="s">
        <v>6178</v>
      </c>
      <c r="B675" s="4" t="s">
        <v>6842</v>
      </c>
      <c r="C675" s="205" t="s">
        <v>24</v>
      </c>
      <c r="D675" s="205" t="s">
        <v>2659</v>
      </c>
      <c r="E675" s="4" t="s">
        <v>3855</v>
      </c>
      <c r="F675" s="205" t="s">
        <v>28</v>
      </c>
      <c r="G675" s="4"/>
      <c r="H675" s="4" t="s">
        <v>4077</v>
      </c>
      <c r="I675" s="4" t="s">
        <v>2690</v>
      </c>
      <c r="J675" s="4" t="s">
        <v>537</v>
      </c>
      <c r="K675" s="4" t="s">
        <v>534</v>
      </c>
      <c r="L675" s="4" t="s">
        <v>537</v>
      </c>
      <c r="M675" s="4" t="s">
        <v>537</v>
      </c>
      <c r="N675" s="4" t="s">
        <v>537</v>
      </c>
      <c r="O675" s="4" t="s">
        <v>537</v>
      </c>
      <c r="P675" s="4" t="s">
        <v>537</v>
      </c>
      <c r="Q675" s="205" t="s">
        <v>2276</v>
      </c>
      <c r="R675" s="205" t="s">
        <v>2276</v>
      </c>
      <c r="S675" s="205" t="s">
        <v>2276</v>
      </c>
      <c r="T675" s="205" t="s">
        <v>2276</v>
      </c>
      <c r="U675" s="205" t="s">
        <v>2276</v>
      </c>
      <c r="V675" s="205" t="s">
        <v>2276</v>
      </c>
      <c r="W675" s="4" t="s">
        <v>6859</v>
      </c>
    </row>
    <row r="676" spans="1:23" s="204" customFormat="1" ht="49" customHeight="1">
      <c r="A676" s="4" t="s">
        <v>6179</v>
      </c>
      <c r="B676" s="4" t="s">
        <v>6239</v>
      </c>
      <c r="C676" s="205" t="s">
        <v>24</v>
      </c>
      <c r="D676" s="205" t="s">
        <v>25</v>
      </c>
      <c r="E676" s="4" t="s">
        <v>3855</v>
      </c>
      <c r="F676" s="205" t="s">
        <v>29</v>
      </c>
      <c r="G676" s="4"/>
      <c r="H676" s="4" t="s">
        <v>541</v>
      </c>
      <c r="I676" s="4" t="s">
        <v>2276</v>
      </c>
      <c r="J676" s="4" t="s">
        <v>2276</v>
      </c>
      <c r="K676" s="4" t="s">
        <v>2276</v>
      </c>
      <c r="L676" s="4" t="s">
        <v>2276</v>
      </c>
      <c r="M676" s="4" t="s">
        <v>2671</v>
      </c>
      <c r="N676" s="205" t="s">
        <v>2276</v>
      </c>
      <c r="O676" s="4" t="s">
        <v>534</v>
      </c>
      <c r="P676" s="205" t="s">
        <v>2276</v>
      </c>
      <c r="Q676" s="4">
        <v>2</v>
      </c>
      <c r="R676" s="4" t="s">
        <v>537</v>
      </c>
      <c r="S676" s="4" t="s">
        <v>537</v>
      </c>
      <c r="T676" s="4" t="s">
        <v>537</v>
      </c>
      <c r="U676" s="4" t="s">
        <v>537</v>
      </c>
      <c r="V676" s="4" t="s">
        <v>2276</v>
      </c>
      <c r="W676" s="4" t="s">
        <v>6858</v>
      </c>
    </row>
    <row r="677" spans="1:23" s="204" customFormat="1" ht="49" customHeight="1">
      <c r="A677" s="4" t="s">
        <v>6179</v>
      </c>
      <c r="B677" s="4" t="s">
        <v>6847</v>
      </c>
      <c r="C677" s="205" t="s">
        <v>24</v>
      </c>
      <c r="D677" s="205" t="s">
        <v>2659</v>
      </c>
      <c r="E677" s="4" t="s">
        <v>3855</v>
      </c>
      <c r="F677" s="205" t="s">
        <v>28</v>
      </c>
      <c r="G677" s="4"/>
      <c r="H677" s="4" t="s">
        <v>541</v>
      </c>
      <c r="I677" s="4" t="s">
        <v>2276</v>
      </c>
      <c r="J677" s="4" t="s">
        <v>2276</v>
      </c>
      <c r="K677" s="4" t="s">
        <v>2276</v>
      </c>
      <c r="L677" s="4" t="s">
        <v>2276</v>
      </c>
      <c r="M677" s="4" t="s">
        <v>2671</v>
      </c>
      <c r="N677" s="205" t="s">
        <v>2276</v>
      </c>
      <c r="O677" s="4" t="s">
        <v>534</v>
      </c>
      <c r="P677" s="205" t="s">
        <v>2276</v>
      </c>
      <c r="Q677" s="4">
        <v>2</v>
      </c>
      <c r="R677" s="4" t="s">
        <v>537</v>
      </c>
      <c r="S677" s="4" t="s">
        <v>537</v>
      </c>
      <c r="T677" s="4" t="s">
        <v>537</v>
      </c>
      <c r="U677" s="4" t="s">
        <v>537</v>
      </c>
      <c r="V677" s="4" t="s">
        <v>2276</v>
      </c>
      <c r="W677" s="4" t="s">
        <v>6858</v>
      </c>
    </row>
    <row r="678" spans="1:23" s="204" customFormat="1" ht="49" customHeight="1">
      <c r="A678" s="4" t="s">
        <v>6179</v>
      </c>
      <c r="B678" s="4" t="s">
        <v>6848</v>
      </c>
      <c r="C678" s="205" t="s">
        <v>24</v>
      </c>
      <c r="D678" s="205" t="s">
        <v>2659</v>
      </c>
      <c r="E678" s="4" t="s">
        <v>3855</v>
      </c>
      <c r="F678" s="205" t="s">
        <v>28</v>
      </c>
      <c r="G678" s="4"/>
      <c r="H678" s="4" t="s">
        <v>4077</v>
      </c>
      <c r="I678" s="4" t="s">
        <v>2690</v>
      </c>
      <c r="J678" s="4" t="s">
        <v>537</v>
      </c>
      <c r="K678" s="4" t="s">
        <v>534</v>
      </c>
      <c r="L678" s="4" t="s">
        <v>537</v>
      </c>
      <c r="M678" s="4" t="s">
        <v>537</v>
      </c>
      <c r="N678" s="4" t="s">
        <v>537</v>
      </c>
      <c r="O678" s="4" t="s">
        <v>537</v>
      </c>
      <c r="P678" s="4" t="s">
        <v>537</v>
      </c>
      <c r="Q678" s="205" t="s">
        <v>2276</v>
      </c>
      <c r="R678" s="205" t="s">
        <v>2276</v>
      </c>
      <c r="S678" s="205" t="s">
        <v>2276</v>
      </c>
      <c r="T678" s="205" t="s">
        <v>2276</v>
      </c>
      <c r="U678" s="205" t="s">
        <v>2276</v>
      </c>
      <c r="V678" s="205" t="s">
        <v>2276</v>
      </c>
      <c r="W678" s="4" t="s">
        <v>6859</v>
      </c>
    </row>
    <row r="679" spans="1:23" ht="29">
      <c r="A679" s="19" t="s">
        <v>6378</v>
      </c>
      <c r="B679" s="19" t="s">
        <v>6475</v>
      </c>
      <c r="C679" s="19" t="s">
        <v>24</v>
      </c>
      <c r="D679" s="19" t="s">
        <v>397</v>
      </c>
      <c r="E679" s="19" t="s">
        <v>2659</v>
      </c>
      <c r="F679" s="19" t="s">
        <v>28</v>
      </c>
      <c r="G679" s="19"/>
      <c r="H679" s="19" t="s">
        <v>2673</v>
      </c>
      <c r="I679" s="19" t="s">
        <v>2276</v>
      </c>
      <c r="J679" s="19" t="s">
        <v>2276</v>
      </c>
      <c r="K679" s="19" t="s">
        <v>2276</v>
      </c>
      <c r="L679" s="19" t="s">
        <v>2276</v>
      </c>
      <c r="M679" s="19" t="s">
        <v>2276</v>
      </c>
      <c r="N679" s="19" t="s">
        <v>2276</v>
      </c>
      <c r="O679" s="19" t="s">
        <v>2276</v>
      </c>
      <c r="P679" s="19" t="s">
        <v>2276</v>
      </c>
      <c r="Q679" s="19" t="s">
        <v>2276</v>
      </c>
      <c r="R679" s="19" t="s">
        <v>534</v>
      </c>
      <c r="S679" s="19" t="s">
        <v>2276</v>
      </c>
      <c r="T679" s="19" t="s">
        <v>2276</v>
      </c>
      <c r="U679" s="19" t="s">
        <v>2276</v>
      </c>
      <c r="V679" s="19">
        <v>2</v>
      </c>
      <c r="W679" s="26" t="s">
        <v>7120</v>
      </c>
    </row>
    <row r="680" spans="1:23" ht="29">
      <c r="A680" s="4" t="s">
        <v>6348</v>
      </c>
      <c r="B680" s="4" t="s">
        <v>6687</v>
      </c>
      <c r="C680" s="4" t="s">
        <v>24</v>
      </c>
      <c r="D680" s="4" t="s">
        <v>130</v>
      </c>
      <c r="E680" s="4" t="s">
        <v>2661</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6600</v>
      </c>
    </row>
    <row r="681" spans="1:23" ht="29">
      <c r="A681" s="4" t="s">
        <v>6348</v>
      </c>
      <c r="B681" s="4" t="s">
        <v>6688</v>
      </c>
      <c r="C681" s="4" t="s">
        <v>24</v>
      </c>
      <c r="D681" s="4" t="s">
        <v>396</v>
      </c>
      <c r="E681" s="4" t="s">
        <v>27</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6600</v>
      </c>
    </row>
    <row r="682" spans="1:23" ht="29">
      <c r="A682" s="4" t="s">
        <v>6348</v>
      </c>
      <c r="B682" s="4" t="s">
        <v>6689</v>
      </c>
      <c r="C682" s="4" t="s">
        <v>24</v>
      </c>
      <c r="D682" s="4" t="s">
        <v>396</v>
      </c>
      <c r="E682" s="4" t="s">
        <v>2659</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6600</v>
      </c>
    </row>
    <row r="683" spans="1:23" ht="29">
      <c r="A683" s="4" t="s">
        <v>6348</v>
      </c>
      <c r="B683" s="4" t="s">
        <v>6690</v>
      </c>
      <c r="C683" s="4" t="s">
        <v>24</v>
      </c>
      <c r="D683" s="4" t="s">
        <v>397</v>
      </c>
      <c r="E683" s="4" t="s">
        <v>27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6600</v>
      </c>
    </row>
    <row r="684" spans="1:23" ht="29">
      <c r="A684" s="4" t="s">
        <v>6348</v>
      </c>
      <c r="B684" s="4" t="s">
        <v>6691</v>
      </c>
      <c r="C684" s="4" t="s">
        <v>24</v>
      </c>
      <c r="D684" s="4" t="s">
        <v>397</v>
      </c>
      <c r="E684" s="4" t="s">
        <v>2659</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6600</v>
      </c>
    </row>
    <row r="685" spans="1:23" ht="29">
      <c r="A685" s="4" t="s">
        <v>6349</v>
      </c>
      <c r="B685" s="4" t="s">
        <v>6533</v>
      </c>
      <c r="C685" s="4" t="s">
        <v>24</v>
      </c>
      <c r="D685" s="4" t="s">
        <v>396</v>
      </c>
      <c r="E685" s="4" t="s">
        <v>2659</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6601</v>
      </c>
    </row>
    <row r="686" spans="1:23" ht="29">
      <c r="A686" s="4" t="s">
        <v>6349</v>
      </c>
      <c r="B686" s="4" t="s">
        <v>6534</v>
      </c>
      <c r="C686" s="4" t="s">
        <v>24</v>
      </c>
      <c r="D686" s="4" t="s">
        <v>396</v>
      </c>
      <c r="E686" s="4" t="s">
        <v>2659</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row>
    <row r="687" spans="1:23" ht="29">
      <c r="A687" s="4" t="s">
        <v>6349</v>
      </c>
      <c r="B687" s="4" t="s">
        <v>6535</v>
      </c>
      <c r="C687" s="4" t="s">
        <v>24</v>
      </c>
      <c r="D687" s="4" t="s">
        <v>396</v>
      </c>
      <c r="E687" s="4" t="s">
        <v>2659</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row>
    <row r="688" spans="1:23" ht="29">
      <c r="A688" s="4" t="s">
        <v>6349</v>
      </c>
      <c r="B688" s="4" t="s">
        <v>6536</v>
      </c>
      <c r="C688" s="4" t="s">
        <v>24</v>
      </c>
      <c r="D688" s="4" t="s">
        <v>397</v>
      </c>
      <c r="E688" s="4" t="s">
        <v>2659</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row>
    <row r="689" spans="1:23" ht="29">
      <c r="A689" s="4" t="s">
        <v>6349</v>
      </c>
      <c r="B689" s="4" t="s">
        <v>6537</v>
      </c>
      <c r="C689" s="4" t="s">
        <v>24</v>
      </c>
      <c r="D689" s="4" t="s">
        <v>397</v>
      </c>
      <c r="E689" s="4" t="s">
        <v>2659</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row>
    <row r="690" spans="1:23" ht="29">
      <c r="A690" s="4" t="s">
        <v>6349</v>
      </c>
      <c r="B690" s="4" t="s">
        <v>6538</v>
      </c>
      <c r="C690" s="4" t="s">
        <v>24</v>
      </c>
      <c r="D690" s="4" t="s">
        <v>397</v>
      </c>
      <c r="E690" s="4" t="s">
        <v>2659</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row>
    <row r="691" spans="1:23" ht="29">
      <c r="A691" s="4" t="s">
        <v>6539</v>
      </c>
      <c r="B691" s="4" t="s">
        <v>6540</v>
      </c>
      <c r="C691" s="4" t="s">
        <v>24</v>
      </c>
      <c r="D691" s="4" t="s">
        <v>396</v>
      </c>
      <c r="E691" s="4" t="s">
        <v>2659</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6601</v>
      </c>
    </row>
    <row r="692" spans="1:23" ht="29">
      <c r="A692" s="4" t="s">
        <v>6539</v>
      </c>
      <c r="B692" s="4" t="s">
        <v>6541</v>
      </c>
      <c r="C692" s="4" t="s">
        <v>24</v>
      </c>
      <c r="D692" s="4" t="s">
        <v>396</v>
      </c>
      <c r="E692" s="4" t="s">
        <v>2659</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row>
    <row r="693" spans="1:23" ht="29">
      <c r="A693" s="4" t="s">
        <v>6539</v>
      </c>
      <c r="B693" s="4" t="s">
        <v>6542</v>
      </c>
      <c r="C693" s="4" t="s">
        <v>24</v>
      </c>
      <c r="D693" s="4" t="s">
        <v>396</v>
      </c>
      <c r="E693" s="4" t="s">
        <v>2659</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row>
    <row r="694" spans="1:23" ht="29">
      <c r="A694" s="4" t="s">
        <v>6539</v>
      </c>
      <c r="B694" s="4" t="s">
        <v>6543</v>
      </c>
      <c r="C694" s="4" t="s">
        <v>24</v>
      </c>
      <c r="D694" s="4" t="s">
        <v>397</v>
      </c>
      <c r="E694" s="4" t="s">
        <v>2659</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row>
    <row r="695" spans="1:23" ht="29">
      <c r="A695" s="4" t="s">
        <v>6539</v>
      </c>
      <c r="B695" s="4" t="s">
        <v>6544</v>
      </c>
      <c r="C695" s="4" t="s">
        <v>24</v>
      </c>
      <c r="D695" s="4" t="s">
        <v>397</v>
      </c>
      <c r="E695" s="4" t="s">
        <v>2659</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row>
    <row r="696" spans="1:23" ht="29">
      <c r="A696" s="4" t="s">
        <v>6539</v>
      </c>
      <c r="B696" s="4" t="s">
        <v>6545</v>
      </c>
      <c r="C696" s="4" t="s">
        <v>24</v>
      </c>
      <c r="D696" s="4" t="s">
        <v>397</v>
      </c>
      <c r="E696" s="4" t="s">
        <v>2659</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row>
    <row r="697" spans="1:23" ht="29">
      <c r="A697" s="4" t="s">
        <v>6350</v>
      </c>
      <c r="B697" s="4" t="s">
        <v>6546</v>
      </c>
      <c r="C697" s="4" t="s">
        <v>24</v>
      </c>
      <c r="D697" s="4" t="s">
        <v>396</v>
      </c>
      <c r="E697" s="4" t="s">
        <v>2659</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row>
    <row r="698" spans="1:23" ht="29">
      <c r="A698" s="4" t="s">
        <v>6350</v>
      </c>
      <c r="B698" s="4" t="s">
        <v>6547</v>
      </c>
      <c r="C698" s="4" t="s">
        <v>24</v>
      </c>
      <c r="D698" s="4" t="s">
        <v>396</v>
      </c>
      <c r="E698" s="4" t="s">
        <v>2659</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row>
    <row r="699" spans="1:23" ht="29">
      <c r="A699" s="4" t="s">
        <v>6350</v>
      </c>
      <c r="B699" s="4" t="s">
        <v>6548</v>
      </c>
      <c r="C699" s="4" t="s">
        <v>24</v>
      </c>
      <c r="D699" s="4" t="s">
        <v>396</v>
      </c>
      <c r="E699" s="4" t="s">
        <v>2659</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row>
    <row r="700" spans="1:23" ht="29">
      <c r="A700" s="4" t="s">
        <v>6350</v>
      </c>
      <c r="B700" s="4" t="s">
        <v>6549</v>
      </c>
      <c r="C700" s="4" t="s">
        <v>24</v>
      </c>
      <c r="D700" s="4" t="s">
        <v>397</v>
      </c>
      <c r="E700" s="4" t="s">
        <v>2659</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row>
    <row r="701" spans="1:23" ht="29">
      <c r="A701" s="4" t="s">
        <v>6350</v>
      </c>
      <c r="B701" s="4" t="s">
        <v>6550</v>
      </c>
      <c r="C701" s="4" t="s">
        <v>24</v>
      </c>
      <c r="D701" s="4" t="s">
        <v>397</v>
      </c>
      <c r="E701" s="4" t="s">
        <v>2659</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row>
    <row r="702" spans="1:23" ht="29">
      <c r="A702" s="4" t="s">
        <v>6350</v>
      </c>
      <c r="B702" s="4" t="s">
        <v>6551</v>
      </c>
      <c r="C702" s="4" t="s">
        <v>24</v>
      </c>
      <c r="D702" s="4" t="s">
        <v>397</v>
      </c>
      <c r="E702" s="4" t="s">
        <v>2659</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row>
    <row r="703" spans="1:23" ht="29">
      <c r="A703" s="4" t="s">
        <v>6692</v>
      </c>
      <c r="B703" s="4" t="s">
        <v>6693</v>
      </c>
      <c r="C703" s="4" t="s">
        <v>24</v>
      </c>
      <c r="D703" s="4" t="s">
        <v>396</v>
      </c>
      <c r="E703" s="4" t="s">
        <v>2659</v>
      </c>
      <c r="F703" s="4" t="s">
        <v>28</v>
      </c>
      <c r="G703" s="4"/>
      <c r="H703" s="4" t="s">
        <v>2673</v>
      </c>
      <c r="I703" s="4" t="s">
        <v>2690</v>
      </c>
      <c r="J703" s="4" t="s">
        <v>2276</v>
      </c>
      <c r="K703" s="4" t="s">
        <v>2276</v>
      </c>
      <c r="L703" s="4" t="s">
        <v>534</v>
      </c>
      <c r="M703" s="4" t="s">
        <v>2276</v>
      </c>
      <c r="N703" s="4" t="s">
        <v>2276</v>
      </c>
      <c r="O703" s="4" t="s">
        <v>2276</v>
      </c>
      <c r="P703" s="4" t="s">
        <v>2276</v>
      </c>
      <c r="Q703" s="4" t="s">
        <v>2276</v>
      </c>
      <c r="R703" s="4" t="s">
        <v>534</v>
      </c>
      <c r="S703" s="4" t="s">
        <v>2276</v>
      </c>
      <c r="T703" s="4" t="s">
        <v>2276</v>
      </c>
      <c r="U703" s="4" t="s">
        <v>534</v>
      </c>
      <c r="V703" s="4">
        <v>1</v>
      </c>
      <c r="W703" s="4"/>
    </row>
    <row r="704" spans="1:23" ht="29">
      <c r="A704" s="4" t="s">
        <v>6692</v>
      </c>
      <c r="B704" s="4" t="s">
        <v>6694</v>
      </c>
      <c r="C704" s="4" t="s">
        <v>24</v>
      </c>
      <c r="D704" s="4" t="s">
        <v>396</v>
      </c>
      <c r="E704" s="4" t="s">
        <v>2659</v>
      </c>
      <c r="F704" s="4" t="s">
        <v>28</v>
      </c>
      <c r="G704" s="4"/>
      <c r="H704" s="4" t="s">
        <v>2673</v>
      </c>
      <c r="I704" s="4" t="s">
        <v>2690</v>
      </c>
      <c r="J704" s="4" t="s">
        <v>2276</v>
      </c>
      <c r="K704" s="4" t="s">
        <v>2276</v>
      </c>
      <c r="L704" s="4" t="s">
        <v>534</v>
      </c>
      <c r="M704" s="4" t="s">
        <v>2276</v>
      </c>
      <c r="N704" s="4" t="s">
        <v>2276</v>
      </c>
      <c r="O704" s="4" t="s">
        <v>2276</v>
      </c>
      <c r="P704" s="4" t="s">
        <v>2276</v>
      </c>
      <c r="Q704" s="4" t="s">
        <v>2276</v>
      </c>
      <c r="R704" s="4" t="s">
        <v>534</v>
      </c>
      <c r="S704" s="4" t="s">
        <v>2276</v>
      </c>
      <c r="T704" s="4" t="s">
        <v>2276</v>
      </c>
      <c r="U704" s="4" t="s">
        <v>534</v>
      </c>
      <c r="V704" s="4">
        <v>4</v>
      </c>
      <c r="W704" s="4"/>
    </row>
    <row r="705" spans="1:23" ht="29">
      <c r="A705" s="4" t="s">
        <v>6692</v>
      </c>
      <c r="B705" s="4" t="s">
        <v>6695</v>
      </c>
      <c r="C705" s="4" t="s">
        <v>24</v>
      </c>
      <c r="D705" s="4" t="s">
        <v>396</v>
      </c>
      <c r="E705" s="4" t="s">
        <v>2659</v>
      </c>
      <c r="F705" s="4" t="s">
        <v>28</v>
      </c>
      <c r="G705" s="4"/>
      <c r="H705" s="4" t="s">
        <v>2673</v>
      </c>
      <c r="I705" s="4" t="s">
        <v>2690</v>
      </c>
      <c r="J705" s="4" t="s">
        <v>2276</v>
      </c>
      <c r="K705" s="4" t="s">
        <v>2276</v>
      </c>
      <c r="L705" s="4" t="s">
        <v>534</v>
      </c>
      <c r="M705" s="4" t="s">
        <v>2276</v>
      </c>
      <c r="N705" s="4" t="s">
        <v>2276</v>
      </c>
      <c r="O705" s="4" t="s">
        <v>2276</v>
      </c>
      <c r="P705" s="4" t="s">
        <v>2276</v>
      </c>
      <c r="Q705" s="4" t="s">
        <v>2276</v>
      </c>
      <c r="R705" s="4" t="s">
        <v>534</v>
      </c>
      <c r="S705" s="4" t="s">
        <v>2276</v>
      </c>
      <c r="T705" s="4" t="s">
        <v>2276</v>
      </c>
      <c r="U705" s="4" t="s">
        <v>534</v>
      </c>
      <c r="V705" s="4">
        <v>4</v>
      </c>
      <c r="W705" s="4"/>
    </row>
    <row r="706" spans="1:23" ht="29">
      <c r="A706" s="4" t="s">
        <v>6692</v>
      </c>
      <c r="B706" s="4" t="s">
        <v>6696</v>
      </c>
      <c r="C706" s="4" t="s">
        <v>24</v>
      </c>
      <c r="D706" s="4" t="s">
        <v>397</v>
      </c>
      <c r="E706" s="4" t="s">
        <v>2659</v>
      </c>
      <c r="F706" s="4" t="s">
        <v>28</v>
      </c>
      <c r="G706" s="4"/>
      <c r="H706" s="4" t="s">
        <v>2673</v>
      </c>
      <c r="I706" s="4" t="s">
        <v>2690</v>
      </c>
      <c r="J706" s="4" t="s">
        <v>2276</v>
      </c>
      <c r="K706" s="4" t="s">
        <v>2276</v>
      </c>
      <c r="L706" s="4" t="s">
        <v>534</v>
      </c>
      <c r="M706" s="4" t="s">
        <v>2276</v>
      </c>
      <c r="N706" s="4" t="s">
        <v>2276</v>
      </c>
      <c r="O706" s="4" t="s">
        <v>2276</v>
      </c>
      <c r="P706" s="4" t="s">
        <v>2276</v>
      </c>
      <c r="Q706" s="4" t="s">
        <v>2276</v>
      </c>
      <c r="R706" s="4" t="s">
        <v>534</v>
      </c>
      <c r="S706" s="4" t="s">
        <v>2276</v>
      </c>
      <c r="T706" s="4" t="s">
        <v>2276</v>
      </c>
      <c r="U706" s="4" t="s">
        <v>534</v>
      </c>
      <c r="V706" s="4">
        <v>1</v>
      </c>
      <c r="W706" s="4"/>
    </row>
    <row r="707" spans="1:23" ht="29">
      <c r="A707" s="4" t="s">
        <v>6692</v>
      </c>
      <c r="B707" s="4" t="s">
        <v>6697</v>
      </c>
      <c r="C707" s="4" t="s">
        <v>24</v>
      </c>
      <c r="D707" s="4" t="s">
        <v>397</v>
      </c>
      <c r="E707" s="4" t="s">
        <v>2659</v>
      </c>
      <c r="F707" s="4" t="s">
        <v>28</v>
      </c>
      <c r="G707" s="4"/>
      <c r="H707" s="4" t="s">
        <v>2673</v>
      </c>
      <c r="I707" s="4" t="s">
        <v>2690</v>
      </c>
      <c r="J707" s="4" t="s">
        <v>2276</v>
      </c>
      <c r="K707" s="4" t="s">
        <v>2276</v>
      </c>
      <c r="L707" s="4" t="s">
        <v>534</v>
      </c>
      <c r="M707" s="4" t="s">
        <v>2276</v>
      </c>
      <c r="N707" s="4" t="s">
        <v>2276</v>
      </c>
      <c r="O707" s="4" t="s">
        <v>2276</v>
      </c>
      <c r="P707" s="4" t="s">
        <v>2276</v>
      </c>
      <c r="Q707" s="4" t="s">
        <v>2276</v>
      </c>
      <c r="R707" s="4" t="s">
        <v>534</v>
      </c>
      <c r="S707" s="4" t="s">
        <v>2276</v>
      </c>
      <c r="T707" s="4" t="s">
        <v>2276</v>
      </c>
      <c r="U707" s="4" t="s">
        <v>534</v>
      </c>
      <c r="V707" s="4">
        <v>4</v>
      </c>
      <c r="W707" s="4"/>
    </row>
    <row r="708" spans="1:23" ht="29">
      <c r="A708" s="4" t="s">
        <v>6692</v>
      </c>
      <c r="B708" s="4" t="s">
        <v>6698</v>
      </c>
      <c r="C708" s="4" t="s">
        <v>24</v>
      </c>
      <c r="D708" s="4" t="s">
        <v>397</v>
      </c>
      <c r="E708" s="4" t="s">
        <v>2659</v>
      </c>
      <c r="F708" s="4" t="s">
        <v>28</v>
      </c>
      <c r="G708" s="4"/>
      <c r="H708" s="4" t="s">
        <v>2673</v>
      </c>
      <c r="I708" s="4" t="s">
        <v>2690</v>
      </c>
      <c r="J708" s="4" t="s">
        <v>2276</v>
      </c>
      <c r="K708" s="4" t="s">
        <v>2276</v>
      </c>
      <c r="L708" s="4" t="s">
        <v>534</v>
      </c>
      <c r="M708" s="4" t="s">
        <v>2276</v>
      </c>
      <c r="N708" s="4" t="s">
        <v>2276</v>
      </c>
      <c r="O708" s="4" t="s">
        <v>2276</v>
      </c>
      <c r="P708" s="4" t="s">
        <v>2276</v>
      </c>
      <c r="Q708" s="4" t="s">
        <v>2276</v>
      </c>
      <c r="R708" s="4" t="s">
        <v>534</v>
      </c>
      <c r="S708" s="4" t="s">
        <v>2276</v>
      </c>
      <c r="T708" s="4" t="s">
        <v>2276</v>
      </c>
      <c r="U708" s="4" t="s">
        <v>534</v>
      </c>
      <c r="V708" s="4">
        <v>4</v>
      </c>
      <c r="W708" s="4"/>
    </row>
    <row r="709" spans="1:23" ht="29">
      <c r="A709" s="4" t="s">
        <v>6352</v>
      </c>
      <c r="B709" s="4" t="s">
        <v>6558</v>
      </c>
      <c r="C709" s="4" t="s">
        <v>24</v>
      </c>
      <c r="D709" s="4" t="s">
        <v>396</v>
      </c>
      <c r="E709" s="4" t="s">
        <v>2659</v>
      </c>
      <c r="F709" s="4" t="s">
        <v>28</v>
      </c>
      <c r="G709" s="4"/>
      <c r="H709" s="4" t="s">
        <v>2673</v>
      </c>
      <c r="I709" s="4" t="s">
        <v>2690</v>
      </c>
      <c r="J709" s="4" t="s">
        <v>2276</v>
      </c>
      <c r="K709" s="4" t="s">
        <v>2276</v>
      </c>
      <c r="L709" s="4" t="s">
        <v>534</v>
      </c>
      <c r="M709" s="4" t="s">
        <v>2276</v>
      </c>
      <c r="N709" s="4" t="s">
        <v>2276</v>
      </c>
      <c r="O709" s="4" t="s">
        <v>2276</v>
      </c>
      <c r="P709" s="4" t="s">
        <v>2276</v>
      </c>
      <c r="Q709" s="4" t="s">
        <v>2276</v>
      </c>
      <c r="R709" s="4" t="s">
        <v>534</v>
      </c>
      <c r="S709" s="4" t="s">
        <v>2276</v>
      </c>
      <c r="T709" s="4" t="s">
        <v>2276</v>
      </c>
      <c r="U709" s="4" t="s">
        <v>534</v>
      </c>
      <c r="V709" s="4">
        <v>1</v>
      </c>
      <c r="W709" s="4"/>
    </row>
    <row r="710" spans="1:23" ht="29">
      <c r="A710" s="4" t="s">
        <v>6352</v>
      </c>
      <c r="B710" s="4" t="s">
        <v>6559</v>
      </c>
      <c r="C710" s="4" t="s">
        <v>24</v>
      </c>
      <c r="D710" s="4" t="s">
        <v>396</v>
      </c>
      <c r="E710" s="4" t="s">
        <v>2659</v>
      </c>
      <c r="F710" s="4" t="s">
        <v>28</v>
      </c>
      <c r="G710" s="4"/>
      <c r="H710" s="4" t="s">
        <v>2673</v>
      </c>
      <c r="I710" s="4" t="s">
        <v>2690</v>
      </c>
      <c r="J710" s="4" t="s">
        <v>2276</v>
      </c>
      <c r="K710" s="4" t="s">
        <v>2276</v>
      </c>
      <c r="L710" s="4" t="s">
        <v>534</v>
      </c>
      <c r="M710" s="4" t="s">
        <v>2276</v>
      </c>
      <c r="N710" s="4" t="s">
        <v>2276</v>
      </c>
      <c r="O710" s="4" t="s">
        <v>2276</v>
      </c>
      <c r="P710" s="4" t="s">
        <v>2276</v>
      </c>
      <c r="Q710" s="4" t="s">
        <v>2276</v>
      </c>
      <c r="R710" s="4" t="s">
        <v>534</v>
      </c>
      <c r="S710" s="4" t="s">
        <v>2276</v>
      </c>
      <c r="T710" s="4" t="s">
        <v>2276</v>
      </c>
      <c r="U710" s="4" t="s">
        <v>534</v>
      </c>
      <c r="V710" s="4">
        <v>4</v>
      </c>
      <c r="W710" s="4"/>
    </row>
    <row r="711" spans="1:23" ht="29">
      <c r="A711" s="4" t="s">
        <v>6352</v>
      </c>
      <c r="B711" s="4" t="s">
        <v>6560</v>
      </c>
      <c r="C711" s="4" t="s">
        <v>24</v>
      </c>
      <c r="D711" s="4" t="s">
        <v>396</v>
      </c>
      <c r="E711" s="4" t="s">
        <v>2659</v>
      </c>
      <c r="F711" s="4" t="s">
        <v>28</v>
      </c>
      <c r="G711" s="4"/>
      <c r="H711" s="4" t="s">
        <v>2673</v>
      </c>
      <c r="I711" s="4" t="s">
        <v>2690</v>
      </c>
      <c r="J711" s="4" t="s">
        <v>2276</v>
      </c>
      <c r="K711" s="4" t="s">
        <v>2276</v>
      </c>
      <c r="L711" s="4" t="s">
        <v>534</v>
      </c>
      <c r="M711" s="4" t="s">
        <v>2276</v>
      </c>
      <c r="N711" s="4" t="s">
        <v>2276</v>
      </c>
      <c r="O711" s="4" t="s">
        <v>2276</v>
      </c>
      <c r="P711" s="4" t="s">
        <v>2276</v>
      </c>
      <c r="Q711" s="4" t="s">
        <v>2276</v>
      </c>
      <c r="R711" s="4" t="s">
        <v>534</v>
      </c>
      <c r="S711" s="4" t="s">
        <v>2276</v>
      </c>
      <c r="T711" s="4" t="s">
        <v>2276</v>
      </c>
      <c r="U711" s="4" t="s">
        <v>534</v>
      </c>
      <c r="V711" s="4">
        <v>4</v>
      </c>
      <c r="W711" s="4"/>
    </row>
    <row r="712" spans="1:23" ht="29">
      <c r="A712" s="4" t="s">
        <v>6352</v>
      </c>
      <c r="B712" s="4" t="s">
        <v>6561</v>
      </c>
      <c r="C712" s="4" t="s">
        <v>24</v>
      </c>
      <c r="D712" s="4" t="s">
        <v>397</v>
      </c>
      <c r="E712" s="4" t="s">
        <v>2659</v>
      </c>
      <c r="F712" s="4" t="s">
        <v>28</v>
      </c>
      <c r="G712" s="4"/>
      <c r="H712" s="4" t="s">
        <v>2673</v>
      </c>
      <c r="I712" s="4" t="s">
        <v>2690</v>
      </c>
      <c r="J712" s="4" t="s">
        <v>2276</v>
      </c>
      <c r="K712" s="4" t="s">
        <v>2276</v>
      </c>
      <c r="L712" s="4" t="s">
        <v>534</v>
      </c>
      <c r="M712" s="4" t="s">
        <v>2276</v>
      </c>
      <c r="N712" s="4" t="s">
        <v>2276</v>
      </c>
      <c r="O712" s="4" t="s">
        <v>2276</v>
      </c>
      <c r="P712" s="4" t="s">
        <v>2276</v>
      </c>
      <c r="Q712" s="4" t="s">
        <v>2276</v>
      </c>
      <c r="R712" s="4" t="s">
        <v>534</v>
      </c>
      <c r="S712" s="4" t="s">
        <v>2276</v>
      </c>
      <c r="T712" s="4" t="s">
        <v>2276</v>
      </c>
      <c r="U712" s="4" t="s">
        <v>534</v>
      </c>
      <c r="V712" s="4">
        <v>1</v>
      </c>
      <c r="W712" s="4"/>
    </row>
    <row r="713" spans="1:23" ht="29">
      <c r="A713" s="4" t="s">
        <v>6352</v>
      </c>
      <c r="B713" s="4" t="s">
        <v>6562</v>
      </c>
      <c r="C713" s="4" t="s">
        <v>24</v>
      </c>
      <c r="D713" s="4" t="s">
        <v>397</v>
      </c>
      <c r="E713" s="4" t="s">
        <v>2659</v>
      </c>
      <c r="F713" s="4" t="s">
        <v>28</v>
      </c>
      <c r="G713" s="4"/>
      <c r="H713" s="4" t="s">
        <v>2673</v>
      </c>
      <c r="I713" s="4" t="s">
        <v>2690</v>
      </c>
      <c r="J713" s="4" t="s">
        <v>2276</v>
      </c>
      <c r="K713" s="4" t="s">
        <v>2276</v>
      </c>
      <c r="L713" s="4" t="s">
        <v>534</v>
      </c>
      <c r="M713" s="4" t="s">
        <v>2276</v>
      </c>
      <c r="N713" s="4" t="s">
        <v>2276</v>
      </c>
      <c r="O713" s="4" t="s">
        <v>2276</v>
      </c>
      <c r="P713" s="4" t="s">
        <v>2276</v>
      </c>
      <c r="Q713" s="4" t="s">
        <v>2276</v>
      </c>
      <c r="R713" s="4" t="s">
        <v>534</v>
      </c>
      <c r="S713" s="4" t="s">
        <v>2276</v>
      </c>
      <c r="T713" s="4" t="s">
        <v>2276</v>
      </c>
      <c r="U713" s="4" t="s">
        <v>534</v>
      </c>
      <c r="V713" s="4">
        <v>4</v>
      </c>
      <c r="W713" s="4"/>
    </row>
    <row r="714" spans="1:23" ht="29">
      <c r="A714" s="4" t="s">
        <v>6352</v>
      </c>
      <c r="B714" s="4" t="s">
        <v>6563</v>
      </c>
      <c r="C714" s="4" t="s">
        <v>24</v>
      </c>
      <c r="D714" s="4" t="s">
        <v>397</v>
      </c>
      <c r="E714" s="4" t="s">
        <v>2659</v>
      </c>
      <c r="F714" s="4" t="s">
        <v>28</v>
      </c>
      <c r="G714" s="4"/>
      <c r="H714" s="4" t="s">
        <v>2673</v>
      </c>
      <c r="I714" s="4" t="s">
        <v>2690</v>
      </c>
      <c r="J714" s="4" t="s">
        <v>2276</v>
      </c>
      <c r="K714" s="4" t="s">
        <v>2276</v>
      </c>
      <c r="L714" s="4" t="s">
        <v>534</v>
      </c>
      <c r="M714" s="4" t="s">
        <v>2276</v>
      </c>
      <c r="N714" s="4" t="s">
        <v>2276</v>
      </c>
      <c r="O714" s="4" t="s">
        <v>2276</v>
      </c>
      <c r="P714" s="4" t="s">
        <v>2276</v>
      </c>
      <c r="Q714" s="4" t="s">
        <v>2276</v>
      </c>
      <c r="R714" s="4" t="s">
        <v>534</v>
      </c>
      <c r="S714" s="4" t="s">
        <v>2276</v>
      </c>
      <c r="T714" s="4" t="s">
        <v>2276</v>
      </c>
      <c r="U714" s="4" t="s">
        <v>534</v>
      </c>
      <c r="V714" s="4">
        <v>4</v>
      </c>
      <c r="W714" s="4"/>
    </row>
    <row r="715" spans="1:23" ht="29">
      <c r="A715" s="4" t="s">
        <v>6353</v>
      </c>
      <c r="B715" s="4" t="s">
        <v>6564</v>
      </c>
      <c r="C715" s="4" t="s">
        <v>24</v>
      </c>
      <c r="D715" s="4" t="s">
        <v>396</v>
      </c>
      <c r="E715" s="4" t="s">
        <v>2659</v>
      </c>
      <c r="F715" s="4" t="s">
        <v>28</v>
      </c>
      <c r="G715" s="4"/>
      <c r="H715" s="4" t="s">
        <v>2673</v>
      </c>
      <c r="I715" s="4" t="s">
        <v>2690</v>
      </c>
      <c r="J715" s="4" t="s">
        <v>2276</v>
      </c>
      <c r="K715" s="4" t="s">
        <v>2276</v>
      </c>
      <c r="L715" s="4" t="s">
        <v>534</v>
      </c>
      <c r="M715" s="4" t="s">
        <v>2276</v>
      </c>
      <c r="N715" s="4" t="s">
        <v>2276</v>
      </c>
      <c r="O715" s="4" t="s">
        <v>2276</v>
      </c>
      <c r="P715" s="4" t="s">
        <v>2276</v>
      </c>
      <c r="Q715" s="4" t="s">
        <v>2276</v>
      </c>
      <c r="R715" s="4" t="s">
        <v>534</v>
      </c>
      <c r="S715" s="4" t="s">
        <v>2276</v>
      </c>
      <c r="T715" s="4" t="s">
        <v>2276</v>
      </c>
      <c r="U715" s="4" t="s">
        <v>534</v>
      </c>
      <c r="V715" s="4">
        <v>1</v>
      </c>
      <c r="W715" s="4"/>
    </row>
    <row r="716" spans="1:23" ht="29">
      <c r="A716" s="4" t="s">
        <v>6353</v>
      </c>
      <c r="B716" s="4" t="s">
        <v>6565</v>
      </c>
      <c r="C716" s="4" t="s">
        <v>24</v>
      </c>
      <c r="D716" s="4" t="s">
        <v>396</v>
      </c>
      <c r="E716" s="4" t="s">
        <v>2659</v>
      </c>
      <c r="F716" s="4" t="s">
        <v>28</v>
      </c>
      <c r="G716" s="4"/>
      <c r="H716" s="4" t="s">
        <v>2673</v>
      </c>
      <c r="I716" s="4" t="s">
        <v>2690</v>
      </c>
      <c r="J716" s="4" t="s">
        <v>2276</v>
      </c>
      <c r="K716" s="4" t="s">
        <v>2276</v>
      </c>
      <c r="L716" s="4" t="s">
        <v>534</v>
      </c>
      <c r="M716" s="4" t="s">
        <v>2276</v>
      </c>
      <c r="N716" s="4" t="s">
        <v>2276</v>
      </c>
      <c r="O716" s="4" t="s">
        <v>2276</v>
      </c>
      <c r="P716" s="4" t="s">
        <v>2276</v>
      </c>
      <c r="Q716" s="4" t="s">
        <v>2276</v>
      </c>
      <c r="R716" s="4" t="s">
        <v>534</v>
      </c>
      <c r="S716" s="4" t="s">
        <v>2276</v>
      </c>
      <c r="T716" s="4" t="s">
        <v>2276</v>
      </c>
      <c r="U716" s="4" t="s">
        <v>534</v>
      </c>
      <c r="V716" s="4">
        <v>4</v>
      </c>
      <c r="W716" s="4"/>
    </row>
    <row r="717" spans="1:23" ht="29">
      <c r="A717" s="4" t="s">
        <v>6353</v>
      </c>
      <c r="B717" s="4" t="s">
        <v>6566</v>
      </c>
      <c r="C717" s="4" t="s">
        <v>24</v>
      </c>
      <c r="D717" s="4" t="s">
        <v>396</v>
      </c>
      <c r="E717" s="4" t="s">
        <v>2659</v>
      </c>
      <c r="F717" s="4" t="s">
        <v>28</v>
      </c>
      <c r="G717" s="4"/>
      <c r="H717" s="4" t="s">
        <v>2673</v>
      </c>
      <c r="I717" s="4" t="s">
        <v>2690</v>
      </c>
      <c r="J717" s="4" t="s">
        <v>2276</v>
      </c>
      <c r="K717" s="4" t="s">
        <v>2276</v>
      </c>
      <c r="L717" s="4" t="s">
        <v>534</v>
      </c>
      <c r="M717" s="4" t="s">
        <v>2276</v>
      </c>
      <c r="N717" s="4" t="s">
        <v>2276</v>
      </c>
      <c r="O717" s="4" t="s">
        <v>2276</v>
      </c>
      <c r="P717" s="4" t="s">
        <v>2276</v>
      </c>
      <c r="Q717" s="4" t="s">
        <v>2276</v>
      </c>
      <c r="R717" s="4" t="s">
        <v>534</v>
      </c>
      <c r="S717" s="4" t="s">
        <v>2276</v>
      </c>
      <c r="T717" s="4" t="s">
        <v>2276</v>
      </c>
      <c r="U717" s="4" t="s">
        <v>534</v>
      </c>
      <c r="V717" s="4">
        <v>4</v>
      </c>
      <c r="W717" s="4"/>
    </row>
    <row r="718" spans="1:23" ht="29">
      <c r="A718" s="4" t="s">
        <v>6353</v>
      </c>
      <c r="B718" s="4" t="s">
        <v>6567</v>
      </c>
      <c r="C718" s="4" t="s">
        <v>24</v>
      </c>
      <c r="D718" s="4" t="s">
        <v>397</v>
      </c>
      <c r="E718" s="4" t="s">
        <v>2659</v>
      </c>
      <c r="F718" s="4" t="s">
        <v>28</v>
      </c>
      <c r="G718" s="4"/>
      <c r="H718" s="4" t="s">
        <v>2673</v>
      </c>
      <c r="I718" s="4" t="s">
        <v>2690</v>
      </c>
      <c r="J718" s="4" t="s">
        <v>2276</v>
      </c>
      <c r="K718" s="4" t="s">
        <v>2276</v>
      </c>
      <c r="L718" s="4" t="s">
        <v>534</v>
      </c>
      <c r="M718" s="4" t="s">
        <v>2276</v>
      </c>
      <c r="N718" s="4" t="s">
        <v>2276</v>
      </c>
      <c r="O718" s="4" t="s">
        <v>2276</v>
      </c>
      <c r="P718" s="4" t="s">
        <v>2276</v>
      </c>
      <c r="Q718" s="4" t="s">
        <v>2276</v>
      </c>
      <c r="R718" s="4" t="s">
        <v>534</v>
      </c>
      <c r="S718" s="4" t="s">
        <v>2276</v>
      </c>
      <c r="T718" s="4" t="s">
        <v>2276</v>
      </c>
      <c r="U718" s="4" t="s">
        <v>534</v>
      </c>
      <c r="V718" s="4">
        <v>1</v>
      </c>
      <c r="W718" s="4"/>
    </row>
    <row r="719" spans="1:23" ht="29">
      <c r="A719" s="4" t="s">
        <v>6353</v>
      </c>
      <c r="B719" s="4" t="s">
        <v>6568</v>
      </c>
      <c r="C719" s="4" t="s">
        <v>24</v>
      </c>
      <c r="D719" s="4" t="s">
        <v>397</v>
      </c>
      <c r="E719" s="4" t="s">
        <v>2659</v>
      </c>
      <c r="F719" s="4" t="s">
        <v>28</v>
      </c>
      <c r="G719" s="4"/>
      <c r="H719" s="4" t="s">
        <v>2673</v>
      </c>
      <c r="I719" s="4" t="s">
        <v>2690</v>
      </c>
      <c r="J719" s="4" t="s">
        <v>2276</v>
      </c>
      <c r="K719" s="4" t="s">
        <v>2276</v>
      </c>
      <c r="L719" s="4" t="s">
        <v>534</v>
      </c>
      <c r="M719" s="4" t="s">
        <v>2276</v>
      </c>
      <c r="N719" s="4" t="s">
        <v>2276</v>
      </c>
      <c r="O719" s="4" t="s">
        <v>2276</v>
      </c>
      <c r="P719" s="4" t="s">
        <v>2276</v>
      </c>
      <c r="Q719" s="4" t="s">
        <v>2276</v>
      </c>
      <c r="R719" s="4" t="s">
        <v>534</v>
      </c>
      <c r="S719" s="4" t="s">
        <v>2276</v>
      </c>
      <c r="T719" s="4" t="s">
        <v>2276</v>
      </c>
      <c r="U719" s="4" t="s">
        <v>534</v>
      </c>
      <c r="V719" s="4">
        <v>4</v>
      </c>
      <c r="W719" s="4"/>
    </row>
    <row r="720" spans="1:23" ht="29">
      <c r="A720" s="4" t="s">
        <v>6353</v>
      </c>
      <c r="B720" s="4" t="s">
        <v>6569</v>
      </c>
      <c r="C720" s="4" t="s">
        <v>24</v>
      </c>
      <c r="D720" s="4" t="s">
        <v>397</v>
      </c>
      <c r="E720" s="4" t="s">
        <v>2659</v>
      </c>
      <c r="F720" s="4" t="s">
        <v>28</v>
      </c>
      <c r="G720" s="4"/>
      <c r="H720" s="4" t="s">
        <v>2673</v>
      </c>
      <c r="I720" s="4" t="s">
        <v>2690</v>
      </c>
      <c r="J720" s="4" t="s">
        <v>2276</v>
      </c>
      <c r="K720" s="4" t="s">
        <v>2276</v>
      </c>
      <c r="L720" s="4" t="s">
        <v>534</v>
      </c>
      <c r="M720" s="4" t="s">
        <v>2276</v>
      </c>
      <c r="N720" s="4" t="s">
        <v>2276</v>
      </c>
      <c r="O720" s="4" t="s">
        <v>2276</v>
      </c>
      <c r="P720" s="4" t="s">
        <v>2276</v>
      </c>
      <c r="Q720" s="4" t="s">
        <v>2276</v>
      </c>
      <c r="R720" s="4" t="s">
        <v>534</v>
      </c>
      <c r="S720" s="4" t="s">
        <v>2276</v>
      </c>
      <c r="T720" s="4" t="s">
        <v>2276</v>
      </c>
      <c r="U720" s="4" t="s">
        <v>534</v>
      </c>
      <c r="V720" s="4">
        <v>4</v>
      </c>
      <c r="W720" s="4"/>
    </row>
    <row r="721" spans="1:23" ht="72.5">
      <c r="A721" s="4" t="s">
        <v>6363</v>
      </c>
      <c r="B721" s="4" t="s">
        <v>6595</v>
      </c>
      <c r="C721" s="4" t="s">
        <v>24</v>
      </c>
      <c r="D721" s="4" t="s">
        <v>1105</v>
      </c>
      <c r="E721" s="4" t="s">
        <v>1105</v>
      </c>
      <c r="F721" s="4" t="s">
        <v>28</v>
      </c>
      <c r="G721" s="4">
        <v>2014</v>
      </c>
      <c r="H721" s="4" t="s">
        <v>541</v>
      </c>
      <c r="I721" s="4"/>
      <c r="J721" s="4"/>
      <c r="K721" s="4"/>
      <c r="L721" s="4"/>
      <c r="M721" s="4"/>
      <c r="N721" s="4"/>
      <c r="O721" s="4"/>
      <c r="P721" s="4"/>
      <c r="Q721" s="4"/>
      <c r="R721" s="4" t="s">
        <v>534</v>
      </c>
      <c r="S721" s="4" t="s">
        <v>2276</v>
      </c>
      <c r="T721" s="4" t="s">
        <v>534</v>
      </c>
      <c r="U721" s="4" t="s">
        <v>2276</v>
      </c>
      <c r="V721" s="4">
        <v>2</v>
      </c>
      <c r="W721" s="4" t="s">
        <v>6602</v>
      </c>
    </row>
    <row r="722" spans="1:23" ht="72.5">
      <c r="A722" s="4" t="s">
        <v>6363</v>
      </c>
      <c r="B722" s="4" t="s">
        <v>6596</v>
      </c>
      <c r="C722" s="4" t="s">
        <v>24</v>
      </c>
      <c r="D722" s="4" t="s">
        <v>1105</v>
      </c>
      <c r="E722" s="4" t="s">
        <v>1105</v>
      </c>
      <c r="F722" s="4" t="s">
        <v>74</v>
      </c>
      <c r="G722" s="4">
        <v>2014</v>
      </c>
      <c r="H722" s="4" t="s">
        <v>541</v>
      </c>
      <c r="I722" s="4"/>
      <c r="J722" s="4"/>
      <c r="K722" s="4"/>
      <c r="L722" s="4"/>
      <c r="M722" s="4"/>
      <c r="N722" s="4"/>
      <c r="O722" s="4"/>
      <c r="P722" s="4"/>
      <c r="Q722" s="4"/>
      <c r="R722" s="4" t="s">
        <v>534</v>
      </c>
      <c r="S722" s="4" t="s">
        <v>2276</v>
      </c>
      <c r="T722" s="4" t="s">
        <v>534</v>
      </c>
      <c r="U722" s="4" t="s">
        <v>2276</v>
      </c>
      <c r="V722" s="4">
        <v>2</v>
      </c>
      <c r="W722" s="4" t="s">
        <v>6602</v>
      </c>
    </row>
    <row r="723" spans="1:23" ht="57" customHeight="1">
      <c r="A723" s="4" t="s">
        <v>6415</v>
      </c>
      <c r="B723" s="4" t="s">
        <v>6613</v>
      </c>
      <c r="C723" s="4" t="s">
        <v>24</v>
      </c>
      <c r="D723" s="4" t="s">
        <v>1242</v>
      </c>
      <c r="E723" s="4"/>
      <c r="F723" s="4" t="s">
        <v>74</v>
      </c>
      <c r="G723" s="4"/>
      <c r="H723" s="4" t="s">
        <v>2673</v>
      </c>
      <c r="I723" s="4" t="s">
        <v>2276</v>
      </c>
      <c r="J723" s="4" t="s">
        <v>2276</v>
      </c>
      <c r="K723" s="4" t="s">
        <v>2276</v>
      </c>
      <c r="L723" s="4" t="s">
        <v>2276</v>
      </c>
      <c r="M723" s="4" t="s">
        <v>537</v>
      </c>
      <c r="N723" s="4" t="s">
        <v>2276</v>
      </c>
      <c r="O723" s="4" t="s">
        <v>2276</v>
      </c>
      <c r="P723" s="4" t="s">
        <v>2276</v>
      </c>
      <c r="Q723" s="4" t="s">
        <v>2276</v>
      </c>
      <c r="R723" s="4" t="s">
        <v>537</v>
      </c>
      <c r="S723" s="4" t="s">
        <v>2276</v>
      </c>
      <c r="T723" s="4" t="s">
        <v>2276</v>
      </c>
      <c r="U723" s="4" t="s">
        <v>2276</v>
      </c>
      <c r="V723" s="4" t="s">
        <v>2276</v>
      </c>
      <c r="W723" s="4"/>
    </row>
    <row r="724" spans="1:23" ht="57" customHeight="1">
      <c r="A724" s="4" t="s">
        <v>6416</v>
      </c>
      <c r="B724" s="4" t="s">
        <v>6615</v>
      </c>
      <c r="C724" s="4" t="s">
        <v>24</v>
      </c>
      <c r="D724" s="4" t="s">
        <v>1242</v>
      </c>
      <c r="E724" s="4"/>
      <c r="F724" s="4" t="s">
        <v>74</v>
      </c>
      <c r="G724" s="4"/>
      <c r="H724" s="4" t="s">
        <v>2673</v>
      </c>
      <c r="I724" s="4" t="s">
        <v>2276</v>
      </c>
      <c r="J724" s="4" t="s">
        <v>2276</v>
      </c>
      <c r="K724" s="4" t="s">
        <v>2276</v>
      </c>
      <c r="L724" s="4" t="s">
        <v>2276</v>
      </c>
      <c r="M724" s="4" t="s">
        <v>2728</v>
      </c>
      <c r="N724" s="4" t="s">
        <v>2276</v>
      </c>
      <c r="O724" s="4" t="s">
        <v>2276</v>
      </c>
      <c r="P724" s="4" t="s">
        <v>534</v>
      </c>
      <c r="Q724" s="4" t="s">
        <v>2276</v>
      </c>
      <c r="R724" s="4" t="s">
        <v>537</v>
      </c>
      <c r="S724" s="4" t="s">
        <v>2276</v>
      </c>
      <c r="T724" s="4" t="s">
        <v>2276</v>
      </c>
      <c r="U724" s="4" t="s">
        <v>2276</v>
      </c>
      <c r="V724" s="4" t="s">
        <v>2276</v>
      </c>
      <c r="W724" s="4" t="s">
        <v>7935</v>
      </c>
    </row>
    <row r="725" spans="1:23" ht="57" customHeight="1">
      <c r="A725" s="4" t="s">
        <v>6417</v>
      </c>
      <c r="B725" s="4" t="s">
        <v>6617</v>
      </c>
      <c r="C725" s="4" t="s">
        <v>6699</v>
      </c>
      <c r="D725" s="4" t="s">
        <v>2276</v>
      </c>
      <c r="E725" s="205" t="s">
        <v>2653</v>
      </c>
      <c r="F725" s="4"/>
      <c r="G725" s="4"/>
      <c r="H725" s="58" t="s">
        <v>2276</v>
      </c>
      <c r="I725" s="4" t="s">
        <v>2276</v>
      </c>
      <c r="J725" s="4" t="s">
        <v>2276</v>
      </c>
      <c r="K725" s="4" t="s">
        <v>2276</v>
      </c>
      <c r="L725" s="4" t="s">
        <v>2276</v>
      </c>
      <c r="M725" s="4" t="s">
        <v>2671</v>
      </c>
      <c r="N725" s="4" t="s">
        <v>2276</v>
      </c>
      <c r="O725" s="4" t="s">
        <v>2276</v>
      </c>
      <c r="P725" s="4" t="s">
        <v>2276</v>
      </c>
      <c r="Q725" s="4" t="s">
        <v>2276</v>
      </c>
      <c r="R725" s="4" t="s">
        <v>534</v>
      </c>
      <c r="S725" s="4" t="s">
        <v>2276</v>
      </c>
      <c r="T725" s="4" t="s">
        <v>2276</v>
      </c>
      <c r="U725" s="4" t="s">
        <v>2276</v>
      </c>
      <c r="V725" s="4" t="s">
        <v>2276</v>
      </c>
      <c r="W725" s="4"/>
    </row>
    <row r="726" spans="1:23" ht="57" customHeight="1">
      <c r="A726" s="4" t="s">
        <v>6417</v>
      </c>
      <c r="B726" s="4" t="s">
        <v>6618</v>
      </c>
      <c r="C726" s="4" t="s">
        <v>2656</v>
      </c>
      <c r="D726" s="4" t="s">
        <v>2276</v>
      </c>
      <c r="E726" s="205" t="s">
        <v>2653</v>
      </c>
      <c r="F726" s="4"/>
      <c r="G726" s="4"/>
      <c r="H726" s="58" t="s">
        <v>2276</v>
      </c>
      <c r="I726" s="4" t="s">
        <v>2276</v>
      </c>
      <c r="J726" s="4" t="s">
        <v>2276</v>
      </c>
      <c r="K726" s="4" t="s">
        <v>2276</v>
      </c>
      <c r="L726" s="4" t="s">
        <v>2276</v>
      </c>
      <c r="M726" s="4" t="s">
        <v>2671</v>
      </c>
      <c r="N726" s="4" t="s">
        <v>2276</v>
      </c>
      <c r="O726" s="4" t="s">
        <v>2276</v>
      </c>
      <c r="P726" s="4" t="s">
        <v>2276</v>
      </c>
      <c r="Q726" s="4" t="s">
        <v>2276</v>
      </c>
      <c r="R726" s="4" t="s">
        <v>534</v>
      </c>
      <c r="S726" s="4" t="s">
        <v>2276</v>
      </c>
      <c r="T726" s="4" t="s">
        <v>2276</v>
      </c>
      <c r="U726" s="4" t="s">
        <v>2276</v>
      </c>
      <c r="V726" s="4" t="s">
        <v>2276</v>
      </c>
      <c r="W726" s="4"/>
    </row>
    <row r="727" spans="1:23" ht="57" customHeight="1">
      <c r="A727" s="4" t="s">
        <v>6417</v>
      </c>
      <c r="B727" s="4" t="s">
        <v>6706</v>
      </c>
      <c r="C727" s="4" t="s">
        <v>6699</v>
      </c>
      <c r="D727" s="4" t="s">
        <v>2658</v>
      </c>
      <c r="E727" s="4" t="s">
        <v>2649</v>
      </c>
      <c r="F727" s="4" t="s">
        <v>74</v>
      </c>
      <c r="G727" s="4"/>
      <c r="H727" s="58" t="s">
        <v>2276</v>
      </c>
      <c r="I727" s="4" t="s">
        <v>2276</v>
      </c>
      <c r="J727" s="4" t="s">
        <v>2276</v>
      </c>
      <c r="K727" s="4" t="s">
        <v>2276</v>
      </c>
      <c r="L727" s="4" t="s">
        <v>2276</v>
      </c>
      <c r="M727" s="4" t="s">
        <v>2671</v>
      </c>
      <c r="N727" s="4" t="s">
        <v>2276</v>
      </c>
      <c r="O727" s="4" t="s">
        <v>2276</v>
      </c>
      <c r="P727" s="4" t="s">
        <v>2276</v>
      </c>
      <c r="Q727" s="4" t="s">
        <v>2276</v>
      </c>
      <c r="R727" s="4" t="s">
        <v>2276</v>
      </c>
      <c r="S727" s="4" t="s">
        <v>2276</v>
      </c>
      <c r="T727" s="4" t="s">
        <v>2276</v>
      </c>
      <c r="U727" s="4" t="s">
        <v>2276</v>
      </c>
      <c r="V727" s="4" t="s">
        <v>2276</v>
      </c>
      <c r="W727" s="4" t="s">
        <v>6700</v>
      </c>
    </row>
    <row r="728" spans="1:23" ht="57" customHeight="1">
      <c r="A728" s="4" t="s">
        <v>6417</v>
      </c>
      <c r="B728" s="4" t="s">
        <v>6707</v>
      </c>
      <c r="C728" s="4" t="s">
        <v>2656</v>
      </c>
      <c r="D728" s="4" t="s">
        <v>2276</v>
      </c>
      <c r="E728" s="4" t="s">
        <v>2649</v>
      </c>
      <c r="F728" s="4" t="s">
        <v>74</v>
      </c>
      <c r="G728" s="4"/>
      <c r="H728" s="58" t="s">
        <v>2276</v>
      </c>
      <c r="I728" s="4" t="s">
        <v>2276</v>
      </c>
      <c r="J728" s="4" t="s">
        <v>2276</v>
      </c>
      <c r="K728" s="4" t="s">
        <v>2276</v>
      </c>
      <c r="L728" s="4" t="s">
        <v>2276</v>
      </c>
      <c r="M728" s="4" t="s">
        <v>2671</v>
      </c>
      <c r="N728" s="4" t="s">
        <v>2276</v>
      </c>
      <c r="O728" s="4" t="s">
        <v>2276</v>
      </c>
      <c r="P728" s="4" t="s">
        <v>2276</v>
      </c>
      <c r="Q728" s="4" t="s">
        <v>2276</v>
      </c>
      <c r="R728" s="4" t="s">
        <v>2276</v>
      </c>
      <c r="S728" s="4" t="s">
        <v>2276</v>
      </c>
      <c r="T728" s="4" t="s">
        <v>2276</v>
      </c>
      <c r="U728" s="4" t="s">
        <v>2276</v>
      </c>
      <c r="V728" s="4" t="s">
        <v>2276</v>
      </c>
      <c r="W728" s="4" t="s">
        <v>6700</v>
      </c>
    </row>
    <row r="729" spans="1:23" ht="57" customHeight="1">
      <c r="A729" s="4" t="s">
        <v>6419</v>
      </c>
      <c r="B729" s="4" t="s">
        <v>6665</v>
      </c>
      <c r="C729" s="4" t="s">
        <v>1105</v>
      </c>
      <c r="D729" s="4" t="s">
        <v>2276</v>
      </c>
      <c r="E729" s="4" t="s">
        <v>137</v>
      </c>
      <c r="F729" s="4" t="s">
        <v>74</v>
      </c>
      <c r="G729" s="4"/>
      <c r="H729" s="58" t="s">
        <v>2276</v>
      </c>
      <c r="I729" s="4" t="s">
        <v>2276</v>
      </c>
      <c r="J729" s="4" t="s">
        <v>2276</v>
      </c>
      <c r="K729" s="4" t="s">
        <v>2276</v>
      </c>
      <c r="L729" s="4" t="s">
        <v>2276</v>
      </c>
      <c r="M729" s="4" t="s">
        <v>2728</v>
      </c>
      <c r="N729" s="4" t="s">
        <v>2276</v>
      </c>
      <c r="O729" s="4" t="s">
        <v>2276</v>
      </c>
      <c r="P729" s="4" t="s">
        <v>2276</v>
      </c>
      <c r="Q729" s="4" t="s">
        <v>2276</v>
      </c>
      <c r="R729" s="4" t="s">
        <v>2276</v>
      </c>
      <c r="S729" s="4" t="s">
        <v>2276</v>
      </c>
      <c r="T729" s="4" t="s">
        <v>2276</v>
      </c>
      <c r="U729" s="4" t="s">
        <v>2276</v>
      </c>
      <c r="V729" s="4" t="s">
        <v>2276</v>
      </c>
      <c r="W729" s="4" t="s">
        <v>6701</v>
      </c>
    </row>
    <row r="730" spans="1:23" ht="57" customHeight="1">
      <c r="A730" s="4" t="s">
        <v>6420</v>
      </c>
      <c r="B730" s="4" t="s">
        <v>6708</v>
      </c>
      <c r="C730" s="4" t="s">
        <v>1105</v>
      </c>
      <c r="D730" s="4" t="s">
        <v>2276</v>
      </c>
      <c r="E730" s="4" t="s">
        <v>2649</v>
      </c>
      <c r="F730" s="4" t="s">
        <v>74</v>
      </c>
      <c r="G730" s="4"/>
      <c r="H730" s="58" t="s">
        <v>2276</v>
      </c>
      <c r="I730" s="4" t="s">
        <v>2276</v>
      </c>
      <c r="J730" s="4" t="s">
        <v>2276</v>
      </c>
      <c r="K730" s="4" t="s">
        <v>2276</v>
      </c>
      <c r="L730" s="4" t="s">
        <v>2276</v>
      </c>
      <c r="M730" s="4" t="s">
        <v>2728</v>
      </c>
      <c r="N730" s="4" t="s">
        <v>2276</v>
      </c>
      <c r="O730" s="4" t="s">
        <v>2276</v>
      </c>
      <c r="P730" s="4" t="s">
        <v>2276</v>
      </c>
      <c r="Q730" s="4" t="s">
        <v>2276</v>
      </c>
      <c r="R730" s="4" t="s">
        <v>2276</v>
      </c>
      <c r="S730" s="4" t="s">
        <v>2276</v>
      </c>
      <c r="T730" s="4" t="s">
        <v>2276</v>
      </c>
      <c r="U730" s="4" t="s">
        <v>2276</v>
      </c>
      <c r="V730" s="4" t="s">
        <v>2276</v>
      </c>
      <c r="W730" s="4" t="s">
        <v>6701</v>
      </c>
    </row>
    <row r="731" spans="1:23" ht="57" customHeight="1">
      <c r="A731" s="4" t="s">
        <v>6421</v>
      </c>
      <c r="B731" s="4" t="s">
        <v>6709</v>
      </c>
      <c r="C731" s="4" t="s">
        <v>1105</v>
      </c>
      <c r="D731" s="4" t="s">
        <v>2276</v>
      </c>
      <c r="E731" s="4" t="s">
        <v>2649</v>
      </c>
      <c r="F731" s="4" t="s">
        <v>74</v>
      </c>
      <c r="G731" s="4"/>
      <c r="H731" s="58" t="s">
        <v>2276</v>
      </c>
      <c r="I731" s="4" t="s">
        <v>2276</v>
      </c>
      <c r="J731" s="4" t="s">
        <v>2276</v>
      </c>
      <c r="K731" s="4" t="s">
        <v>2276</v>
      </c>
      <c r="L731" s="4" t="s">
        <v>2276</v>
      </c>
      <c r="M731" s="4" t="s">
        <v>2728</v>
      </c>
      <c r="N731" s="4" t="s">
        <v>2276</v>
      </c>
      <c r="O731" s="4" t="s">
        <v>2276</v>
      </c>
      <c r="P731" s="4" t="s">
        <v>2276</v>
      </c>
      <c r="Q731" s="4" t="s">
        <v>2276</v>
      </c>
      <c r="R731" s="4" t="s">
        <v>2276</v>
      </c>
      <c r="S731" s="4" t="s">
        <v>2276</v>
      </c>
      <c r="T731" s="4" t="s">
        <v>2276</v>
      </c>
      <c r="U731" s="4" t="s">
        <v>2276</v>
      </c>
      <c r="V731" s="4" t="s">
        <v>2276</v>
      </c>
      <c r="W731" s="4" t="s">
        <v>6701</v>
      </c>
    </row>
    <row r="732" spans="1:23" ht="57" customHeight="1">
      <c r="A732" s="4" t="s">
        <v>6426</v>
      </c>
      <c r="B732" s="4" t="s">
        <v>6629</v>
      </c>
      <c r="C732" s="4" t="s">
        <v>1105</v>
      </c>
      <c r="D732" s="4" t="s">
        <v>2276</v>
      </c>
      <c r="E732" s="4" t="s">
        <v>2649</v>
      </c>
      <c r="F732" s="4" t="s">
        <v>74</v>
      </c>
      <c r="G732" s="4"/>
      <c r="H732" s="4" t="s">
        <v>541</v>
      </c>
      <c r="I732" s="4" t="s">
        <v>2276</v>
      </c>
      <c r="J732" s="4" t="s">
        <v>2276</v>
      </c>
      <c r="K732" s="4" t="s">
        <v>2276</v>
      </c>
      <c r="L732" s="4" t="s">
        <v>2276</v>
      </c>
      <c r="M732" s="4" t="s">
        <v>2276</v>
      </c>
      <c r="N732" s="4" t="s">
        <v>2276</v>
      </c>
      <c r="O732" s="4" t="s">
        <v>2276</v>
      </c>
      <c r="P732" s="4" t="s">
        <v>2276</v>
      </c>
      <c r="Q732" s="4" t="s">
        <v>2276</v>
      </c>
      <c r="R732" s="4" t="s">
        <v>534</v>
      </c>
      <c r="S732" s="4" t="s">
        <v>534</v>
      </c>
      <c r="T732" s="4" t="s">
        <v>2276</v>
      </c>
      <c r="U732" s="4" t="s">
        <v>2276</v>
      </c>
      <c r="V732" s="4" t="s">
        <v>2276</v>
      </c>
      <c r="W732" s="4" t="s">
        <v>6702</v>
      </c>
    </row>
    <row r="733" spans="1:23" ht="57" customHeight="1">
      <c r="A733" s="4" t="s">
        <v>6426</v>
      </c>
      <c r="B733" s="4" t="s">
        <v>6710</v>
      </c>
      <c r="C733" s="4" t="s">
        <v>24</v>
      </c>
      <c r="D733" s="4" t="s">
        <v>2276</v>
      </c>
      <c r="E733" s="4" t="s">
        <v>2649</v>
      </c>
      <c r="F733" s="4" t="s">
        <v>74</v>
      </c>
      <c r="G733" s="4"/>
      <c r="H733" s="4" t="s">
        <v>541</v>
      </c>
      <c r="I733" s="4" t="s">
        <v>2276</v>
      </c>
      <c r="J733" s="4" t="s">
        <v>2276</v>
      </c>
      <c r="K733" s="4" t="s">
        <v>2276</v>
      </c>
      <c r="L733" s="4" t="s">
        <v>2276</v>
      </c>
      <c r="M733" s="4" t="s">
        <v>2671</v>
      </c>
      <c r="N733" s="4" t="s">
        <v>534</v>
      </c>
      <c r="O733" s="4" t="s">
        <v>2276</v>
      </c>
      <c r="P733" s="4" t="s">
        <v>2276</v>
      </c>
      <c r="Q733" s="4" t="s">
        <v>2276</v>
      </c>
      <c r="R733" s="4" t="s">
        <v>2276</v>
      </c>
      <c r="S733" s="4" t="s">
        <v>2276</v>
      </c>
      <c r="T733" s="4" t="s">
        <v>2276</v>
      </c>
      <c r="U733" s="4" t="s">
        <v>2276</v>
      </c>
      <c r="V733" s="4" t="s">
        <v>2276</v>
      </c>
      <c r="W733" s="4"/>
    </row>
    <row r="734" spans="1:23" ht="57" customHeight="1">
      <c r="A734" s="4" t="s">
        <v>6427</v>
      </c>
      <c r="B734" s="4" t="s">
        <v>6630</v>
      </c>
      <c r="C734" s="4" t="s">
        <v>1105</v>
      </c>
      <c r="D734" s="4" t="s">
        <v>2276</v>
      </c>
      <c r="E734" s="4" t="s">
        <v>2649</v>
      </c>
      <c r="F734" s="4" t="s">
        <v>74</v>
      </c>
      <c r="G734" s="4"/>
      <c r="H734" s="4" t="s">
        <v>541</v>
      </c>
      <c r="I734" s="4" t="s">
        <v>2276</v>
      </c>
      <c r="J734" s="4" t="s">
        <v>2276</v>
      </c>
      <c r="K734" s="4" t="s">
        <v>2276</v>
      </c>
      <c r="L734" s="4" t="s">
        <v>2276</v>
      </c>
      <c r="M734" s="4" t="s">
        <v>2671</v>
      </c>
      <c r="N734" s="4" t="s">
        <v>534</v>
      </c>
      <c r="O734" s="4" t="s">
        <v>2276</v>
      </c>
      <c r="P734" s="4" t="s">
        <v>2276</v>
      </c>
      <c r="Q734" s="4" t="s">
        <v>2276</v>
      </c>
      <c r="R734" s="4" t="s">
        <v>534</v>
      </c>
      <c r="S734" s="4" t="s">
        <v>534</v>
      </c>
      <c r="T734" s="4" t="s">
        <v>2276</v>
      </c>
      <c r="U734" s="4" t="s">
        <v>2276</v>
      </c>
      <c r="V734" s="4" t="s">
        <v>2276</v>
      </c>
      <c r="W734" s="4" t="s">
        <v>6703</v>
      </c>
    </row>
    <row r="735" spans="1:23" ht="57" customHeight="1">
      <c r="A735" s="4" t="s">
        <v>6427</v>
      </c>
      <c r="B735" s="4" t="s">
        <v>6668</v>
      </c>
      <c r="C735" s="4" t="s">
        <v>24</v>
      </c>
      <c r="D735" s="4" t="s">
        <v>2276</v>
      </c>
      <c r="E735" s="4" t="s">
        <v>2649</v>
      </c>
      <c r="F735" s="4" t="s">
        <v>74</v>
      </c>
      <c r="G735" s="4"/>
      <c r="H735" s="4" t="s">
        <v>541</v>
      </c>
      <c r="I735" s="4" t="s">
        <v>2276</v>
      </c>
      <c r="J735" s="4" t="s">
        <v>2276</v>
      </c>
      <c r="K735" s="4" t="s">
        <v>2276</v>
      </c>
      <c r="L735" s="4" t="s">
        <v>2276</v>
      </c>
      <c r="M735" s="4" t="s">
        <v>2671</v>
      </c>
      <c r="N735" s="4" t="s">
        <v>534</v>
      </c>
      <c r="O735" s="4" t="s">
        <v>2276</v>
      </c>
      <c r="P735" s="4" t="s">
        <v>2276</v>
      </c>
      <c r="Q735" s="4" t="s">
        <v>2276</v>
      </c>
      <c r="R735" s="4" t="s">
        <v>2276</v>
      </c>
      <c r="S735" s="4" t="s">
        <v>2276</v>
      </c>
      <c r="T735" s="4" t="s">
        <v>2276</v>
      </c>
      <c r="U735" s="4" t="s">
        <v>2276</v>
      </c>
      <c r="V735" s="4" t="s">
        <v>2276</v>
      </c>
      <c r="W735" s="4"/>
    </row>
    <row r="736" spans="1:23" ht="57" customHeight="1">
      <c r="A736" s="4" t="s">
        <v>6428</v>
      </c>
      <c r="B736" s="4" t="s">
        <v>6631</v>
      </c>
      <c r="C736" s="4" t="s">
        <v>1105</v>
      </c>
      <c r="D736" s="4" t="s">
        <v>2276</v>
      </c>
      <c r="E736" s="4" t="s">
        <v>2649</v>
      </c>
      <c r="F736" s="4" t="s">
        <v>74</v>
      </c>
      <c r="G736" s="4"/>
      <c r="H736" s="4" t="s">
        <v>541</v>
      </c>
      <c r="I736" s="4" t="s">
        <v>2276</v>
      </c>
      <c r="J736" s="4" t="s">
        <v>2276</v>
      </c>
      <c r="K736" s="4" t="s">
        <v>2276</v>
      </c>
      <c r="L736" s="4" t="s">
        <v>2276</v>
      </c>
      <c r="M736" s="4" t="s">
        <v>2276</v>
      </c>
      <c r="N736" s="4" t="s">
        <v>2276</v>
      </c>
      <c r="O736" s="4" t="s">
        <v>2276</v>
      </c>
      <c r="P736" s="4" t="s">
        <v>2276</v>
      </c>
      <c r="Q736" s="4" t="s">
        <v>2276</v>
      </c>
      <c r="R736" s="4" t="s">
        <v>534</v>
      </c>
      <c r="S736" s="4" t="s">
        <v>534</v>
      </c>
      <c r="T736" s="4" t="s">
        <v>2276</v>
      </c>
      <c r="U736" s="4" t="s">
        <v>2276</v>
      </c>
      <c r="V736" s="4" t="s">
        <v>2276</v>
      </c>
      <c r="W736" s="4" t="s">
        <v>6703</v>
      </c>
    </row>
    <row r="737" spans="1:23" ht="57" customHeight="1">
      <c r="A737" s="4" t="s">
        <v>6428</v>
      </c>
      <c r="B737" s="4" t="s">
        <v>6669</v>
      </c>
      <c r="C737" s="4" t="s">
        <v>24</v>
      </c>
      <c r="D737" s="4" t="s">
        <v>2276</v>
      </c>
      <c r="E737" s="4" t="s">
        <v>2649</v>
      </c>
      <c r="F737" s="4" t="s">
        <v>74</v>
      </c>
      <c r="G737" s="4"/>
      <c r="H737" s="4" t="s">
        <v>541</v>
      </c>
      <c r="I737" s="4" t="s">
        <v>2276</v>
      </c>
      <c r="J737" s="4" t="s">
        <v>2276</v>
      </c>
      <c r="K737" s="4" t="s">
        <v>2276</v>
      </c>
      <c r="L737" s="4" t="s">
        <v>2276</v>
      </c>
      <c r="M737" s="4" t="s">
        <v>2671</v>
      </c>
      <c r="N737" s="4" t="s">
        <v>534</v>
      </c>
      <c r="O737" s="4" t="s">
        <v>2276</v>
      </c>
      <c r="P737" s="4" t="s">
        <v>2276</v>
      </c>
      <c r="Q737" s="4" t="s">
        <v>2276</v>
      </c>
      <c r="R737" s="4" t="s">
        <v>2276</v>
      </c>
      <c r="S737" s="4" t="s">
        <v>2276</v>
      </c>
      <c r="T737" s="4" t="s">
        <v>2276</v>
      </c>
      <c r="U737" s="4" t="s">
        <v>2276</v>
      </c>
      <c r="V737" s="4" t="s">
        <v>2276</v>
      </c>
      <c r="W737" s="4"/>
    </row>
    <row r="738" spans="1:23" ht="57" customHeight="1">
      <c r="A738" s="4" t="s">
        <v>6428</v>
      </c>
      <c r="B738" s="4" t="s">
        <v>6670</v>
      </c>
      <c r="C738" s="4" t="s">
        <v>2656</v>
      </c>
      <c r="D738" s="4" t="s">
        <v>2276</v>
      </c>
      <c r="E738" s="4" t="s">
        <v>2649</v>
      </c>
      <c r="F738" s="4" t="s">
        <v>74</v>
      </c>
      <c r="G738" s="4"/>
      <c r="H738" s="4" t="s">
        <v>541</v>
      </c>
      <c r="I738" s="4" t="s">
        <v>2276</v>
      </c>
      <c r="J738" s="4" t="s">
        <v>2276</v>
      </c>
      <c r="K738" s="4" t="s">
        <v>2276</v>
      </c>
      <c r="L738" s="4" t="s">
        <v>2276</v>
      </c>
      <c r="M738" s="4" t="s">
        <v>2671</v>
      </c>
      <c r="N738" s="4" t="s">
        <v>534</v>
      </c>
      <c r="O738" s="4" t="s">
        <v>2276</v>
      </c>
      <c r="P738" s="4" t="s">
        <v>2276</v>
      </c>
      <c r="Q738" s="4" t="s">
        <v>2276</v>
      </c>
      <c r="R738" s="4" t="s">
        <v>2276</v>
      </c>
      <c r="S738" s="4" t="s">
        <v>2276</v>
      </c>
      <c r="T738" s="4" t="s">
        <v>2276</v>
      </c>
      <c r="U738" s="4" t="s">
        <v>2276</v>
      </c>
      <c r="V738" s="4" t="s">
        <v>2276</v>
      </c>
      <c r="W738" s="4"/>
    </row>
    <row r="739" spans="1:23" ht="57" customHeight="1">
      <c r="A739" s="4" t="s">
        <v>6429</v>
      </c>
      <c r="B739" s="4" t="s">
        <v>6632</v>
      </c>
      <c r="C739" s="4" t="s">
        <v>1105</v>
      </c>
      <c r="D739" s="4" t="s">
        <v>2276</v>
      </c>
      <c r="E739" s="4" t="s">
        <v>2649</v>
      </c>
      <c r="F739" s="4" t="s">
        <v>74</v>
      </c>
      <c r="G739" s="4"/>
      <c r="H739" s="4" t="s">
        <v>541</v>
      </c>
      <c r="I739" s="4" t="s">
        <v>2276</v>
      </c>
      <c r="J739" s="4" t="s">
        <v>2276</v>
      </c>
      <c r="K739" s="4" t="s">
        <v>2276</v>
      </c>
      <c r="L739" s="4" t="s">
        <v>2276</v>
      </c>
      <c r="M739" s="4" t="s">
        <v>2276</v>
      </c>
      <c r="N739" s="4" t="s">
        <v>2276</v>
      </c>
      <c r="O739" s="4" t="s">
        <v>2276</v>
      </c>
      <c r="P739" s="4" t="s">
        <v>2276</v>
      </c>
      <c r="Q739" s="4" t="s">
        <v>2276</v>
      </c>
      <c r="R739" s="4" t="s">
        <v>534</v>
      </c>
      <c r="S739" s="4" t="s">
        <v>534</v>
      </c>
      <c r="T739" s="4" t="s">
        <v>2276</v>
      </c>
      <c r="U739" s="4" t="s">
        <v>2276</v>
      </c>
      <c r="V739" s="4" t="s">
        <v>2276</v>
      </c>
      <c r="W739" s="4" t="s">
        <v>6703</v>
      </c>
    </row>
    <row r="740" spans="1:23" ht="57" customHeight="1">
      <c r="A740" s="4" t="s">
        <v>6429</v>
      </c>
      <c r="B740" s="4" t="s">
        <v>6672</v>
      </c>
      <c r="C740" s="4" t="s">
        <v>24</v>
      </c>
      <c r="D740" s="4" t="s">
        <v>2276</v>
      </c>
      <c r="E740" s="4" t="s">
        <v>2649</v>
      </c>
      <c r="F740" s="4" t="s">
        <v>74</v>
      </c>
      <c r="G740" s="4"/>
      <c r="H740" s="4" t="s">
        <v>541</v>
      </c>
      <c r="I740" s="4" t="s">
        <v>2276</v>
      </c>
      <c r="J740" s="4" t="s">
        <v>2276</v>
      </c>
      <c r="K740" s="4" t="s">
        <v>2276</v>
      </c>
      <c r="L740" s="4" t="s">
        <v>2276</v>
      </c>
      <c r="M740" s="4" t="s">
        <v>2671</v>
      </c>
      <c r="N740" s="4" t="s">
        <v>534</v>
      </c>
      <c r="O740" s="4" t="s">
        <v>2276</v>
      </c>
      <c r="P740" s="4" t="s">
        <v>2276</v>
      </c>
      <c r="Q740" s="4" t="s">
        <v>2276</v>
      </c>
      <c r="R740" s="4" t="s">
        <v>2276</v>
      </c>
      <c r="S740" s="4" t="s">
        <v>2276</v>
      </c>
      <c r="T740" s="4" t="s">
        <v>2276</v>
      </c>
      <c r="U740" s="4" t="s">
        <v>2276</v>
      </c>
      <c r="V740" s="4" t="s">
        <v>2276</v>
      </c>
      <c r="W740" s="4"/>
    </row>
    <row r="741" spans="1:23" ht="57" customHeight="1">
      <c r="A741" s="4" t="s">
        <v>6429</v>
      </c>
      <c r="B741" s="4" t="s">
        <v>6673</v>
      </c>
      <c r="C741" s="4" t="s">
        <v>2656</v>
      </c>
      <c r="D741" s="4" t="s">
        <v>2276</v>
      </c>
      <c r="E741" s="4" t="s">
        <v>2649</v>
      </c>
      <c r="F741" s="4" t="s">
        <v>74</v>
      </c>
      <c r="G741" s="4"/>
      <c r="H741" s="4" t="s">
        <v>541</v>
      </c>
      <c r="I741" s="4" t="s">
        <v>2276</v>
      </c>
      <c r="J741" s="4" t="s">
        <v>2276</v>
      </c>
      <c r="K741" s="4" t="s">
        <v>2276</v>
      </c>
      <c r="L741" s="4" t="s">
        <v>2276</v>
      </c>
      <c r="M741" s="4" t="s">
        <v>2671</v>
      </c>
      <c r="N741" s="4" t="s">
        <v>534</v>
      </c>
      <c r="O741" s="4" t="s">
        <v>2276</v>
      </c>
      <c r="P741" s="4" t="s">
        <v>2276</v>
      </c>
      <c r="Q741" s="4" t="s">
        <v>2276</v>
      </c>
      <c r="R741" s="4" t="s">
        <v>2276</v>
      </c>
      <c r="S741" s="4" t="s">
        <v>2276</v>
      </c>
      <c r="T741" s="4" t="s">
        <v>2276</v>
      </c>
      <c r="U741" s="4" t="s">
        <v>2276</v>
      </c>
      <c r="V741" s="4" t="s">
        <v>2276</v>
      </c>
      <c r="W741" s="4"/>
    </row>
    <row r="742" spans="1:23" ht="57" customHeight="1">
      <c r="A742" s="4" t="s">
        <v>6430</v>
      </c>
      <c r="B742" s="4" t="s">
        <v>6633</v>
      </c>
      <c r="C742" s="4" t="s">
        <v>1105</v>
      </c>
      <c r="D742" s="4" t="s">
        <v>2276</v>
      </c>
      <c r="E742" s="4" t="s">
        <v>2649</v>
      </c>
      <c r="F742" s="4" t="s">
        <v>74</v>
      </c>
      <c r="G742" s="4"/>
      <c r="H742" s="4" t="s">
        <v>541</v>
      </c>
      <c r="I742" s="4" t="s">
        <v>2276</v>
      </c>
      <c r="J742" s="4" t="s">
        <v>2276</v>
      </c>
      <c r="K742" s="4" t="s">
        <v>2276</v>
      </c>
      <c r="L742" s="4" t="s">
        <v>2276</v>
      </c>
      <c r="M742" s="4" t="s">
        <v>2276</v>
      </c>
      <c r="N742" s="4" t="s">
        <v>2276</v>
      </c>
      <c r="O742" s="4" t="s">
        <v>2276</v>
      </c>
      <c r="P742" s="4" t="s">
        <v>2276</v>
      </c>
      <c r="Q742" s="4" t="s">
        <v>2276</v>
      </c>
      <c r="R742" s="4" t="s">
        <v>534</v>
      </c>
      <c r="S742" s="4" t="s">
        <v>534</v>
      </c>
      <c r="T742" s="4" t="s">
        <v>2276</v>
      </c>
      <c r="U742" s="4" t="s">
        <v>2276</v>
      </c>
      <c r="V742" s="4" t="s">
        <v>2276</v>
      </c>
      <c r="W742" s="4" t="s">
        <v>6703</v>
      </c>
    </row>
    <row r="743" spans="1:23" ht="57" customHeight="1">
      <c r="A743" s="4" t="s">
        <v>6430</v>
      </c>
      <c r="B743" s="4" t="s">
        <v>6675</v>
      </c>
      <c r="C743" s="4" t="s">
        <v>24</v>
      </c>
      <c r="D743" s="4" t="s">
        <v>2276</v>
      </c>
      <c r="E743" s="4" t="s">
        <v>2649</v>
      </c>
      <c r="F743" s="4" t="s">
        <v>74</v>
      </c>
      <c r="G743" s="4"/>
      <c r="H743" s="4" t="s">
        <v>541</v>
      </c>
      <c r="I743" s="4" t="s">
        <v>2276</v>
      </c>
      <c r="J743" s="4" t="s">
        <v>2276</v>
      </c>
      <c r="K743" s="4" t="s">
        <v>2276</v>
      </c>
      <c r="L743" s="4" t="s">
        <v>2276</v>
      </c>
      <c r="M743" s="4" t="s">
        <v>2671</v>
      </c>
      <c r="N743" s="4" t="s">
        <v>534</v>
      </c>
      <c r="O743" s="4" t="s">
        <v>2276</v>
      </c>
      <c r="P743" s="4" t="s">
        <v>2276</v>
      </c>
      <c r="Q743" s="4" t="s">
        <v>2276</v>
      </c>
      <c r="R743" s="4" t="s">
        <v>2276</v>
      </c>
      <c r="S743" s="4" t="s">
        <v>2276</v>
      </c>
      <c r="T743" s="4" t="s">
        <v>2276</v>
      </c>
      <c r="U743" s="4" t="s">
        <v>2276</v>
      </c>
      <c r="V743" s="4" t="s">
        <v>2276</v>
      </c>
      <c r="W743" s="4"/>
    </row>
    <row r="744" spans="1:23" ht="57" customHeight="1">
      <c r="A744" s="4" t="s">
        <v>6431</v>
      </c>
      <c r="B744" s="4" t="s">
        <v>6634</v>
      </c>
      <c r="C744" s="4" t="s">
        <v>1105</v>
      </c>
      <c r="D744" s="4" t="s">
        <v>2276</v>
      </c>
      <c r="E744" s="4" t="s">
        <v>2649</v>
      </c>
      <c r="F744" s="4" t="s">
        <v>74</v>
      </c>
      <c r="G744" s="4"/>
      <c r="H744" s="4" t="s">
        <v>541</v>
      </c>
      <c r="I744" s="4" t="s">
        <v>2276</v>
      </c>
      <c r="J744" s="4" t="s">
        <v>2276</v>
      </c>
      <c r="K744" s="4" t="s">
        <v>2276</v>
      </c>
      <c r="L744" s="4" t="s">
        <v>2276</v>
      </c>
      <c r="M744" s="4" t="s">
        <v>2276</v>
      </c>
      <c r="N744" s="4" t="s">
        <v>2276</v>
      </c>
      <c r="O744" s="4" t="s">
        <v>2276</v>
      </c>
      <c r="P744" s="4" t="s">
        <v>2276</v>
      </c>
      <c r="Q744" s="4" t="s">
        <v>2276</v>
      </c>
      <c r="R744" s="4" t="s">
        <v>534</v>
      </c>
      <c r="S744" s="4" t="s">
        <v>534</v>
      </c>
      <c r="T744" s="4" t="s">
        <v>2276</v>
      </c>
      <c r="U744" s="4" t="s">
        <v>2276</v>
      </c>
      <c r="V744" s="4" t="s">
        <v>2276</v>
      </c>
      <c r="W744" s="4" t="s">
        <v>6703</v>
      </c>
    </row>
    <row r="745" spans="1:23" ht="57" customHeight="1">
      <c r="A745" s="4" t="s">
        <v>6431</v>
      </c>
      <c r="B745" s="4" t="s">
        <v>6676</v>
      </c>
      <c r="C745" s="4" t="s">
        <v>24</v>
      </c>
      <c r="D745" s="4" t="s">
        <v>2276</v>
      </c>
      <c r="E745" s="4" t="s">
        <v>2649</v>
      </c>
      <c r="F745" s="4" t="s">
        <v>74</v>
      </c>
      <c r="G745" s="4"/>
      <c r="H745" s="4" t="s">
        <v>541</v>
      </c>
      <c r="I745" s="4" t="s">
        <v>2276</v>
      </c>
      <c r="J745" s="4" t="s">
        <v>2276</v>
      </c>
      <c r="K745" s="4" t="s">
        <v>2276</v>
      </c>
      <c r="L745" s="4" t="s">
        <v>2276</v>
      </c>
      <c r="M745" s="4" t="s">
        <v>2671</v>
      </c>
      <c r="N745" s="4" t="s">
        <v>534</v>
      </c>
      <c r="O745" s="4" t="s">
        <v>2276</v>
      </c>
      <c r="P745" s="4" t="s">
        <v>2276</v>
      </c>
      <c r="Q745" s="4" t="s">
        <v>2276</v>
      </c>
      <c r="R745" s="4" t="s">
        <v>2276</v>
      </c>
      <c r="S745" s="4" t="s">
        <v>2276</v>
      </c>
      <c r="T745" s="4" t="s">
        <v>2276</v>
      </c>
      <c r="U745" s="4" t="s">
        <v>2276</v>
      </c>
      <c r="V745" s="4" t="s">
        <v>2276</v>
      </c>
      <c r="W745" s="4"/>
    </row>
    <row r="746" spans="1:23" ht="57" customHeight="1">
      <c r="A746" s="4" t="s">
        <v>6635</v>
      </c>
      <c r="B746" s="4" t="s">
        <v>6636</v>
      </c>
      <c r="C746" s="4" t="s">
        <v>1105</v>
      </c>
      <c r="D746" s="4" t="s">
        <v>2276</v>
      </c>
      <c r="E746" s="4" t="s">
        <v>2649</v>
      </c>
      <c r="F746" s="4" t="s">
        <v>74</v>
      </c>
      <c r="G746" s="4"/>
      <c r="H746" s="4" t="s">
        <v>541</v>
      </c>
      <c r="I746" s="4" t="s">
        <v>2276</v>
      </c>
      <c r="J746" s="4" t="s">
        <v>2276</v>
      </c>
      <c r="K746" s="4" t="s">
        <v>2276</v>
      </c>
      <c r="L746" s="4" t="s">
        <v>2276</v>
      </c>
      <c r="M746" s="4" t="s">
        <v>2276</v>
      </c>
      <c r="N746" s="4" t="s">
        <v>2276</v>
      </c>
      <c r="O746" s="4" t="s">
        <v>2276</v>
      </c>
      <c r="P746" s="4" t="s">
        <v>2276</v>
      </c>
      <c r="Q746" s="4" t="s">
        <v>2276</v>
      </c>
      <c r="R746" s="4" t="s">
        <v>534</v>
      </c>
      <c r="S746" s="4" t="s">
        <v>534</v>
      </c>
      <c r="T746" s="4" t="s">
        <v>2276</v>
      </c>
      <c r="U746" s="4" t="s">
        <v>2276</v>
      </c>
      <c r="V746" s="4" t="s">
        <v>2276</v>
      </c>
      <c r="W746" s="4" t="s">
        <v>6703</v>
      </c>
    </row>
    <row r="747" spans="1:23" ht="57" customHeight="1">
      <c r="A747" s="4" t="s">
        <v>6635</v>
      </c>
      <c r="B747" s="4" t="s">
        <v>6677</v>
      </c>
      <c r="C747" s="4" t="s">
        <v>24</v>
      </c>
      <c r="D747" s="4" t="s">
        <v>2276</v>
      </c>
      <c r="E747" s="4" t="s">
        <v>2649</v>
      </c>
      <c r="F747" s="4" t="s">
        <v>74</v>
      </c>
      <c r="G747" s="4"/>
      <c r="H747" s="4" t="s">
        <v>541</v>
      </c>
      <c r="I747" s="4" t="s">
        <v>2276</v>
      </c>
      <c r="J747" s="4" t="s">
        <v>2276</v>
      </c>
      <c r="K747" s="4" t="s">
        <v>2276</v>
      </c>
      <c r="L747" s="4" t="s">
        <v>2276</v>
      </c>
      <c r="M747" s="4" t="s">
        <v>2671</v>
      </c>
      <c r="N747" s="4" t="s">
        <v>534</v>
      </c>
      <c r="O747" s="4" t="s">
        <v>2276</v>
      </c>
      <c r="P747" s="4" t="s">
        <v>2276</v>
      </c>
      <c r="Q747" s="4" t="s">
        <v>2276</v>
      </c>
      <c r="R747" s="4" t="s">
        <v>2276</v>
      </c>
      <c r="S747" s="4" t="s">
        <v>2276</v>
      </c>
      <c r="T747" s="4" t="s">
        <v>2276</v>
      </c>
      <c r="U747" s="4" t="s">
        <v>2276</v>
      </c>
      <c r="V747" s="4" t="s">
        <v>2276</v>
      </c>
      <c r="W747" s="4"/>
    </row>
    <row r="748" spans="1:23" ht="57" customHeight="1">
      <c r="A748" s="4" t="s">
        <v>6433</v>
      </c>
      <c r="B748" s="4" t="s">
        <v>6637</v>
      </c>
      <c r="C748" s="4" t="s">
        <v>1105</v>
      </c>
      <c r="D748" s="4" t="s">
        <v>2276</v>
      </c>
      <c r="E748" s="4" t="s">
        <v>2649</v>
      </c>
      <c r="F748" s="4" t="s">
        <v>74</v>
      </c>
      <c r="G748" s="4"/>
      <c r="H748" s="4" t="s">
        <v>541</v>
      </c>
      <c r="I748" s="4" t="s">
        <v>2276</v>
      </c>
      <c r="J748" s="4" t="s">
        <v>2276</v>
      </c>
      <c r="K748" s="4" t="s">
        <v>2276</v>
      </c>
      <c r="L748" s="4" t="s">
        <v>2276</v>
      </c>
      <c r="M748" s="4" t="s">
        <v>2276</v>
      </c>
      <c r="N748" s="4" t="s">
        <v>2276</v>
      </c>
      <c r="O748" s="4" t="s">
        <v>2276</v>
      </c>
      <c r="P748" s="4" t="s">
        <v>2276</v>
      </c>
      <c r="Q748" s="4" t="s">
        <v>2276</v>
      </c>
      <c r="R748" s="4" t="s">
        <v>534</v>
      </c>
      <c r="S748" s="4" t="s">
        <v>534</v>
      </c>
      <c r="T748" s="4" t="s">
        <v>2276</v>
      </c>
      <c r="U748" s="4" t="s">
        <v>2276</v>
      </c>
      <c r="V748" s="4" t="s">
        <v>2276</v>
      </c>
      <c r="W748" s="4" t="s">
        <v>6703</v>
      </c>
    </row>
    <row r="749" spans="1:23" ht="57" customHeight="1">
      <c r="A749" s="4" t="s">
        <v>6433</v>
      </c>
      <c r="B749" s="4" t="s">
        <v>6679</v>
      </c>
      <c r="C749" s="4" t="s">
        <v>24</v>
      </c>
      <c r="D749" s="4" t="s">
        <v>2276</v>
      </c>
      <c r="E749" s="4" t="s">
        <v>2649</v>
      </c>
      <c r="F749" s="4" t="s">
        <v>74</v>
      </c>
      <c r="G749" s="4"/>
      <c r="H749" s="4" t="s">
        <v>541</v>
      </c>
      <c r="I749" s="4" t="s">
        <v>2276</v>
      </c>
      <c r="J749" s="4" t="s">
        <v>2276</v>
      </c>
      <c r="K749" s="4" t="s">
        <v>2276</v>
      </c>
      <c r="L749" s="4" t="s">
        <v>2276</v>
      </c>
      <c r="M749" s="4" t="s">
        <v>2671</v>
      </c>
      <c r="N749" s="4" t="s">
        <v>534</v>
      </c>
      <c r="O749" s="4" t="s">
        <v>2276</v>
      </c>
      <c r="P749" s="4" t="s">
        <v>2276</v>
      </c>
      <c r="Q749" s="4" t="s">
        <v>2276</v>
      </c>
      <c r="R749" s="4" t="s">
        <v>2276</v>
      </c>
      <c r="S749" s="4" t="s">
        <v>2276</v>
      </c>
      <c r="T749" s="4" t="s">
        <v>2276</v>
      </c>
      <c r="U749" s="4" t="s">
        <v>2276</v>
      </c>
      <c r="V749" s="4" t="s">
        <v>2276</v>
      </c>
      <c r="W749" s="4"/>
    </row>
    <row r="750" spans="1:23" ht="57" customHeight="1">
      <c r="A750" s="4" t="s">
        <v>6434</v>
      </c>
      <c r="B750" s="4" t="s">
        <v>6638</v>
      </c>
      <c r="C750" s="4" t="s">
        <v>1105</v>
      </c>
      <c r="D750" s="4" t="s">
        <v>2276</v>
      </c>
      <c r="E750" s="4" t="s">
        <v>2649</v>
      </c>
      <c r="F750" s="4" t="s">
        <v>74</v>
      </c>
      <c r="G750" s="4"/>
      <c r="H750" s="4" t="s">
        <v>541</v>
      </c>
      <c r="I750" s="4" t="s">
        <v>2276</v>
      </c>
      <c r="J750" s="4" t="s">
        <v>2276</v>
      </c>
      <c r="K750" s="4" t="s">
        <v>2276</v>
      </c>
      <c r="L750" s="4" t="s">
        <v>2276</v>
      </c>
      <c r="M750" s="4" t="s">
        <v>2276</v>
      </c>
      <c r="N750" s="4" t="s">
        <v>2276</v>
      </c>
      <c r="O750" s="4" t="s">
        <v>2276</v>
      </c>
      <c r="P750" s="4" t="s">
        <v>2276</v>
      </c>
      <c r="Q750" s="4" t="s">
        <v>2276</v>
      </c>
      <c r="R750" s="4" t="s">
        <v>534</v>
      </c>
      <c r="S750" s="4" t="s">
        <v>534</v>
      </c>
      <c r="T750" s="4" t="s">
        <v>2276</v>
      </c>
      <c r="U750" s="4" t="s">
        <v>2276</v>
      </c>
      <c r="V750" s="4" t="s">
        <v>2276</v>
      </c>
      <c r="W750" s="4" t="s">
        <v>6703</v>
      </c>
    </row>
    <row r="751" spans="1:23" ht="57" customHeight="1">
      <c r="A751" s="4" t="s">
        <v>6434</v>
      </c>
      <c r="B751" s="4" t="s">
        <v>6680</v>
      </c>
      <c r="C751" s="4" t="s">
        <v>24</v>
      </c>
      <c r="D751" s="4" t="s">
        <v>2276</v>
      </c>
      <c r="E751" s="4" t="s">
        <v>2649</v>
      </c>
      <c r="F751" s="4" t="s">
        <v>74</v>
      </c>
      <c r="G751" s="4"/>
      <c r="H751" s="4" t="s">
        <v>541</v>
      </c>
      <c r="I751" s="4" t="s">
        <v>2276</v>
      </c>
      <c r="J751" s="4" t="s">
        <v>2276</v>
      </c>
      <c r="K751" s="4" t="s">
        <v>2276</v>
      </c>
      <c r="L751" s="4" t="s">
        <v>2276</v>
      </c>
      <c r="M751" s="4" t="s">
        <v>2671</v>
      </c>
      <c r="N751" s="4" t="s">
        <v>534</v>
      </c>
      <c r="O751" s="4" t="s">
        <v>2276</v>
      </c>
      <c r="P751" s="4" t="s">
        <v>2276</v>
      </c>
      <c r="Q751" s="4" t="s">
        <v>2276</v>
      </c>
      <c r="R751" s="4" t="s">
        <v>2276</v>
      </c>
      <c r="S751" s="4" t="s">
        <v>2276</v>
      </c>
      <c r="T751" s="4" t="s">
        <v>2276</v>
      </c>
      <c r="U751" s="4" t="s">
        <v>2276</v>
      </c>
      <c r="V751" s="4" t="s">
        <v>2276</v>
      </c>
      <c r="W751" s="4"/>
    </row>
    <row r="752" spans="1:23" ht="57" customHeight="1">
      <c r="A752" s="4" t="s">
        <v>6435</v>
      </c>
      <c r="B752" s="4" t="s">
        <v>6639</v>
      </c>
      <c r="C752" s="4" t="s">
        <v>1105</v>
      </c>
      <c r="D752" s="4" t="s">
        <v>2276</v>
      </c>
      <c r="E752" s="4" t="s">
        <v>2649</v>
      </c>
      <c r="F752" s="4" t="s">
        <v>74</v>
      </c>
      <c r="G752" s="4"/>
      <c r="H752" s="4" t="s">
        <v>541</v>
      </c>
      <c r="I752" s="4" t="s">
        <v>2276</v>
      </c>
      <c r="J752" s="4" t="s">
        <v>2276</v>
      </c>
      <c r="K752" s="4" t="s">
        <v>2276</v>
      </c>
      <c r="L752" s="4" t="s">
        <v>2276</v>
      </c>
      <c r="M752" s="4" t="s">
        <v>2276</v>
      </c>
      <c r="N752" s="4" t="s">
        <v>2276</v>
      </c>
      <c r="O752" s="4" t="s">
        <v>2276</v>
      </c>
      <c r="P752" s="4" t="s">
        <v>2276</v>
      </c>
      <c r="Q752" s="4" t="s">
        <v>2276</v>
      </c>
      <c r="R752" s="4" t="s">
        <v>534</v>
      </c>
      <c r="S752" s="4" t="s">
        <v>534</v>
      </c>
      <c r="T752" s="4" t="s">
        <v>2276</v>
      </c>
      <c r="U752" s="4" t="s">
        <v>2276</v>
      </c>
      <c r="V752" s="4" t="s">
        <v>2276</v>
      </c>
      <c r="W752" s="4" t="s">
        <v>6703</v>
      </c>
    </row>
    <row r="753" spans="1:23" ht="57" customHeight="1">
      <c r="A753" s="4" t="s">
        <v>6435</v>
      </c>
      <c r="B753" s="4" t="s">
        <v>6681</v>
      </c>
      <c r="C753" s="4" t="s">
        <v>24</v>
      </c>
      <c r="D753" s="4" t="s">
        <v>2276</v>
      </c>
      <c r="E753" s="4" t="s">
        <v>2649</v>
      </c>
      <c r="F753" s="4" t="s">
        <v>74</v>
      </c>
      <c r="G753" s="4"/>
      <c r="H753" s="4" t="s">
        <v>541</v>
      </c>
      <c r="I753" s="4" t="s">
        <v>2276</v>
      </c>
      <c r="J753" s="4" t="s">
        <v>2276</v>
      </c>
      <c r="K753" s="4" t="s">
        <v>2276</v>
      </c>
      <c r="L753" s="4" t="s">
        <v>2276</v>
      </c>
      <c r="M753" s="4" t="s">
        <v>2671</v>
      </c>
      <c r="N753" s="4" t="s">
        <v>534</v>
      </c>
      <c r="O753" s="4" t="s">
        <v>2276</v>
      </c>
      <c r="P753" s="4" t="s">
        <v>2276</v>
      </c>
      <c r="Q753" s="4" t="s">
        <v>2276</v>
      </c>
      <c r="R753" s="4" t="s">
        <v>2276</v>
      </c>
      <c r="S753" s="4" t="s">
        <v>2276</v>
      </c>
      <c r="T753" s="4" t="s">
        <v>2276</v>
      </c>
      <c r="U753" s="4" t="s">
        <v>2276</v>
      </c>
      <c r="V753" s="4" t="s">
        <v>2276</v>
      </c>
      <c r="W753" s="4"/>
    </row>
    <row r="754" spans="1:23" ht="57" customHeight="1">
      <c r="A754" s="4" t="s">
        <v>6436</v>
      </c>
      <c r="B754" s="4" t="s">
        <v>6640</v>
      </c>
      <c r="C754" s="4" t="s">
        <v>1105</v>
      </c>
      <c r="D754" s="4" t="s">
        <v>2276</v>
      </c>
      <c r="E754" s="4" t="s">
        <v>2649</v>
      </c>
      <c r="F754" s="4" t="s">
        <v>74</v>
      </c>
      <c r="G754" s="4"/>
      <c r="H754" s="4" t="s">
        <v>541</v>
      </c>
      <c r="I754" s="4" t="s">
        <v>2276</v>
      </c>
      <c r="J754" s="4" t="s">
        <v>2276</v>
      </c>
      <c r="K754" s="4" t="s">
        <v>2276</v>
      </c>
      <c r="L754" s="4" t="s">
        <v>2276</v>
      </c>
      <c r="M754" s="4" t="s">
        <v>2276</v>
      </c>
      <c r="N754" s="4" t="s">
        <v>2276</v>
      </c>
      <c r="O754" s="4" t="s">
        <v>2276</v>
      </c>
      <c r="P754" s="4" t="s">
        <v>2276</v>
      </c>
      <c r="Q754" s="4" t="s">
        <v>2276</v>
      </c>
      <c r="R754" s="4" t="s">
        <v>534</v>
      </c>
      <c r="S754" s="4" t="s">
        <v>534</v>
      </c>
      <c r="T754" s="4" t="s">
        <v>2276</v>
      </c>
      <c r="U754" s="4" t="s">
        <v>2276</v>
      </c>
      <c r="V754" s="4" t="s">
        <v>2276</v>
      </c>
      <c r="W754" s="4" t="s">
        <v>6703</v>
      </c>
    </row>
    <row r="755" spans="1:23" ht="57" customHeight="1">
      <c r="A755" s="4" t="s">
        <v>6436</v>
      </c>
      <c r="B755" s="4" t="s">
        <v>6683</v>
      </c>
      <c r="C755" s="4" t="s">
        <v>24</v>
      </c>
      <c r="D755" s="4" t="s">
        <v>2276</v>
      </c>
      <c r="E755" s="4" t="s">
        <v>2649</v>
      </c>
      <c r="F755" s="4" t="s">
        <v>74</v>
      </c>
      <c r="G755" s="4"/>
      <c r="H755" s="4" t="s">
        <v>541</v>
      </c>
      <c r="I755" s="4" t="s">
        <v>2276</v>
      </c>
      <c r="J755" s="4" t="s">
        <v>2276</v>
      </c>
      <c r="K755" s="4" t="s">
        <v>2276</v>
      </c>
      <c r="L755" s="4" t="s">
        <v>2276</v>
      </c>
      <c r="M755" s="4" t="s">
        <v>2671</v>
      </c>
      <c r="N755" s="4" t="s">
        <v>534</v>
      </c>
      <c r="O755" s="4" t="s">
        <v>2276</v>
      </c>
      <c r="P755" s="4" t="s">
        <v>2276</v>
      </c>
      <c r="Q755" s="4" t="s">
        <v>2276</v>
      </c>
      <c r="R755" s="4" t="s">
        <v>2276</v>
      </c>
      <c r="S755" s="4" t="s">
        <v>2276</v>
      </c>
      <c r="T755" s="4" t="s">
        <v>2276</v>
      </c>
      <c r="U755" s="4" t="s">
        <v>2276</v>
      </c>
      <c r="V755" s="4" t="s">
        <v>2276</v>
      </c>
      <c r="W755" s="4"/>
    </row>
    <row r="756" spans="1:23" ht="57" customHeight="1">
      <c r="A756" s="4" t="s">
        <v>6437</v>
      </c>
      <c r="B756" s="4" t="s">
        <v>6641</v>
      </c>
      <c r="C756" s="4" t="s">
        <v>1105</v>
      </c>
      <c r="D756" s="4" t="s">
        <v>2276</v>
      </c>
      <c r="E756" s="4" t="s">
        <v>137</v>
      </c>
      <c r="F756" s="4" t="s">
        <v>74</v>
      </c>
      <c r="G756" s="4"/>
      <c r="H756" s="4" t="s">
        <v>541</v>
      </c>
      <c r="I756" s="4" t="s">
        <v>2276</v>
      </c>
      <c r="J756" s="4" t="s">
        <v>2276</v>
      </c>
      <c r="K756" s="4" t="s">
        <v>2276</v>
      </c>
      <c r="L756" s="4" t="s">
        <v>2276</v>
      </c>
      <c r="M756" s="4" t="s">
        <v>2671</v>
      </c>
      <c r="N756" s="4"/>
      <c r="O756" s="4" t="s">
        <v>534</v>
      </c>
      <c r="P756" s="4" t="s">
        <v>2276</v>
      </c>
      <c r="Q756" s="4" t="s">
        <v>2276</v>
      </c>
      <c r="R756" s="4" t="s">
        <v>2276</v>
      </c>
      <c r="S756" s="4" t="s">
        <v>2276</v>
      </c>
      <c r="T756" s="4" t="s">
        <v>2276</v>
      </c>
      <c r="U756" s="4" t="s">
        <v>2276</v>
      </c>
      <c r="V756" s="4" t="s">
        <v>2276</v>
      </c>
      <c r="W756" s="4"/>
    </row>
    <row r="757" spans="1:23" ht="57" customHeight="1">
      <c r="A757" s="4" t="s">
        <v>6438</v>
      </c>
      <c r="B757" s="4" t="s">
        <v>6685</v>
      </c>
      <c r="C757" s="4" t="s">
        <v>1105</v>
      </c>
      <c r="D757" s="4" t="s">
        <v>2276</v>
      </c>
      <c r="E757" s="4" t="s">
        <v>2649</v>
      </c>
      <c r="F757" s="4" t="s">
        <v>74</v>
      </c>
      <c r="G757" s="4"/>
      <c r="H757" s="4" t="s">
        <v>2673</v>
      </c>
      <c r="I757" s="4" t="s">
        <v>2276</v>
      </c>
      <c r="J757" s="4" t="s">
        <v>2276</v>
      </c>
      <c r="K757" s="4" t="s">
        <v>2276</v>
      </c>
      <c r="L757" s="4" t="s">
        <v>2276</v>
      </c>
      <c r="M757" s="4" t="s">
        <v>2276</v>
      </c>
      <c r="N757" s="4" t="s">
        <v>2276</v>
      </c>
      <c r="O757" s="4" t="s">
        <v>2276</v>
      </c>
      <c r="P757" s="4" t="s">
        <v>2276</v>
      </c>
      <c r="Q757" s="4" t="s">
        <v>2276</v>
      </c>
      <c r="R757" s="4" t="s">
        <v>534</v>
      </c>
      <c r="S757" s="4" t="s">
        <v>534</v>
      </c>
      <c r="T757" s="4" t="s">
        <v>2276</v>
      </c>
      <c r="U757" s="4" t="s">
        <v>2276</v>
      </c>
      <c r="V757" s="4" t="s">
        <v>2276</v>
      </c>
      <c r="W757" s="4"/>
    </row>
    <row r="758" spans="1:23" ht="57" customHeight="1">
      <c r="A758" s="4" t="s">
        <v>6439</v>
      </c>
      <c r="B758" s="4" t="s">
        <v>6643</v>
      </c>
      <c r="C758" s="4" t="s">
        <v>1105</v>
      </c>
      <c r="D758" s="4" t="s">
        <v>2276</v>
      </c>
      <c r="E758" s="4" t="s">
        <v>2649</v>
      </c>
      <c r="F758" s="4" t="s">
        <v>74</v>
      </c>
      <c r="G758" s="4"/>
      <c r="H758" s="4" t="s">
        <v>541</v>
      </c>
      <c r="I758" s="4" t="s">
        <v>2276</v>
      </c>
      <c r="J758" s="4" t="s">
        <v>2276</v>
      </c>
      <c r="K758" s="4" t="s">
        <v>2276</v>
      </c>
      <c r="L758" s="4" t="s">
        <v>2276</v>
      </c>
      <c r="M758" s="4" t="s">
        <v>2276</v>
      </c>
      <c r="N758" s="4" t="s">
        <v>2276</v>
      </c>
      <c r="O758" s="4" t="s">
        <v>2276</v>
      </c>
      <c r="P758" s="4" t="s">
        <v>2276</v>
      </c>
      <c r="Q758" s="4" t="s">
        <v>2276</v>
      </c>
      <c r="R758" s="4" t="s">
        <v>534</v>
      </c>
      <c r="S758" s="4" t="s">
        <v>534</v>
      </c>
      <c r="T758" s="4" t="s">
        <v>2276</v>
      </c>
      <c r="U758" s="4" t="s">
        <v>2276</v>
      </c>
      <c r="V758" s="4" t="s">
        <v>2276</v>
      </c>
      <c r="W758" s="4"/>
    </row>
    <row r="759" spans="1:23" ht="57" customHeight="1">
      <c r="A759" s="4" t="s">
        <v>6440</v>
      </c>
      <c r="B759" s="4" t="s">
        <v>6646</v>
      </c>
      <c r="C759" s="4" t="s">
        <v>1105</v>
      </c>
      <c r="D759" s="4" t="s">
        <v>2276</v>
      </c>
      <c r="E759" s="4" t="s">
        <v>2649</v>
      </c>
      <c r="F759" s="4" t="s">
        <v>74</v>
      </c>
      <c r="G759" s="4"/>
      <c r="H759" s="4" t="s">
        <v>541</v>
      </c>
      <c r="I759" s="4" t="s">
        <v>2276</v>
      </c>
      <c r="J759" s="4" t="s">
        <v>2276</v>
      </c>
      <c r="K759" s="4" t="s">
        <v>2276</v>
      </c>
      <c r="L759" s="4" t="s">
        <v>2276</v>
      </c>
      <c r="M759" s="4" t="s">
        <v>2671</v>
      </c>
      <c r="N759" s="4" t="s">
        <v>534</v>
      </c>
      <c r="O759" s="4" t="s">
        <v>2276</v>
      </c>
      <c r="P759" s="4" t="s">
        <v>2276</v>
      </c>
      <c r="Q759" s="4" t="s">
        <v>2276</v>
      </c>
      <c r="R759" s="4" t="s">
        <v>2276</v>
      </c>
      <c r="S759" s="4" t="s">
        <v>2276</v>
      </c>
      <c r="T759" s="4" t="s">
        <v>2276</v>
      </c>
      <c r="U759" s="4" t="s">
        <v>2276</v>
      </c>
      <c r="V759" s="4" t="s">
        <v>2276</v>
      </c>
      <c r="W759" s="4"/>
    </row>
    <row r="760" spans="1:23" ht="57" customHeight="1">
      <c r="A760" s="4" t="s">
        <v>6441</v>
      </c>
      <c r="B760" s="4" t="s">
        <v>6647</v>
      </c>
      <c r="C760" s="4" t="s">
        <v>24</v>
      </c>
      <c r="D760" s="4" t="s">
        <v>144</v>
      </c>
      <c r="E760" s="4" t="s">
        <v>2649</v>
      </c>
      <c r="F760" s="4" t="s">
        <v>74</v>
      </c>
      <c r="G760" s="4"/>
      <c r="H760" s="4" t="s">
        <v>1093</v>
      </c>
      <c r="I760" s="4" t="s">
        <v>2691</v>
      </c>
      <c r="J760" s="4" t="s">
        <v>534</v>
      </c>
      <c r="K760" s="4" t="s">
        <v>2276</v>
      </c>
      <c r="L760" s="4" t="s">
        <v>2276</v>
      </c>
      <c r="M760" s="4" t="s">
        <v>2276</v>
      </c>
      <c r="N760" s="4" t="s">
        <v>2276</v>
      </c>
      <c r="O760" s="4" t="s">
        <v>2276</v>
      </c>
      <c r="P760" s="4" t="s">
        <v>2276</v>
      </c>
      <c r="Q760" s="4" t="s">
        <v>2276</v>
      </c>
      <c r="R760" s="4" t="s">
        <v>2276</v>
      </c>
      <c r="S760" s="4" t="s">
        <v>2276</v>
      </c>
      <c r="T760" s="4" t="s">
        <v>2276</v>
      </c>
      <c r="U760" s="4" t="s">
        <v>2276</v>
      </c>
      <c r="V760" s="4" t="s">
        <v>2276</v>
      </c>
      <c r="W760" s="4" t="s">
        <v>6704</v>
      </c>
    </row>
    <row r="761" spans="1:23" ht="57" customHeight="1">
      <c r="A761" s="4" t="s">
        <v>6441</v>
      </c>
      <c r="B761" s="4" t="s">
        <v>6648</v>
      </c>
      <c r="C761" s="4" t="s">
        <v>24</v>
      </c>
      <c r="D761" s="4" t="s">
        <v>144</v>
      </c>
      <c r="E761" s="4" t="s">
        <v>2649</v>
      </c>
      <c r="F761" s="4" t="s">
        <v>74</v>
      </c>
      <c r="G761" s="4"/>
      <c r="H761" s="4" t="s">
        <v>541</v>
      </c>
      <c r="I761" s="4" t="s">
        <v>2691</v>
      </c>
      <c r="J761" s="4"/>
      <c r="K761" s="4" t="s">
        <v>534</v>
      </c>
      <c r="L761" s="4" t="s">
        <v>2276</v>
      </c>
      <c r="M761" s="4" t="s">
        <v>2276</v>
      </c>
      <c r="N761" s="4" t="s">
        <v>2276</v>
      </c>
      <c r="O761" s="4" t="s">
        <v>2276</v>
      </c>
      <c r="P761" s="4" t="s">
        <v>2276</v>
      </c>
      <c r="Q761" s="4" t="s">
        <v>2276</v>
      </c>
      <c r="R761" s="4" t="s">
        <v>2276</v>
      </c>
      <c r="S761" s="4" t="s">
        <v>2276</v>
      </c>
      <c r="T761" s="4" t="s">
        <v>2276</v>
      </c>
      <c r="U761" s="4" t="s">
        <v>2276</v>
      </c>
      <c r="V761" s="4" t="s">
        <v>2276</v>
      </c>
      <c r="W761" s="4" t="s">
        <v>6705</v>
      </c>
    </row>
    <row r="762" spans="1:23" ht="52" customHeight="1">
      <c r="A762" s="19" t="s">
        <v>7132</v>
      </c>
      <c r="B762" s="19" t="s">
        <v>7140</v>
      </c>
      <c r="C762" s="4" t="s">
        <v>24</v>
      </c>
      <c r="D762" s="205" t="s">
        <v>25</v>
      </c>
      <c r="E762" s="205" t="s">
        <v>45</v>
      </c>
      <c r="F762" s="205" t="s">
        <v>55</v>
      </c>
      <c r="G762" s="205"/>
      <c r="H762" s="4" t="s">
        <v>2673</v>
      </c>
      <c r="I762" s="205" t="s">
        <v>2276</v>
      </c>
      <c r="J762" s="205" t="s">
        <v>2276</v>
      </c>
      <c r="K762" s="205" t="s">
        <v>2276</v>
      </c>
      <c r="L762" s="205" t="s">
        <v>2276</v>
      </c>
      <c r="M762" s="205" t="s">
        <v>2728</v>
      </c>
      <c r="N762" s="205" t="s">
        <v>534</v>
      </c>
      <c r="O762" s="205" t="s">
        <v>534</v>
      </c>
      <c r="P762" s="205" t="s">
        <v>2276</v>
      </c>
      <c r="Q762" s="205">
        <v>2</v>
      </c>
      <c r="R762" s="205" t="s">
        <v>2276</v>
      </c>
      <c r="S762" s="205" t="s">
        <v>2276</v>
      </c>
      <c r="T762" s="205" t="s">
        <v>2276</v>
      </c>
      <c r="U762" s="205" t="s">
        <v>2276</v>
      </c>
      <c r="V762" s="205" t="s">
        <v>2276</v>
      </c>
      <c r="W762" s="4" t="s">
        <v>7148</v>
      </c>
    </row>
    <row r="763" spans="1:23" ht="53.5" customHeight="1">
      <c r="A763" s="19" t="s">
        <v>7132</v>
      </c>
      <c r="B763" s="19" t="s">
        <v>7141</v>
      </c>
      <c r="C763" s="4" t="s">
        <v>24</v>
      </c>
      <c r="D763" s="205" t="s">
        <v>27</v>
      </c>
      <c r="E763" s="205" t="s">
        <v>130</v>
      </c>
      <c r="F763" s="205" t="s">
        <v>29</v>
      </c>
      <c r="G763" s="205"/>
      <c r="H763" s="4" t="s">
        <v>2673</v>
      </c>
      <c r="I763" s="205" t="s">
        <v>2276</v>
      </c>
      <c r="J763" s="205" t="s">
        <v>2276</v>
      </c>
      <c r="K763" s="205" t="s">
        <v>2276</v>
      </c>
      <c r="L763" s="205" t="s">
        <v>2276</v>
      </c>
      <c r="M763" s="205" t="s">
        <v>2728</v>
      </c>
      <c r="N763" s="205" t="s">
        <v>534</v>
      </c>
      <c r="O763" s="205" t="s">
        <v>534</v>
      </c>
      <c r="P763" s="205" t="s">
        <v>2276</v>
      </c>
      <c r="Q763" s="205">
        <v>2</v>
      </c>
      <c r="R763" s="205" t="s">
        <v>2276</v>
      </c>
      <c r="S763" s="205" t="s">
        <v>2276</v>
      </c>
      <c r="T763" s="205" t="s">
        <v>2276</v>
      </c>
      <c r="U763" s="205" t="s">
        <v>2276</v>
      </c>
      <c r="V763" s="205" t="s">
        <v>2276</v>
      </c>
      <c r="W763" s="4" t="s">
        <v>7148</v>
      </c>
    </row>
    <row r="764" spans="1:23" ht="33.5" customHeight="1">
      <c r="A764" s="19" t="s">
        <v>7152</v>
      </c>
      <c r="B764" s="19" t="s">
        <v>7156</v>
      </c>
      <c r="C764" s="4" t="s">
        <v>24</v>
      </c>
      <c r="D764" s="4" t="s">
        <v>25</v>
      </c>
      <c r="E764" s="4" t="s">
        <v>45</v>
      </c>
      <c r="F764" s="4" t="s">
        <v>2662</v>
      </c>
      <c r="G764" s="205"/>
      <c r="H764" s="4" t="s">
        <v>541</v>
      </c>
      <c r="I764" s="205" t="s">
        <v>2276</v>
      </c>
      <c r="J764" s="205" t="s">
        <v>2276</v>
      </c>
      <c r="K764" s="205" t="s">
        <v>2276</v>
      </c>
      <c r="L764" s="205" t="s">
        <v>2276</v>
      </c>
      <c r="M764" s="205" t="s">
        <v>2276</v>
      </c>
      <c r="N764" s="205" t="s">
        <v>2276</v>
      </c>
      <c r="O764" s="205" t="s">
        <v>2276</v>
      </c>
      <c r="P764" s="205" t="s">
        <v>2276</v>
      </c>
      <c r="Q764" s="205" t="s">
        <v>2276</v>
      </c>
      <c r="R764" s="11" t="s">
        <v>534</v>
      </c>
      <c r="S764" s="205" t="s">
        <v>2276</v>
      </c>
      <c r="T764" s="205" t="s">
        <v>2276</v>
      </c>
      <c r="U764" s="205" t="s">
        <v>2276</v>
      </c>
      <c r="V764" s="205">
        <v>4</v>
      </c>
      <c r="W764" s="19" t="s">
        <v>7164</v>
      </c>
    </row>
    <row r="765" spans="1:23" ht="46" customHeight="1">
      <c r="A765" s="4" t="s">
        <v>7152</v>
      </c>
      <c r="B765" s="19" t="s">
        <v>7157</v>
      </c>
      <c r="C765" s="4" t="s">
        <v>24</v>
      </c>
      <c r="D765" s="4" t="s">
        <v>1242</v>
      </c>
      <c r="E765" s="4" t="s">
        <v>3209</v>
      </c>
      <c r="F765" s="4" t="s">
        <v>2662</v>
      </c>
      <c r="G765" s="205"/>
      <c r="H765" s="4" t="s">
        <v>541</v>
      </c>
      <c r="I765" s="205" t="s">
        <v>2691</v>
      </c>
      <c r="J765" s="205" t="s">
        <v>534</v>
      </c>
      <c r="K765" s="205" t="s">
        <v>534</v>
      </c>
      <c r="L765" s="205" t="s">
        <v>2276</v>
      </c>
      <c r="M765" s="205" t="s">
        <v>2728</v>
      </c>
      <c r="N765" s="205" t="s">
        <v>2276</v>
      </c>
      <c r="O765" s="205" t="s">
        <v>2276</v>
      </c>
      <c r="P765" s="205" t="s">
        <v>2276</v>
      </c>
      <c r="Q765" s="205" t="s">
        <v>2276</v>
      </c>
      <c r="R765" s="205" t="s">
        <v>537</v>
      </c>
      <c r="S765" s="205" t="s">
        <v>537</v>
      </c>
      <c r="T765" s="205" t="s">
        <v>537</v>
      </c>
      <c r="U765" s="205" t="s">
        <v>537</v>
      </c>
      <c r="V765" s="205" t="s">
        <v>2276</v>
      </c>
      <c r="W765" s="4" t="s">
        <v>7165</v>
      </c>
    </row>
    <row r="766" spans="1:23" ht="47.5" customHeight="1">
      <c r="A766" s="4" t="s">
        <v>7152</v>
      </c>
      <c r="B766" s="19" t="s">
        <v>7158</v>
      </c>
      <c r="C766" s="4" t="s">
        <v>24</v>
      </c>
      <c r="D766" s="4" t="s">
        <v>144</v>
      </c>
      <c r="E766" s="4" t="s">
        <v>3209</v>
      </c>
      <c r="F766" s="4" t="s">
        <v>2662</v>
      </c>
      <c r="G766" s="205"/>
      <c r="H766" s="4" t="s">
        <v>541</v>
      </c>
      <c r="I766" s="205" t="s">
        <v>2691</v>
      </c>
      <c r="J766" s="205" t="s">
        <v>534</v>
      </c>
      <c r="K766" s="205" t="s">
        <v>534</v>
      </c>
      <c r="L766" s="205" t="s">
        <v>2276</v>
      </c>
      <c r="M766" s="205" t="s">
        <v>2728</v>
      </c>
      <c r="N766" s="205" t="s">
        <v>2276</v>
      </c>
      <c r="O766" s="205" t="s">
        <v>2276</v>
      </c>
      <c r="P766" s="205" t="s">
        <v>2276</v>
      </c>
      <c r="Q766" s="205" t="s">
        <v>2276</v>
      </c>
      <c r="R766" s="205" t="s">
        <v>537</v>
      </c>
      <c r="S766" s="205" t="s">
        <v>537</v>
      </c>
      <c r="T766" s="205" t="s">
        <v>537</v>
      </c>
      <c r="U766" s="205" t="s">
        <v>537</v>
      </c>
      <c r="V766" s="205" t="s">
        <v>2276</v>
      </c>
      <c r="W766" s="4" t="s">
        <v>7165</v>
      </c>
    </row>
    <row r="767" spans="1:23" ht="58">
      <c r="A767" s="19" t="s">
        <v>7212</v>
      </c>
      <c r="B767" s="19" t="s">
        <v>7287</v>
      </c>
      <c r="C767" s="205" t="s">
        <v>1105</v>
      </c>
      <c r="D767" s="205" t="s">
        <v>1105</v>
      </c>
      <c r="E767" s="205" t="s">
        <v>45</v>
      </c>
      <c r="F767" s="4" t="s">
        <v>2662</v>
      </c>
      <c r="G767" s="205"/>
      <c r="H767" s="4" t="s">
        <v>4077</v>
      </c>
      <c r="I767" s="205" t="s">
        <v>2690</v>
      </c>
      <c r="J767" s="205" t="s">
        <v>534</v>
      </c>
      <c r="K767" s="205" t="s">
        <v>2276</v>
      </c>
      <c r="L767" s="205" t="s">
        <v>2276</v>
      </c>
      <c r="M767" s="205" t="s">
        <v>2276</v>
      </c>
      <c r="N767" s="205" t="s">
        <v>2276</v>
      </c>
      <c r="O767" s="205" t="s">
        <v>2276</v>
      </c>
      <c r="P767" s="205" t="s">
        <v>2276</v>
      </c>
      <c r="Q767" s="205" t="s">
        <v>2276</v>
      </c>
      <c r="R767" s="205" t="s">
        <v>2276</v>
      </c>
      <c r="S767" s="205" t="s">
        <v>2276</v>
      </c>
      <c r="T767" s="205" t="s">
        <v>2276</v>
      </c>
      <c r="U767" s="205" t="s">
        <v>2276</v>
      </c>
      <c r="V767" s="205" t="s">
        <v>2276</v>
      </c>
      <c r="W767" s="4" t="s">
        <v>7291</v>
      </c>
    </row>
    <row r="768" spans="1:23" ht="58">
      <c r="A768" s="19" t="s">
        <v>7213</v>
      </c>
      <c r="B768" s="19" t="s">
        <v>7288</v>
      </c>
      <c r="C768" s="205" t="s">
        <v>1105</v>
      </c>
      <c r="D768" s="205" t="s">
        <v>1105</v>
      </c>
      <c r="E768" s="205" t="s">
        <v>45</v>
      </c>
      <c r="F768" s="4" t="s">
        <v>2662</v>
      </c>
      <c r="G768" s="205"/>
      <c r="H768" s="4" t="s">
        <v>4077</v>
      </c>
      <c r="I768" s="205" t="s">
        <v>2690</v>
      </c>
      <c r="J768" s="205" t="s">
        <v>534</v>
      </c>
      <c r="K768" s="205" t="s">
        <v>2276</v>
      </c>
      <c r="L768" s="205" t="s">
        <v>2276</v>
      </c>
      <c r="M768" s="205" t="s">
        <v>2276</v>
      </c>
      <c r="N768" s="205" t="s">
        <v>2276</v>
      </c>
      <c r="O768" s="205" t="s">
        <v>2276</v>
      </c>
      <c r="P768" s="205" t="s">
        <v>2276</v>
      </c>
      <c r="Q768" s="205" t="s">
        <v>2276</v>
      </c>
      <c r="R768" s="205" t="s">
        <v>2276</v>
      </c>
      <c r="S768" s="205" t="s">
        <v>2276</v>
      </c>
      <c r="T768" s="205" t="s">
        <v>2276</v>
      </c>
      <c r="U768" s="205" t="s">
        <v>2276</v>
      </c>
      <c r="V768" s="205" t="s">
        <v>2276</v>
      </c>
      <c r="W768" s="4" t="s">
        <v>7291</v>
      </c>
    </row>
    <row r="769" spans="1:23" ht="58">
      <c r="A769" s="19" t="s">
        <v>7214</v>
      </c>
      <c r="B769" s="19" t="s">
        <v>7289</v>
      </c>
      <c r="C769" s="205" t="s">
        <v>1105</v>
      </c>
      <c r="D769" s="205" t="s">
        <v>1105</v>
      </c>
      <c r="E769" s="205" t="s">
        <v>45</v>
      </c>
      <c r="F769" s="4" t="s">
        <v>2662</v>
      </c>
      <c r="G769" s="205"/>
      <c r="H769" s="4" t="s">
        <v>4077</v>
      </c>
      <c r="I769" s="205" t="s">
        <v>2690</v>
      </c>
      <c r="J769" s="205" t="s">
        <v>534</v>
      </c>
      <c r="K769" s="205" t="s">
        <v>2276</v>
      </c>
      <c r="L769" s="205" t="s">
        <v>2276</v>
      </c>
      <c r="M769" s="205" t="s">
        <v>2276</v>
      </c>
      <c r="N769" s="205" t="s">
        <v>2276</v>
      </c>
      <c r="O769" s="205" t="s">
        <v>2276</v>
      </c>
      <c r="P769" s="205" t="s">
        <v>2276</v>
      </c>
      <c r="Q769" s="205" t="s">
        <v>2276</v>
      </c>
      <c r="R769" s="205" t="s">
        <v>2276</v>
      </c>
      <c r="S769" s="205" t="s">
        <v>2276</v>
      </c>
      <c r="T769" s="205" t="s">
        <v>2276</v>
      </c>
      <c r="U769" s="205" t="s">
        <v>2276</v>
      </c>
      <c r="V769" s="205" t="s">
        <v>2276</v>
      </c>
      <c r="W769" s="4" t="s">
        <v>7291</v>
      </c>
    </row>
    <row r="770" spans="1:23" ht="58">
      <c r="A770" s="19" t="s">
        <v>7215</v>
      </c>
      <c r="B770" s="19" t="s">
        <v>7290</v>
      </c>
      <c r="C770" s="205" t="s">
        <v>1105</v>
      </c>
      <c r="D770" s="205" t="s">
        <v>1105</v>
      </c>
      <c r="E770" s="205" t="s">
        <v>45</v>
      </c>
      <c r="F770" s="4" t="s">
        <v>2662</v>
      </c>
      <c r="G770" s="205"/>
      <c r="H770" s="4" t="s">
        <v>4077</v>
      </c>
      <c r="I770" s="205" t="s">
        <v>2690</v>
      </c>
      <c r="J770" s="205" t="s">
        <v>534</v>
      </c>
      <c r="K770" s="205" t="s">
        <v>2276</v>
      </c>
      <c r="L770" s="205" t="s">
        <v>2276</v>
      </c>
      <c r="M770" s="205" t="s">
        <v>2276</v>
      </c>
      <c r="N770" s="205" t="s">
        <v>2276</v>
      </c>
      <c r="O770" s="205" t="s">
        <v>2276</v>
      </c>
      <c r="P770" s="205" t="s">
        <v>2276</v>
      </c>
      <c r="Q770" s="205" t="s">
        <v>2276</v>
      </c>
      <c r="R770" s="205" t="s">
        <v>2276</v>
      </c>
      <c r="S770" s="205" t="s">
        <v>2276</v>
      </c>
      <c r="T770" s="205" t="s">
        <v>2276</v>
      </c>
      <c r="U770" s="205" t="s">
        <v>2276</v>
      </c>
      <c r="V770" s="205" t="s">
        <v>2276</v>
      </c>
      <c r="W770" s="4" t="s">
        <v>7291</v>
      </c>
    </row>
    <row r="771" spans="1:23" ht="51" customHeight="1">
      <c r="A771" s="19" t="s">
        <v>7241</v>
      </c>
      <c r="B771" s="19" t="s">
        <v>7293</v>
      </c>
      <c r="C771" s="205" t="s">
        <v>24</v>
      </c>
      <c r="D771" s="4" t="s">
        <v>2804</v>
      </c>
      <c r="E771" s="205" t="s">
        <v>45</v>
      </c>
      <c r="F771" s="4" t="s">
        <v>2662</v>
      </c>
      <c r="G771" s="205"/>
      <c r="H771" s="4" t="s">
        <v>4077</v>
      </c>
      <c r="I771" s="205" t="s">
        <v>2691</v>
      </c>
      <c r="J771" s="205" t="s">
        <v>534</v>
      </c>
      <c r="K771" s="205" t="s">
        <v>2276</v>
      </c>
      <c r="L771" s="205" t="s">
        <v>2276</v>
      </c>
      <c r="M771" s="205" t="s">
        <v>2276</v>
      </c>
      <c r="N771" s="205" t="s">
        <v>2276</v>
      </c>
      <c r="O771" s="205" t="s">
        <v>2276</v>
      </c>
      <c r="P771" s="205" t="s">
        <v>2276</v>
      </c>
      <c r="Q771" s="205" t="s">
        <v>2276</v>
      </c>
      <c r="R771" s="205" t="s">
        <v>2276</v>
      </c>
      <c r="S771" s="205" t="s">
        <v>2276</v>
      </c>
      <c r="T771" s="205" t="s">
        <v>2276</v>
      </c>
      <c r="U771" s="205" t="s">
        <v>2276</v>
      </c>
      <c r="V771" s="205" t="s">
        <v>2276</v>
      </c>
      <c r="W771" s="4" t="s">
        <v>7299</v>
      </c>
    </row>
    <row r="772" spans="1:23" ht="53.5" customHeight="1">
      <c r="A772" s="19" t="s">
        <v>7242</v>
      </c>
      <c r="B772" s="19" t="s">
        <v>7296</v>
      </c>
      <c r="C772" s="205" t="s">
        <v>24</v>
      </c>
      <c r="D772" s="4" t="s">
        <v>2804</v>
      </c>
      <c r="E772" s="205" t="s">
        <v>45</v>
      </c>
      <c r="F772" s="4" t="s">
        <v>2662</v>
      </c>
      <c r="G772" s="205"/>
      <c r="H772" s="4" t="s">
        <v>4077</v>
      </c>
      <c r="I772" s="205" t="s">
        <v>2691</v>
      </c>
      <c r="J772" s="205" t="s">
        <v>534</v>
      </c>
      <c r="K772" s="205" t="s">
        <v>2276</v>
      </c>
      <c r="L772" s="205" t="s">
        <v>2276</v>
      </c>
      <c r="M772" s="205" t="s">
        <v>2276</v>
      </c>
      <c r="N772" s="205" t="s">
        <v>2276</v>
      </c>
      <c r="O772" s="205" t="s">
        <v>2276</v>
      </c>
      <c r="P772" s="205" t="s">
        <v>2276</v>
      </c>
      <c r="Q772" s="205" t="s">
        <v>2276</v>
      </c>
      <c r="R772" s="205" t="s">
        <v>2276</v>
      </c>
      <c r="S772" s="205" t="s">
        <v>2276</v>
      </c>
      <c r="T772" s="205" t="s">
        <v>2276</v>
      </c>
      <c r="U772" s="205" t="s">
        <v>2276</v>
      </c>
      <c r="V772" s="205" t="s">
        <v>2276</v>
      </c>
      <c r="W772" s="4" t="s">
        <v>7299</v>
      </c>
    </row>
    <row r="773" spans="1:23" ht="58" customHeight="1">
      <c r="A773" s="19" t="s">
        <v>7243</v>
      </c>
      <c r="B773" s="19" t="s">
        <v>7298</v>
      </c>
      <c r="C773" s="205" t="s">
        <v>24</v>
      </c>
      <c r="D773" s="4" t="s">
        <v>2804</v>
      </c>
      <c r="E773" s="205" t="s">
        <v>45</v>
      </c>
      <c r="F773" s="4" t="s">
        <v>2662</v>
      </c>
      <c r="G773" s="205"/>
      <c r="H773" s="4" t="s">
        <v>4077</v>
      </c>
      <c r="I773" s="205" t="s">
        <v>2691</v>
      </c>
      <c r="J773" s="205" t="s">
        <v>534</v>
      </c>
      <c r="K773" s="205" t="s">
        <v>2276</v>
      </c>
      <c r="L773" s="205" t="s">
        <v>2276</v>
      </c>
      <c r="M773" s="205" t="s">
        <v>2276</v>
      </c>
      <c r="N773" s="205" t="s">
        <v>2276</v>
      </c>
      <c r="O773" s="205" t="s">
        <v>2276</v>
      </c>
      <c r="P773" s="205" t="s">
        <v>2276</v>
      </c>
      <c r="Q773" s="205" t="s">
        <v>2276</v>
      </c>
      <c r="R773" s="205" t="s">
        <v>2276</v>
      </c>
      <c r="S773" s="205" t="s">
        <v>2276</v>
      </c>
      <c r="T773" s="205" t="s">
        <v>2276</v>
      </c>
      <c r="U773" s="205" t="s">
        <v>2276</v>
      </c>
      <c r="V773" s="205" t="s">
        <v>2276</v>
      </c>
      <c r="W773" s="4" t="s">
        <v>7299</v>
      </c>
    </row>
    <row r="774" spans="1:23" ht="29.5" customHeight="1">
      <c r="A774" s="19" t="s">
        <v>7307</v>
      </c>
      <c r="B774" s="19" t="s">
        <v>7314</v>
      </c>
      <c r="C774" s="205" t="s">
        <v>24</v>
      </c>
      <c r="D774" s="205" t="s">
        <v>1242</v>
      </c>
      <c r="E774" s="205" t="s">
        <v>2649</v>
      </c>
      <c r="F774" s="4" t="s">
        <v>2662</v>
      </c>
      <c r="G774" s="205"/>
      <c r="H774" s="4" t="s">
        <v>541</v>
      </c>
      <c r="I774" s="205" t="s">
        <v>2276</v>
      </c>
      <c r="J774" s="205" t="s">
        <v>2276</v>
      </c>
      <c r="K774" s="205" t="s">
        <v>2276</v>
      </c>
      <c r="L774" s="205" t="s">
        <v>2276</v>
      </c>
      <c r="M774" s="205" t="s">
        <v>2276</v>
      </c>
      <c r="N774" s="205" t="s">
        <v>2276</v>
      </c>
      <c r="O774" s="205" t="s">
        <v>2276</v>
      </c>
      <c r="P774" s="205" t="s">
        <v>2276</v>
      </c>
      <c r="Q774" s="205" t="s">
        <v>2276</v>
      </c>
      <c r="R774" s="205" t="s">
        <v>534</v>
      </c>
      <c r="S774" s="205" t="s">
        <v>2276</v>
      </c>
      <c r="T774" s="205" t="s">
        <v>2276</v>
      </c>
      <c r="U774" s="205" t="s">
        <v>2276</v>
      </c>
      <c r="V774" s="205">
        <v>4</v>
      </c>
      <c r="W774" s="19" t="s">
        <v>7317</v>
      </c>
    </row>
    <row r="775" spans="1:23" ht="33.5" customHeight="1">
      <c r="A775" s="19" t="s">
        <v>7307</v>
      </c>
      <c r="B775" s="19" t="s">
        <v>7315</v>
      </c>
      <c r="C775" s="205" t="s">
        <v>24</v>
      </c>
      <c r="D775" s="205" t="s">
        <v>1242</v>
      </c>
      <c r="E775" s="205" t="s">
        <v>137</v>
      </c>
      <c r="F775" s="4" t="s">
        <v>2662</v>
      </c>
      <c r="G775" s="205"/>
      <c r="H775" s="4" t="s">
        <v>541</v>
      </c>
      <c r="I775" s="205" t="s">
        <v>2276</v>
      </c>
      <c r="J775" s="205" t="s">
        <v>2276</v>
      </c>
      <c r="K775" s="205" t="s">
        <v>2276</v>
      </c>
      <c r="L775" s="205" t="s">
        <v>2276</v>
      </c>
      <c r="M775" s="205" t="s">
        <v>2276</v>
      </c>
      <c r="N775" s="205" t="s">
        <v>2276</v>
      </c>
      <c r="O775" s="205" t="s">
        <v>2276</v>
      </c>
      <c r="P775" s="205" t="s">
        <v>2276</v>
      </c>
      <c r="Q775" s="205" t="s">
        <v>2276</v>
      </c>
      <c r="R775" s="205" t="s">
        <v>534</v>
      </c>
      <c r="S775" s="205" t="s">
        <v>2276</v>
      </c>
      <c r="T775" s="205" t="s">
        <v>2276</v>
      </c>
      <c r="U775" s="205" t="s">
        <v>2276</v>
      </c>
      <c r="V775" s="205">
        <v>4</v>
      </c>
      <c r="W775" s="19" t="s">
        <v>7317</v>
      </c>
    </row>
    <row r="776" spans="1:23" ht="34" customHeight="1">
      <c r="A776" s="19" t="s">
        <v>7309</v>
      </c>
      <c r="B776" s="19" t="s">
        <v>7323</v>
      </c>
      <c r="C776" s="205" t="s">
        <v>24</v>
      </c>
      <c r="D776" s="4" t="s">
        <v>2804</v>
      </c>
      <c r="E776" s="205" t="s">
        <v>45</v>
      </c>
      <c r="F776" s="4" t="s">
        <v>2662</v>
      </c>
      <c r="G776" s="205">
        <v>1990</v>
      </c>
      <c r="H776" s="4" t="s">
        <v>541</v>
      </c>
      <c r="I776" s="205" t="s">
        <v>2276</v>
      </c>
      <c r="J776" s="205" t="s">
        <v>2276</v>
      </c>
      <c r="K776" s="205" t="s">
        <v>2276</v>
      </c>
      <c r="L776" s="205" t="s">
        <v>2276</v>
      </c>
      <c r="M776" s="205" t="s">
        <v>2671</v>
      </c>
      <c r="N776" s="205" t="s">
        <v>2276</v>
      </c>
      <c r="O776" s="205" t="s">
        <v>534</v>
      </c>
      <c r="P776" s="205" t="s">
        <v>2276</v>
      </c>
      <c r="Q776" s="205">
        <v>2</v>
      </c>
      <c r="R776" s="205" t="s">
        <v>2276</v>
      </c>
      <c r="S776" s="205" t="s">
        <v>2276</v>
      </c>
      <c r="T776" s="205" t="s">
        <v>2276</v>
      </c>
      <c r="U776" s="205" t="s">
        <v>2276</v>
      </c>
      <c r="V776" s="205" t="s">
        <v>2276</v>
      </c>
      <c r="W776" s="4" t="s">
        <v>7330</v>
      </c>
    </row>
    <row r="777" spans="1:23" ht="32" customHeight="1">
      <c r="A777" s="19" t="s">
        <v>7309</v>
      </c>
      <c r="B777" s="19" t="s">
        <v>7325</v>
      </c>
      <c r="C777" s="205" t="s">
        <v>24</v>
      </c>
      <c r="D777" s="4" t="s">
        <v>2804</v>
      </c>
      <c r="E777" s="205" t="s">
        <v>45</v>
      </c>
      <c r="F777" s="4" t="s">
        <v>2662</v>
      </c>
      <c r="G777" s="205">
        <v>2000</v>
      </c>
      <c r="H777" s="4" t="s">
        <v>541</v>
      </c>
      <c r="I777" s="205" t="s">
        <v>2276</v>
      </c>
      <c r="J777" s="205" t="s">
        <v>2276</v>
      </c>
      <c r="K777" s="205" t="s">
        <v>2276</v>
      </c>
      <c r="L777" s="205" t="s">
        <v>2276</v>
      </c>
      <c r="M777" s="205" t="s">
        <v>2671</v>
      </c>
      <c r="N777" s="205" t="s">
        <v>2276</v>
      </c>
      <c r="O777" s="205" t="s">
        <v>534</v>
      </c>
      <c r="P777" s="205" t="s">
        <v>2276</v>
      </c>
      <c r="Q777" s="205">
        <v>4</v>
      </c>
      <c r="R777" s="205" t="s">
        <v>2276</v>
      </c>
      <c r="S777" s="205" t="s">
        <v>2276</v>
      </c>
      <c r="T777" s="205" t="s">
        <v>2276</v>
      </c>
      <c r="U777" s="205" t="s">
        <v>2276</v>
      </c>
      <c r="V777" s="205" t="s">
        <v>2276</v>
      </c>
      <c r="W777" s="19" t="s">
        <v>7329</v>
      </c>
    </row>
    <row r="778" spans="1:23" ht="35.5" customHeight="1">
      <c r="A778" s="19" t="s">
        <v>7310</v>
      </c>
      <c r="B778" s="19" t="s">
        <v>7324</v>
      </c>
      <c r="C778" s="205" t="s">
        <v>24</v>
      </c>
      <c r="D778" s="4" t="s">
        <v>2804</v>
      </c>
      <c r="E778" s="205" t="s">
        <v>45</v>
      </c>
      <c r="F778" s="4" t="s">
        <v>2662</v>
      </c>
      <c r="G778" s="205"/>
      <c r="H778" s="4" t="s">
        <v>541</v>
      </c>
      <c r="I778" s="205" t="s">
        <v>2276</v>
      </c>
      <c r="J778" s="205" t="s">
        <v>2276</v>
      </c>
      <c r="K778" s="205" t="s">
        <v>2276</v>
      </c>
      <c r="L778" s="205" t="s">
        <v>2276</v>
      </c>
      <c r="M778" s="205" t="s">
        <v>2276</v>
      </c>
      <c r="N778" s="205" t="s">
        <v>2276</v>
      </c>
      <c r="O778" s="205" t="s">
        <v>2276</v>
      </c>
      <c r="P778" s="205" t="s">
        <v>2276</v>
      </c>
      <c r="Q778" s="205" t="s">
        <v>2276</v>
      </c>
      <c r="R778" s="205" t="s">
        <v>534</v>
      </c>
      <c r="S778" s="205" t="s">
        <v>2276</v>
      </c>
      <c r="T778" s="205" t="s">
        <v>2276</v>
      </c>
      <c r="U778" s="205" t="s">
        <v>2276</v>
      </c>
      <c r="V778" s="205">
        <v>2</v>
      </c>
      <c r="W778" s="19" t="s">
        <v>7333</v>
      </c>
    </row>
    <row r="779" spans="1:23" ht="35.5" customHeight="1">
      <c r="A779" s="19" t="s">
        <v>7310</v>
      </c>
      <c r="B779" s="19" t="s">
        <v>7331</v>
      </c>
      <c r="C779" s="205" t="s">
        <v>24</v>
      </c>
      <c r="D779" s="4" t="s">
        <v>2804</v>
      </c>
      <c r="E779" s="205" t="s">
        <v>45</v>
      </c>
      <c r="F779" s="4" t="s">
        <v>2662</v>
      </c>
      <c r="G779" s="205"/>
      <c r="H779" s="4" t="s">
        <v>541</v>
      </c>
      <c r="I779" s="205" t="s">
        <v>2276</v>
      </c>
      <c r="J779" s="205" t="s">
        <v>2276</v>
      </c>
      <c r="K779" s="205" t="s">
        <v>2276</v>
      </c>
      <c r="L779" s="205" t="s">
        <v>2276</v>
      </c>
      <c r="M779" s="205" t="s">
        <v>2669</v>
      </c>
      <c r="N779" s="205" t="s">
        <v>2276</v>
      </c>
      <c r="O779" s="205" t="s">
        <v>2276</v>
      </c>
      <c r="P779" s="205" t="s">
        <v>2276</v>
      </c>
      <c r="Q779" s="205">
        <v>4</v>
      </c>
      <c r="R779" s="205" t="s">
        <v>2276</v>
      </c>
      <c r="S779" s="205" t="s">
        <v>2276</v>
      </c>
      <c r="T779" s="205" t="s">
        <v>2276</v>
      </c>
      <c r="U779" s="205" t="s">
        <v>2276</v>
      </c>
      <c r="V779" s="205" t="s">
        <v>2276</v>
      </c>
      <c r="W779" s="19" t="s">
        <v>7334</v>
      </c>
    </row>
    <row r="780" spans="1:23" ht="46.5" customHeight="1">
      <c r="A780" s="19" t="s">
        <v>7666</v>
      </c>
      <c r="B780" s="19" t="s">
        <v>7667</v>
      </c>
      <c r="C780" s="4" t="s">
        <v>24</v>
      </c>
      <c r="D780" s="4" t="s">
        <v>1242</v>
      </c>
      <c r="E780" s="4" t="s">
        <v>3209</v>
      </c>
      <c r="F780" s="4" t="s">
        <v>2662</v>
      </c>
      <c r="G780" s="205"/>
      <c r="H780" s="4" t="s">
        <v>2673</v>
      </c>
      <c r="I780" s="205" t="s">
        <v>2276</v>
      </c>
      <c r="J780" s="205" t="s">
        <v>2276</v>
      </c>
      <c r="K780" s="205" t="s">
        <v>2276</v>
      </c>
      <c r="L780" s="205" t="s">
        <v>2276</v>
      </c>
      <c r="M780" s="205" t="s">
        <v>2728</v>
      </c>
      <c r="N780" s="205" t="s">
        <v>2276</v>
      </c>
      <c r="O780" s="205" t="s">
        <v>2276</v>
      </c>
      <c r="P780" s="205" t="s">
        <v>2276</v>
      </c>
      <c r="Q780" s="205" t="s">
        <v>2276</v>
      </c>
      <c r="R780" s="205" t="s">
        <v>537</v>
      </c>
      <c r="S780" s="205" t="s">
        <v>537</v>
      </c>
      <c r="T780" s="205" t="s">
        <v>537</v>
      </c>
      <c r="U780" s="205" t="s">
        <v>537</v>
      </c>
      <c r="V780" s="205" t="s">
        <v>2276</v>
      </c>
      <c r="W780" s="4" t="s">
        <v>7711</v>
      </c>
    </row>
    <row r="781" spans="1:23" ht="46.5" customHeight="1">
      <c r="A781" s="19" t="s">
        <v>7688</v>
      </c>
      <c r="B781" s="19" t="s">
        <v>7689</v>
      </c>
      <c r="C781" s="4" t="s">
        <v>24</v>
      </c>
      <c r="D781" s="4" t="s">
        <v>1242</v>
      </c>
      <c r="E781" s="4" t="s">
        <v>3209</v>
      </c>
      <c r="F781" s="4" t="s">
        <v>2662</v>
      </c>
      <c r="G781" s="205"/>
      <c r="H781" s="4" t="s">
        <v>2673</v>
      </c>
      <c r="I781" s="205" t="s">
        <v>2276</v>
      </c>
      <c r="J781" s="205" t="s">
        <v>2276</v>
      </c>
      <c r="K781" s="205" t="s">
        <v>2276</v>
      </c>
      <c r="L781" s="205" t="s">
        <v>2276</v>
      </c>
      <c r="M781" s="205" t="s">
        <v>2728</v>
      </c>
      <c r="N781" s="205" t="s">
        <v>2276</v>
      </c>
      <c r="O781" s="205" t="s">
        <v>2276</v>
      </c>
      <c r="P781" s="205" t="s">
        <v>2276</v>
      </c>
      <c r="Q781" s="205" t="s">
        <v>2276</v>
      </c>
      <c r="R781" s="205" t="s">
        <v>537</v>
      </c>
      <c r="S781" s="205" t="s">
        <v>537</v>
      </c>
      <c r="T781" s="205" t="s">
        <v>537</v>
      </c>
      <c r="U781" s="205" t="s">
        <v>537</v>
      </c>
      <c r="V781" s="205" t="s">
        <v>2276</v>
      </c>
      <c r="W781" s="4" t="s">
        <v>7710</v>
      </c>
    </row>
    <row r="782" spans="1:23" ht="46.5" customHeight="1">
      <c r="A782" s="19" t="s">
        <v>7691</v>
      </c>
      <c r="B782" s="19" t="s">
        <v>7693</v>
      </c>
      <c r="C782" s="4" t="s">
        <v>24</v>
      </c>
      <c r="D782" s="4" t="s">
        <v>1242</v>
      </c>
      <c r="E782" s="4" t="s">
        <v>3209</v>
      </c>
      <c r="F782" s="4" t="s">
        <v>2662</v>
      </c>
      <c r="G782" s="205">
        <v>1994</v>
      </c>
      <c r="H782" s="4" t="s">
        <v>541</v>
      </c>
      <c r="I782" s="205" t="s">
        <v>2276</v>
      </c>
      <c r="J782" s="205" t="s">
        <v>2276</v>
      </c>
      <c r="K782" s="205" t="s">
        <v>2276</v>
      </c>
      <c r="L782" s="205" t="s">
        <v>2276</v>
      </c>
      <c r="M782" s="205" t="s">
        <v>2728</v>
      </c>
      <c r="N782" s="205" t="s">
        <v>2276</v>
      </c>
      <c r="O782" s="205" t="s">
        <v>2276</v>
      </c>
      <c r="P782" s="205" t="s">
        <v>2276</v>
      </c>
      <c r="Q782" s="205" t="s">
        <v>2276</v>
      </c>
      <c r="R782" s="205" t="s">
        <v>537</v>
      </c>
      <c r="S782" s="205" t="s">
        <v>537</v>
      </c>
      <c r="T782" s="205" t="s">
        <v>537</v>
      </c>
      <c r="U782" s="205" t="s">
        <v>537</v>
      </c>
      <c r="V782" s="205" t="s">
        <v>2276</v>
      </c>
      <c r="W782" s="4" t="s">
        <v>7712</v>
      </c>
    </row>
    <row r="783" spans="1:23" s="204" customFormat="1" ht="46.5" customHeight="1">
      <c r="A783" s="19" t="s">
        <v>7691</v>
      </c>
      <c r="B783" s="19" t="s">
        <v>7697</v>
      </c>
      <c r="C783" s="4" t="s">
        <v>24</v>
      </c>
      <c r="D783" s="4" t="s">
        <v>1242</v>
      </c>
      <c r="E783" s="4" t="s">
        <v>3209</v>
      </c>
      <c r="F783" s="4" t="s">
        <v>2662</v>
      </c>
      <c r="G783" s="205">
        <v>2005</v>
      </c>
      <c r="H783" s="4" t="s">
        <v>541</v>
      </c>
      <c r="I783" s="205" t="s">
        <v>2691</v>
      </c>
      <c r="J783" s="205" t="s">
        <v>534</v>
      </c>
      <c r="K783" s="205" t="s">
        <v>534</v>
      </c>
      <c r="L783" s="205" t="s">
        <v>534</v>
      </c>
      <c r="M783" s="205" t="s">
        <v>2728</v>
      </c>
      <c r="N783" s="205" t="s">
        <v>2276</v>
      </c>
      <c r="O783" s="205" t="s">
        <v>2276</v>
      </c>
      <c r="P783" s="205" t="s">
        <v>2276</v>
      </c>
      <c r="Q783" s="205" t="s">
        <v>2276</v>
      </c>
      <c r="R783" s="205" t="s">
        <v>537</v>
      </c>
      <c r="S783" s="205" t="s">
        <v>537</v>
      </c>
      <c r="T783" s="205" t="s">
        <v>537</v>
      </c>
      <c r="U783" s="205" t="s">
        <v>537</v>
      </c>
      <c r="V783" s="205" t="s">
        <v>2276</v>
      </c>
      <c r="W783" s="4" t="s">
        <v>7709</v>
      </c>
    </row>
    <row r="784" spans="1:23" ht="46.5" customHeight="1">
      <c r="A784" s="19" t="s">
        <v>7692</v>
      </c>
      <c r="B784" s="19" t="s">
        <v>7694</v>
      </c>
      <c r="C784" s="4" t="s">
        <v>24</v>
      </c>
      <c r="D784" s="4" t="s">
        <v>1242</v>
      </c>
      <c r="E784" s="4" t="s">
        <v>3209</v>
      </c>
      <c r="F784" s="4" t="s">
        <v>2662</v>
      </c>
      <c r="G784" s="205"/>
      <c r="H784" s="4" t="s">
        <v>541</v>
      </c>
      <c r="I784" s="205" t="s">
        <v>2276</v>
      </c>
      <c r="J784" s="205" t="s">
        <v>2276</v>
      </c>
      <c r="K784" s="205" t="s">
        <v>2276</v>
      </c>
      <c r="L784" s="205" t="s">
        <v>2276</v>
      </c>
      <c r="M784" s="205" t="s">
        <v>2728</v>
      </c>
      <c r="N784" s="205" t="s">
        <v>2276</v>
      </c>
      <c r="O784" s="205" t="s">
        <v>2276</v>
      </c>
      <c r="P784" s="205" t="s">
        <v>2276</v>
      </c>
      <c r="Q784" s="205" t="s">
        <v>2276</v>
      </c>
      <c r="R784" s="205" t="s">
        <v>537</v>
      </c>
      <c r="S784" s="205" t="s">
        <v>537</v>
      </c>
      <c r="T784" s="205" t="s">
        <v>537</v>
      </c>
      <c r="U784" s="205" t="s">
        <v>537</v>
      </c>
      <c r="V784" s="205" t="s">
        <v>2276</v>
      </c>
      <c r="W784" s="4" t="s">
        <v>7712</v>
      </c>
    </row>
    <row r="785" spans="1:23" ht="37" customHeight="1">
      <c r="A785" s="19" t="s">
        <v>7666</v>
      </c>
      <c r="B785" s="19" t="s">
        <v>7668</v>
      </c>
      <c r="C785" s="4" t="s">
        <v>24</v>
      </c>
      <c r="D785" s="4" t="s">
        <v>1242</v>
      </c>
      <c r="E785" s="4" t="s">
        <v>3209</v>
      </c>
      <c r="F785" s="4" t="s">
        <v>74</v>
      </c>
      <c r="G785" s="205"/>
      <c r="H785" s="4" t="s">
        <v>2673</v>
      </c>
      <c r="I785" s="205" t="s">
        <v>2276</v>
      </c>
      <c r="J785" s="205" t="s">
        <v>2276</v>
      </c>
      <c r="K785" s="205" t="s">
        <v>2276</v>
      </c>
      <c r="L785" s="205" t="s">
        <v>2276</v>
      </c>
      <c r="M785" s="205" t="s">
        <v>2728</v>
      </c>
      <c r="N785" s="205" t="s">
        <v>2276</v>
      </c>
      <c r="O785" s="205" t="s">
        <v>2276</v>
      </c>
      <c r="P785" s="205" t="s">
        <v>2276</v>
      </c>
      <c r="Q785" s="205" t="s">
        <v>2276</v>
      </c>
      <c r="R785" s="205" t="s">
        <v>537</v>
      </c>
      <c r="S785" s="205" t="s">
        <v>537</v>
      </c>
      <c r="T785" s="205" t="s">
        <v>537</v>
      </c>
      <c r="U785" s="205" t="s">
        <v>537</v>
      </c>
      <c r="V785" s="205" t="s">
        <v>2276</v>
      </c>
      <c r="W785" s="4" t="s">
        <v>7711</v>
      </c>
    </row>
    <row r="786" spans="1:23" ht="37" customHeight="1">
      <c r="A786" s="19" t="s">
        <v>7688</v>
      </c>
      <c r="B786" s="19" t="s">
        <v>7702</v>
      </c>
      <c r="C786" s="4" t="s">
        <v>24</v>
      </c>
      <c r="D786" s="4" t="s">
        <v>1242</v>
      </c>
      <c r="E786" s="4" t="s">
        <v>3209</v>
      </c>
      <c r="F786" s="4" t="s">
        <v>74</v>
      </c>
      <c r="G786" s="205"/>
      <c r="H786" s="4" t="s">
        <v>2673</v>
      </c>
      <c r="I786" s="205" t="s">
        <v>2276</v>
      </c>
      <c r="J786" s="205" t="s">
        <v>2276</v>
      </c>
      <c r="K786" s="205" t="s">
        <v>2276</v>
      </c>
      <c r="L786" s="205" t="s">
        <v>2276</v>
      </c>
      <c r="M786" s="205" t="s">
        <v>2728</v>
      </c>
      <c r="N786" s="205" t="s">
        <v>2276</v>
      </c>
      <c r="O786" s="205" t="s">
        <v>2276</v>
      </c>
      <c r="P786" s="205" t="s">
        <v>2276</v>
      </c>
      <c r="Q786" s="205" t="s">
        <v>2276</v>
      </c>
      <c r="R786" s="205" t="s">
        <v>537</v>
      </c>
      <c r="S786" s="205" t="s">
        <v>537</v>
      </c>
      <c r="T786" s="205" t="s">
        <v>537</v>
      </c>
      <c r="U786" s="205" t="s">
        <v>537</v>
      </c>
      <c r="V786" s="205" t="s">
        <v>2276</v>
      </c>
      <c r="W786" s="4" t="s">
        <v>7710</v>
      </c>
    </row>
    <row r="787" spans="1:23" ht="37" customHeight="1">
      <c r="A787" s="19" t="s">
        <v>7691</v>
      </c>
      <c r="B787" s="19" t="s">
        <v>7707</v>
      </c>
      <c r="C787" s="4" t="s">
        <v>24</v>
      </c>
      <c r="D787" s="4" t="s">
        <v>1242</v>
      </c>
      <c r="E787" s="4" t="s">
        <v>3209</v>
      </c>
      <c r="F787" s="4" t="s">
        <v>74</v>
      </c>
      <c r="G787" s="205">
        <v>1994</v>
      </c>
      <c r="H787" s="4" t="s">
        <v>541</v>
      </c>
      <c r="I787" s="205" t="s">
        <v>2276</v>
      </c>
      <c r="J787" s="205" t="s">
        <v>2276</v>
      </c>
      <c r="K787" s="205" t="s">
        <v>2276</v>
      </c>
      <c r="L787" s="205" t="s">
        <v>2276</v>
      </c>
      <c r="M787" s="205" t="s">
        <v>2728</v>
      </c>
      <c r="N787" s="205" t="s">
        <v>2276</v>
      </c>
      <c r="O787" s="205" t="s">
        <v>2276</v>
      </c>
      <c r="P787" s="205" t="s">
        <v>2276</v>
      </c>
      <c r="Q787" s="205" t="s">
        <v>2276</v>
      </c>
      <c r="R787" s="205" t="s">
        <v>537</v>
      </c>
      <c r="S787" s="205" t="s">
        <v>537</v>
      </c>
      <c r="T787" s="205" t="s">
        <v>537</v>
      </c>
      <c r="U787" s="205" t="s">
        <v>537</v>
      </c>
      <c r="V787" s="205" t="s">
        <v>2276</v>
      </c>
      <c r="W787" s="4" t="s">
        <v>7712</v>
      </c>
    </row>
    <row r="788" spans="1:23" s="204" customFormat="1" ht="37" customHeight="1">
      <c r="A788" s="19" t="s">
        <v>7691</v>
      </c>
      <c r="B788" s="19" t="s">
        <v>7708</v>
      </c>
      <c r="C788" s="4" t="s">
        <v>24</v>
      </c>
      <c r="D788" s="4" t="s">
        <v>1242</v>
      </c>
      <c r="E788" s="4" t="s">
        <v>3209</v>
      </c>
      <c r="F788" s="4" t="s">
        <v>74</v>
      </c>
      <c r="G788" s="205">
        <v>2005</v>
      </c>
      <c r="H788" s="4" t="s">
        <v>541</v>
      </c>
      <c r="I788" s="205" t="s">
        <v>2691</v>
      </c>
      <c r="J788" s="205" t="s">
        <v>534</v>
      </c>
      <c r="K788" s="205" t="s">
        <v>534</v>
      </c>
      <c r="L788" s="205" t="s">
        <v>534</v>
      </c>
      <c r="M788" s="205" t="s">
        <v>2728</v>
      </c>
      <c r="N788" s="205" t="s">
        <v>2276</v>
      </c>
      <c r="O788" s="205" t="s">
        <v>2276</v>
      </c>
      <c r="P788" s="205" t="s">
        <v>2276</v>
      </c>
      <c r="Q788" s="205" t="s">
        <v>2276</v>
      </c>
      <c r="R788" s="205" t="s">
        <v>537</v>
      </c>
      <c r="S788" s="205" t="s">
        <v>537</v>
      </c>
      <c r="T788" s="205" t="s">
        <v>537</v>
      </c>
      <c r="U788" s="205" t="s">
        <v>537</v>
      </c>
      <c r="V788" s="205" t="s">
        <v>2276</v>
      </c>
      <c r="W788" s="4" t="s">
        <v>7709</v>
      </c>
    </row>
    <row r="789" spans="1:23" ht="37" customHeight="1">
      <c r="A789" s="19" t="s">
        <v>7692</v>
      </c>
      <c r="B789" s="19" t="s">
        <v>7695</v>
      </c>
      <c r="C789" s="4" t="s">
        <v>24</v>
      </c>
      <c r="D789" s="4" t="s">
        <v>1242</v>
      </c>
      <c r="E789" s="4" t="s">
        <v>3209</v>
      </c>
      <c r="F789" s="4" t="s">
        <v>74</v>
      </c>
      <c r="G789" s="205"/>
      <c r="H789" s="4" t="s">
        <v>541</v>
      </c>
      <c r="I789" s="205" t="s">
        <v>2276</v>
      </c>
      <c r="J789" s="205" t="s">
        <v>2276</v>
      </c>
      <c r="K789" s="205" t="s">
        <v>2276</v>
      </c>
      <c r="L789" s="205" t="s">
        <v>2276</v>
      </c>
      <c r="M789" s="205" t="s">
        <v>2728</v>
      </c>
      <c r="N789" s="205" t="s">
        <v>2276</v>
      </c>
      <c r="O789" s="205" t="s">
        <v>2276</v>
      </c>
      <c r="P789" s="205" t="s">
        <v>2276</v>
      </c>
      <c r="Q789" s="205" t="s">
        <v>2276</v>
      </c>
      <c r="R789" s="205" t="s">
        <v>537</v>
      </c>
      <c r="S789" s="205" t="s">
        <v>537</v>
      </c>
      <c r="T789" s="205" t="s">
        <v>537</v>
      </c>
      <c r="U789" s="205" t="s">
        <v>537</v>
      </c>
      <c r="V789" s="205" t="s">
        <v>2276</v>
      </c>
      <c r="W789" s="4" t="s">
        <v>7712</v>
      </c>
    </row>
    <row r="790" spans="1:23" ht="30.5" customHeight="1">
      <c r="A790" s="19" t="s">
        <v>7666</v>
      </c>
      <c r="B790" s="19" t="s">
        <v>7669</v>
      </c>
      <c r="C790" s="4" t="s">
        <v>24</v>
      </c>
      <c r="D790" s="4" t="s">
        <v>61</v>
      </c>
      <c r="E790" s="205" t="s">
        <v>2276</v>
      </c>
      <c r="F790" s="4" t="s">
        <v>74</v>
      </c>
      <c r="G790" s="205"/>
      <c r="H790" s="4" t="s">
        <v>2673</v>
      </c>
      <c r="I790" s="205" t="s">
        <v>2276</v>
      </c>
      <c r="J790" s="205" t="s">
        <v>2276</v>
      </c>
      <c r="K790" s="205" t="s">
        <v>2276</v>
      </c>
      <c r="L790" s="205" t="s">
        <v>2276</v>
      </c>
      <c r="M790" s="205" t="s">
        <v>2728</v>
      </c>
      <c r="N790" s="205" t="s">
        <v>2276</v>
      </c>
      <c r="O790" s="205" t="s">
        <v>2276</v>
      </c>
      <c r="P790" s="205" t="s">
        <v>2276</v>
      </c>
      <c r="Q790" s="205" t="s">
        <v>2276</v>
      </c>
      <c r="R790" s="205" t="s">
        <v>537</v>
      </c>
      <c r="S790" s="205" t="s">
        <v>537</v>
      </c>
      <c r="T790" s="205" t="s">
        <v>537</v>
      </c>
      <c r="U790" s="205" t="s">
        <v>537</v>
      </c>
      <c r="V790" s="205" t="s">
        <v>2276</v>
      </c>
      <c r="W790" s="4" t="s">
        <v>7713</v>
      </c>
    </row>
    <row r="791" spans="1:23" ht="38.5" customHeight="1">
      <c r="A791" s="19" t="s">
        <v>7666</v>
      </c>
      <c r="B791" s="19" t="s">
        <v>7670</v>
      </c>
      <c r="C791" s="4" t="s">
        <v>24</v>
      </c>
      <c r="D791" s="4" t="s">
        <v>2804</v>
      </c>
      <c r="E791" s="205" t="s">
        <v>2276</v>
      </c>
      <c r="F791" s="4" t="s">
        <v>2662</v>
      </c>
      <c r="G791" s="205"/>
      <c r="H791" s="4" t="s">
        <v>2673</v>
      </c>
      <c r="I791" s="205" t="s">
        <v>2276</v>
      </c>
      <c r="J791" s="205" t="s">
        <v>2276</v>
      </c>
      <c r="K791" s="205" t="s">
        <v>2276</v>
      </c>
      <c r="L791" s="205" t="s">
        <v>2276</v>
      </c>
      <c r="M791" s="205" t="s">
        <v>2728</v>
      </c>
      <c r="N791" s="205" t="s">
        <v>2276</v>
      </c>
      <c r="O791" s="205" t="s">
        <v>2276</v>
      </c>
      <c r="P791" s="205" t="s">
        <v>2276</v>
      </c>
      <c r="Q791" s="205" t="s">
        <v>2276</v>
      </c>
      <c r="R791" s="205" t="s">
        <v>537</v>
      </c>
      <c r="S791" s="205" t="s">
        <v>537</v>
      </c>
      <c r="T791" s="205" t="s">
        <v>537</v>
      </c>
      <c r="U791" s="205" t="s">
        <v>537</v>
      </c>
      <c r="V791" s="205" t="s">
        <v>2276</v>
      </c>
      <c r="W791" s="4" t="s">
        <v>7713</v>
      </c>
    </row>
    <row r="792" spans="1:23" ht="30.5" customHeight="1">
      <c r="A792" s="19" t="s">
        <v>7666</v>
      </c>
      <c r="B792" s="19" t="s">
        <v>7671</v>
      </c>
      <c r="C792" s="4" t="s">
        <v>24</v>
      </c>
      <c r="D792" s="4" t="s">
        <v>2659</v>
      </c>
      <c r="E792" s="205" t="s">
        <v>2276</v>
      </c>
      <c r="F792" s="4" t="s">
        <v>28</v>
      </c>
      <c r="G792" s="205"/>
      <c r="H792" s="4" t="s">
        <v>2673</v>
      </c>
      <c r="I792" s="205" t="s">
        <v>2276</v>
      </c>
      <c r="J792" s="205" t="s">
        <v>2276</v>
      </c>
      <c r="K792" s="205" t="s">
        <v>2276</v>
      </c>
      <c r="L792" s="205" t="s">
        <v>2276</v>
      </c>
      <c r="M792" s="205" t="s">
        <v>2728</v>
      </c>
      <c r="N792" s="205" t="s">
        <v>2276</v>
      </c>
      <c r="O792" s="205" t="s">
        <v>2276</v>
      </c>
      <c r="P792" s="205" t="s">
        <v>2276</v>
      </c>
      <c r="Q792" s="205" t="s">
        <v>2276</v>
      </c>
      <c r="R792" s="205" t="s">
        <v>537</v>
      </c>
      <c r="S792" s="205" t="s">
        <v>537</v>
      </c>
      <c r="T792" s="205" t="s">
        <v>537</v>
      </c>
      <c r="U792" s="205" t="s">
        <v>537</v>
      </c>
      <c r="V792" s="205" t="s">
        <v>2276</v>
      </c>
      <c r="W792" s="4" t="s">
        <v>7713</v>
      </c>
    </row>
    <row r="793" spans="1:23">
      <c r="A793" s="53"/>
      <c r="B793" s="53"/>
      <c r="C793" s="6"/>
    </row>
  </sheetData>
  <autoFilter ref="A1:A793" xr:uid="{EEF1D288-1AC3-41BC-A3CD-0809FB5B63F7}"/>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753" yWindow="655"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55:B761 A680:A684 A721:B722 A606:A678 A729:B731 B636:B637 A755:A779 A794:A1048576"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638:B684 A723:B724 B634:B635 B762:B779 B794:B1048576"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25:B728 A732:B754 A780:B793" xr:uid="{9B49D527-4568-45EF-ACB7-88D850410F7C}"/>
    <dataValidation allowBlank="1" showInputMessage="1" showErrorMessage="1" prompt="Case study ID + .1, .2 etc for each direct fire creation PCB associated with the case study" sqref="B373:B381 B468:B471 B527:B530 B545:B546 B557:B560 B579:B580 B602:B605 B630 B632:B633 B685:B720" xr:uid="{7687EF30-3597-4A79-9EE7-28C1CA362F13}"/>
    <dataValidation type="whole" allowBlank="1" showInputMessage="1" showErrorMessage="1" prompt="Blank if refers to all study years" sqref="G1:G526 G531:G601 G606:G617 G631:G722 G725:G1048576" xr:uid="{A7CD2C9D-7B72-4BC4-B631-CD1DBB9E2AB6}">
      <formula1>1900</formula1>
      <formula2>2020</formula2>
    </dataValidation>
    <dataValidation allowBlank="1" showInputMessage="1" showErrorMessage="1" prompt="The same as Case study ID in Record Info_x000a_" sqref="A532:A536 A685:A720"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53" yWindow="655" count="24">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N545:V546 R531:U544 I547:L547 R547:V547 N547:P547 M548:V548 V552:V553 M551:V551 J551:L552 I556:L556 J456:J467 J482:K503 J522 J537:L541 J545:L546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I630:U630 I631:I633 R762:V763 O632:U633 V636:V641 R676:U677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N762:P763 V765:V773 K765:K769 R764:U766 L767:U769 K770:U773 J765:J773 V779:V792 R776:V777 R774:U775 O776:O777 J783:L783 N793:P1048576 J788:L788 R778:U1048576 J793:L1048576</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V793:V1048576 Q625:Q627 V630 Q676:Q677 V642:V644 V634:V635 Q634:Q644 V646:V647 Q646:Q647 V649:V650 Q649:Q650 V652:V653 Q652:Q653 V655:V656 Q655:Q656 V658:V659 Q658:Q659 V661:V662 Q661:Q662 V664:V665 Q664:Q665 V667:V668 Q667:Q668 V670:V671 Q670:Q671 V673:V674 Q673:Q674 V676:V677 Q762:Q763 V764 V774:V775 V778 Q776:Q779 Q793:Q1048576</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M545:M547 M556 M581:M586 M596 M612:M616 M619:M621 M624:M627 M631:M678 N645:P645 N648:P648 N651:P651 N654:P654 N657:P657 N660:P660 N663:P663 N666:P666 N669:P669 N678:P678 N672:P672 N675:P675 M762:M763 M765:M766 M776:M1048576</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C642:C678 C634:C635 C766:C1048576</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F642 F634:F635 F762:F773 F776:F1048576</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I545:I546 J553:L555 J548:L550 I548:I555 I557:I560 I567:I578 I581:L584 J589:L590 I589:I592 I597:I598 I602:L605 J616:L616 I614:I616 I628:I629 J636:L641 J676:L677 J643:L644 J646:L647 J649:L650 J652:L653 J655:L656 J658:L659 J661:L662 J664:L665 J667:L668 J670:L671 J673:L674 I634:I678 J763:L763 I762:L762 N765:Q766 J764:Q764 L765:L766 P776:P792 J774:Q775 N776:N792 O778:O792 Q780:Q792 J776:L782 J784:L787 J789:L792 I763:I1048576</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xm:sqref>
        </x14:dataValidation>
        <x14:dataValidation type="list" allowBlank="1" showInputMessage="1" showErrorMessage="1" xr:uid="{52330A1E-065F-4614-AA45-67C0321233CC}">
          <x14:formula1>
            <xm:f>'IGNORE Lookups'!$G$3:$G$10</xm:f>
          </x14:formula1>
          <xm:sqref>F373:F381 F468:F471 F521 F527:F530 F232:F235 F545:F546 F557:F560 F567:F574 F579:F580 F589:F595 F599:F613 F625:F630 F632:F633 F643:F678 F774:F775</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D545:E556 F562:F566 D561:E566 E575:E578 F581:F584 E580:E596 E599:E605 E612:E615 E617:E624 E630:E631 E642 E634:E635 E762:E764 D767:D770 E767:E773 E776:E779 E790:E1048576 E725:E726 E729</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E545:E546 D557:E560 D567:E574 C577:C578 E579 F581:F584 E581:E588 E596:E598 D575:D605 D612:D613 D614:E621 D622:D623 D624:E624 E630:E631 D643:D678 D625:D635 E634:E635 D642:E642 E762:E764 E767:E773 E776:E779 E790:E1048576 D760:D1048576 E725:E726 E729</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H1:H678 H762:H763 H767:H1048576</xm:sqref>
        </x14:dataValidation>
        <x14:dataValidation type="list" allowBlank="1" showInputMessage="1" showErrorMessage="1" xr:uid="{D1FCC99B-F560-425B-BFB0-C7277F7F06BE}">
          <x14:formula1>
            <xm:f>'IGNORE Lookups'!$C$23:$C$45</xm:f>
          </x14:formula1>
          <xm:sqref>E625:E629 E632:E633 E637 E639 E641 E643:E678 E765:E766 E774:E775 E780:E789</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'[Adam''s fire data.xlsx]IGNORE Lookups'!#REF!</xm:f>
          </x14:formula1>
          <xm:sqref>H679:H722</xm:sqref>
        </x14:dataValidation>
        <x14:dataValidation type="list" allowBlank="1" showInputMessage="1" showErrorMessage="1" xr:uid="{C66ECDAA-100E-4E45-813D-540165B02B85}">
          <x14:formula1>
            <xm:f>'[Adam''s fire data.xlsx]IGNORE Lookups'!#REF!</xm:f>
          </x14:formula1>
          <xm:sqref>I679:V722 C679:F722 I723:L724 H725:L731 I732:L759 D725:D726 D728:D759 N723:Q731 R727:V731 S723:V726 R759:S761 O734:Q755 P756:V756 O757:Q761 R755:V755 O733:V733 T732:V732 T734:V754 T757:V761 R735:S735 R737:S738 R740:S741 R743:S743 R745:S745 R747:S747 R749:S749 R751:S751 R753:S753 K760:N760 L761:N761 M757:N758 M754:N754 M752:N752 M750:N750 M748:N748 M746:N746 M744:N744 M742:N742 M739:N739 M736:N736 M732:Q732</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F726 C729:C765 F759 E760:F761 E730:E759 R725:R726 O756 R732:S732 R754:S754 R757:S758 R734:S734 R736:S736 R739:S739 R742:S742 R744:S744 R746:S746 R748:S748 R750:S750 R752:S752 K761 I760:J761 M759:N759 M755:N756 M753:N753 M751:N751 M749:N749 M747:N747 M745:N745 M743:N743 M740:N741 M737:N738 M724:M731 M733:N735</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H764:H766 H732:H761</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C723:F724 F727:F758 R723:R724 M723</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H723:H724</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E727:E728 E730:E755</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C725:C728</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5"/>
  <sheetViews>
    <sheetView topLeftCell="A3" zoomScale="55" zoomScaleNormal="55" workbookViewId="0">
      <selection activeCell="B16" sqref="B16"/>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5" t="s">
        <v>2643</v>
      </c>
      <c r="B1" s="116"/>
      <c r="C1" s="117"/>
      <c r="E1" s="115" t="s">
        <v>2664</v>
      </c>
      <c r="F1" s="116"/>
      <c r="G1" s="116"/>
      <c r="H1" s="116"/>
      <c r="I1" s="116"/>
      <c r="J1" s="117"/>
      <c r="L1" s="115" t="s">
        <v>2665</v>
      </c>
      <c r="M1" s="116"/>
      <c r="N1" s="116" t="s">
        <v>2667</v>
      </c>
      <c r="O1" s="116"/>
      <c r="P1" s="117"/>
    </row>
    <row r="2" spans="1:16" ht="34" customHeight="1">
      <c r="A2" s="118" t="s">
        <v>97</v>
      </c>
      <c r="B2" s="119" t="s">
        <v>2635</v>
      </c>
      <c r="C2" s="120" t="s">
        <v>2640</v>
      </c>
      <c r="E2" s="136" t="s">
        <v>7</v>
      </c>
      <c r="F2" s="119" t="s">
        <v>8</v>
      </c>
      <c r="G2" s="119" t="s">
        <v>119</v>
      </c>
      <c r="H2" s="119" t="s">
        <v>523</v>
      </c>
      <c r="I2" s="119" t="s">
        <v>399</v>
      </c>
      <c r="J2" s="120" t="s">
        <v>2654</v>
      </c>
      <c r="L2" s="143" t="s">
        <v>2666</v>
      </c>
      <c r="M2" s="122"/>
      <c r="N2" s="131" t="s">
        <v>2666</v>
      </c>
      <c r="O2" s="122"/>
      <c r="P2" s="123" t="s">
        <v>2668</v>
      </c>
    </row>
    <row r="3" spans="1:16">
      <c r="A3" s="121" t="s">
        <v>2398</v>
      </c>
      <c r="B3" s="122" t="s">
        <v>2399</v>
      </c>
      <c r="C3" s="123" t="s">
        <v>67</v>
      </c>
      <c r="E3" s="121" t="s">
        <v>24</v>
      </c>
      <c r="F3" s="122" t="s">
        <v>27</v>
      </c>
      <c r="G3" s="137" t="s">
        <v>74</v>
      </c>
      <c r="H3" s="122" t="s">
        <v>524</v>
      </c>
      <c r="I3" s="122" t="s">
        <v>188</v>
      </c>
      <c r="J3" s="123" t="s">
        <v>64</v>
      </c>
      <c r="L3" s="129">
        <v>0</v>
      </c>
      <c r="M3" s="122"/>
      <c r="N3" s="122" t="s">
        <v>534</v>
      </c>
      <c r="O3" s="122">
        <v>1</v>
      </c>
      <c r="P3" s="134" t="s">
        <v>2669</v>
      </c>
    </row>
    <row r="4" spans="1:16">
      <c r="A4" s="121" t="s">
        <v>2416</v>
      </c>
      <c r="B4" s="122" t="s">
        <v>2405</v>
      </c>
      <c r="C4" s="123" t="s">
        <v>2641</v>
      </c>
      <c r="E4" s="121" t="s">
        <v>31</v>
      </c>
      <c r="F4" s="122" t="s">
        <v>2659</v>
      </c>
      <c r="G4" s="137" t="s">
        <v>55</v>
      </c>
      <c r="H4" s="122"/>
      <c r="I4" s="122" t="s">
        <v>189</v>
      </c>
      <c r="J4" s="123" t="s">
        <v>76</v>
      </c>
      <c r="L4" s="129">
        <v>1</v>
      </c>
      <c r="M4" s="122"/>
      <c r="N4" s="122" t="s">
        <v>537</v>
      </c>
      <c r="O4" s="122">
        <v>2</v>
      </c>
      <c r="P4" s="134" t="s">
        <v>2670</v>
      </c>
    </row>
    <row r="5" spans="1:16" ht="29">
      <c r="A5" s="121" t="s">
        <v>2633</v>
      </c>
      <c r="B5" s="122" t="s">
        <v>2636</v>
      </c>
      <c r="C5" s="123" t="s">
        <v>2642</v>
      </c>
      <c r="E5" s="121" t="s">
        <v>2458</v>
      </c>
      <c r="F5" s="122" t="s">
        <v>25</v>
      </c>
      <c r="G5" s="137" t="s">
        <v>2662</v>
      </c>
      <c r="H5" s="122"/>
      <c r="I5" s="122" t="s">
        <v>38</v>
      </c>
      <c r="J5" s="123" t="s">
        <v>2655</v>
      </c>
      <c r="L5" s="129">
        <v>2</v>
      </c>
      <c r="M5" s="122"/>
      <c r="N5" s="122" t="s">
        <v>2276</v>
      </c>
      <c r="O5" s="122">
        <v>3</v>
      </c>
      <c r="P5" s="134" t="s">
        <v>2671</v>
      </c>
    </row>
    <row r="6" spans="1:16">
      <c r="A6" s="121" t="s">
        <v>2634</v>
      </c>
      <c r="B6" s="130" t="s">
        <v>4847</v>
      </c>
      <c r="C6" s="123" t="s">
        <v>149</v>
      </c>
      <c r="E6" s="121" t="s">
        <v>2656</v>
      </c>
      <c r="F6" s="122" t="s">
        <v>26</v>
      </c>
      <c r="G6" s="137" t="s">
        <v>28</v>
      </c>
      <c r="H6" s="122"/>
      <c r="I6" s="122" t="s">
        <v>86</v>
      </c>
      <c r="J6" s="123" t="s">
        <v>2312</v>
      </c>
      <c r="L6" s="129">
        <v>3</v>
      </c>
      <c r="M6" s="122"/>
      <c r="N6" s="122"/>
      <c r="O6" s="122">
        <v>4</v>
      </c>
      <c r="P6" s="123" t="s">
        <v>2728</v>
      </c>
    </row>
    <row r="7" spans="1:16">
      <c r="A7" s="121"/>
      <c r="B7" s="122" t="s">
        <v>2400</v>
      </c>
      <c r="C7" s="123"/>
      <c r="E7" s="121" t="s">
        <v>2657</v>
      </c>
      <c r="F7" s="122" t="s">
        <v>1242</v>
      </c>
      <c r="G7" s="137" t="s">
        <v>29</v>
      </c>
      <c r="H7" s="122"/>
      <c r="I7" s="122" t="s">
        <v>34</v>
      </c>
      <c r="J7" s="123" t="s">
        <v>2276</v>
      </c>
      <c r="L7" s="129" t="s">
        <v>2276</v>
      </c>
      <c r="M7" s="122"/>
      <c r="N7" s="122"/>
      <c r="O7" s="122">
        <v>5</v>
      </c>
      <c r="P7" s="123" t="s">
        <v>537</v>
      </c>
    </row>
    <row r="8" spans="1:16">
      <c r="A8" s="121"/>
      <c r="B8" s="122" t="s">
        <v>2422</v>
      </c>
      <c r="C8" s="123"/>
      <c r="E8" s="121" t="s">
        <v>2658</v>
      </c>
      <c r="F8" s="122" t="s">
        <v>2346</v>
      </c>
      <c r="G8" s="137" t="s">
        <v>160</v>
      </c>
      <c r="H8" s="122"/>
      <c r="I8" s="122" t="s">
        <v>404</v>
      </c>
      <c r="J8" s="123"/>
      <c r="L8" s="121"/>
      <c r="M8" s="122"/>
      <c r="N8" s="122"/>
      <c r="O8" s="122" t="s">
        <v>2276</v>
      </c>
      <c r="P8" s="123" t="s">
        <v>2276</v>
      </c>
    </row>
    <row r="9" spans="1:16">
      <c r="A9" s="121"/>
      <c r="B9" s="122" t="s">
        <v>2637</v>
      </c>
      <c r="C9" s="123"/>
      <c r="E9" s="121" t="s">
        <v>1105</v>
      </c>
      <c r="F9" s="135" t="s">
        <v>2341</v>
      </c>
      <c r="G9" s="137" t="s">
        <v>2663</v>
      </c>
      <c r="H9" s="122"/>
      <c r="I9" s="122" t="s">
        <v>405</v>
      </c>
      <c r="J9" s="123"/>
      <c r="L9" s="121"/>
      <c r="M9" s="122"/>
      <c r="N9" s="122"/>
      <c r="O9" s="122"/>
      <c r="P9" s="123"/>
    </row>
    <row r="10" spans="1:16">
      <c r="A10" s="121"/>
      <c r="B10" s="122" t="s">
        <v>2420</v>
      </c>
      <c r="C10" s="123"/>
      <c r="E10" s="121"/>
      <c r="F10" s="135" t="s">
        <v>1245</v>
      </c>
      <c r="G10" s="137" t="s">
        <v>2276</v>
      </c>
      <c r="H10" s="122"/>
      <c r="I10" s="122" t="s">
        <v>425</v>
      </c>
      <c r="J10" s="123"/>
      <c r="L10" s="121"/>
      <c r="M10" s="140" t="s">
        <v>605</v>
      </c>
      <c r="N10" s="119" t="s">
        <v>2672</v>
      </c>
      <c r="O10" s="122"/>
      <c r="P10" s="123"/>
    </row>
    <row r="11" spans="1:16" ht="29">
      <c r="A11" s="121"/>
      <c r="B11" s="122" t="s">
        <v>2638</v>
      </c>
      <c r="C11" s="123"/>
      <c r="E11" s="121"/>
      <c r="F11" s="135" t="s">
        <v>1131</v>
      </c>
      <c r="G11" s="145" t="s">
        <v>1105</v>
      </c>
      <c r="H11" s="122"/>
      <c r="I11" s="122" t="s">
        <v>68</v>
      </c>
      <c r="J11" s="123"/>
      <c r="L11" s="121"/>
      <c r="M11" s="137" t="s">
        <v>2690</v>
      </c>
      <c r="N11" s="137" t="s">
        <v>541</v>
      </c>
      <c r="O11" s="122"/>
      <c r="P11" s="123"/>
    </row>
    <row r="12" spans="1:16" ht="29">
      <c r="A12" s="121"/>
      <c r="B12" s="122" t="s">
        <v>2639</v>
      </c>
      <c r="C12" s="123"/>
      <c r="E12" s="121"/>
      <c r="F12" s="135" t="s">
        <v>406</v>
      </c>
      <c r="G12" s="122"/>
      <c r="H12" s="122"/>
      <c r="I12" s="122" t="s">
        <v>35</v>
      </c>
      <c r="J12" s="123"/>
      <c r="L12" s="121"/>
      <c r="M12" s="137" t="s">
        <v>2691</v>
      </c>
      <c r="N12" s="122" t="s">
        <v>2673</v>
      </c>
      <c r="O12" s="122"/>
      <c r="P12" s="123"/>
    </row>
    <row r="13" spans="1:16">
      <c r="A13" s="121"/>
      <c r="B13" s="122" t="s">
        <v>3665</v>
      </c>
      <c r="C13" s="123"/>
      <c r="E13" s="121"/>
      <c r="F13" s="135" t="s">
        <v>144</v>
      </c>
      <c r="G13" s="122"/>
      <c r="H13" s="122"/>
      <c r="I13" s="122" t="s">
        <v>127</v>
      </c>
      <c r="J13" s="123"/>
      <c r="L13" s="121"/>
      <c r="M13" s="130" t="s">
        <v>537</v>
      </c>
      <c r="N13" s="122" t="s">
        <v>1093</v>
      </c>
      <c r="O13" s="122"/>
      <c r="P13" s="123"/>
    </row>
    <row r="14" spans="1:16" ht="15" thickBot="1">
      <c r="A14" s="124"/>
      <c r="B14" s="125" t="s">
        <v>2414</v>
      </c>
      <c r="C14" s="126"/>
      <c r="E14" s="121"/>
      <c r="F14" s="135" t="s">
        <v>143</v>
      </c>
      <c r="G14" s="122"/>
      <c r="H14" s="122"/>
      <c r="I14" s="122" t="s">
        <v>2276</v>
      </c>
      <c r="J14" s="123"/>
      <c r="L14" s="121"/>
      <c r="M14" s="130" t="s">
        <v>2276</v>
      </c>
      <c r="N14" s="122" t="s">
        <v>2674</v>
      </c>
      <c r="O14" s="122"/>
      <c r="P14" s="123"/>
    </row>
    <row r="15" spans="1:16">
      <c r="A15" s="122"/>
      <c r="B15" s="130" t="s">
        <v>6873</v>
      </c>
      <c r="C15" s="122"/>
      <c r="E15" s="121"/>
      <c r="F15" s="135" t="s">
        <v>2231</v>
      </c>
      <c r="G15" s="122"/>
      <c r="H15" s="122"/>
      <c r="I15" s="122"/>
      <c r="J15" s="123"/>
      <c r="L15" s="121"/>
      <c r="M15" s="122"/>
      <c r="N15" s="122" t="s">
        <v>2675</v>
      </c>
      <c r="O15" s="122"/>
      <c r="P15" s="123"/>
    </row>
    <row r="16" spans="1:16" ht="15" thickBot="1">
      <c r="A16" s="122"/>
      <c r="B16" s="122"/>
      <c r="C16" s="122"/>
      <c r="E16" s="121"/>
      <c r="F16" s="135" t="s">
        <v>32</v>
      </c>
      <c r="G16" s="122"/>
      <c r="H16" s="122"/>
      <c r="I16" s="122"/>
      <c r="J16" s="123"/>
      <c r="L16" s="124"/>
      <c r="M16" s="125"/>
      <c r="N16" s="125" t="s">
        <v>2276</v>
      </c>
      <c r="O16" s="125"/>
      <c r="P16" s="126"/>
    </row>
    <row r="17" spans="1:14">
      <c r="A17" s="122"/>
      <c r="B17" s="122"/>
      <c r="C17" s="122"/>
      <c r="E17" s="121"/>
      <c r="F17" s="135" t="s">
        <v>2284</v>
      </c>
      <c r="G17" s="122"/>
      <c r="H17" s="122"/>
      <c r="I17" s="122"/>
      <c r="J17" s="138"/>
      <c r="N17" s="130" t="s">
        <v>2723</v>
      </c>
    </row>
    <row r="18" spans="1:14">
      <c r="A18" s="122"/>
      <c r="B18" s="122"/>
      <c r="C18" s="122"/>
      <c r="E18" s="121"/>
      <c r="F18" s="135" t="s">
        <v>30</v>
      </c>
      <c r="G18" s="122"/>
      <c r="H18" s="122"/>
      <c r="I18" s="122"/>
      <c r="J18" s="123"/>
      <c r="N18" s="130" t="s">
        <v>4077</v>
      </c>
    </row>
    <row r="19" spans="1:14">
      <c r="A19" s="122"/>
      <c r="B19" s="122"/>
      <c r="C19" s="122"/>
      <c r="E19" s="121"/>
      <c r="F19" s="135" t="s">
        <v>2305</v>
      </c>
      <c r="G19" s="122"/>
      <c r="H19" s="122"/>
      <c r="I19" s="122"/>
      <c r="J19" s="123"/>
    </row>
    <row r="20" spans="1:14" ht="15" thickBot="1">
      <c r="A20" s="122"/>
      <c r="B20" s="122"/>
      <c r="C20" s="122"/>
      <c r="E20" s="121"/>
      <c r="F20" s="135" t="s">
        <v>61</v>
      </c>
      <c r="G20" s="122"/>
      <c r="H20" s="122"/>
      <c r="I20" s="122"/>
      <c r="J20" s="123"/>
    </row>
    <row r="21" spans="1:14">
      <c r="A21" s="127" t="s">
        <v>2644</v>
      </c>
      <c r="B21" s="116"/>
      <c r="C21" s="117"/>
      <c r="E21" s="121"/>
      <c r="F21" s="147" t="s">
        <v>2804</v>
      </c>
      <c r="G21" s="122"/>
      <c r="H21" s="122"/>
      <c r="I21" s="122"/>
      <c r="J21" s="123"/>
    </row>
    <row r="22" spans="1:14" ht="15.5">
      <c r="A22" s="128" t="s">
        <v>13</v>
      </c>
      <c r="B22" s="132" t="s">
        <v>2279</v>
      </c>
      <c r="C22" s="133" t="s">
        <v>2285</v>
      </c>
      <c r="E22" s="121"/>
      <c r="F22" s="135" t="s">
        <v>1105</v>
      </c>
      <c r="G22" s="122"/>
      <c r="H22" s="122"/>
      <c r="I22" s="122"/>
      <c r="J22" s="123"/>
    </row>
    <row r="23" spans="1:14">
      <c r="A23" s="129" t="s">
        <v>69</v>
      </c>
      <c r="B23" s="130" t="s">
        <v>395</v>
      </c>
      <c r="C23" s="134" t="s">
        <v>130</v>
      </c>
      <c r="E23" s="121"/>
      <c r="F23" s="135" t="s">
        <v>2276</v>
      </c>
      <c r="G23" s="122"/>
      <c r="H23" s="122"/>
      <c r="I23" s="122"/>
      <c r="J23" s="123"/>
    </row>
    <row r="24" spans="1:14" ht="29">
      <c r="A24" s="129" t="s">
        <v>1197</v>
      </c>
      <c r="B24" s="130" t="s">
        <v>12</v>
      </c>
      <c r="C24" s="134" t="s">
        <v>397</v>
      </c>
      <c r="E24" s="121"/>
      <c r="F24" s="135" t="s">
        <v>3476</v>
      </c>
      <c r="G24" s="122"/>
      <c r="H24" s="122"/>
      <c r="I24" s="122"/>
      <c r="J24" s="123"/>
    </row>
    <row r="25" spans="1:14" ht="29">
      <c r="A25" s="135" t="s">
        <v>70</v>
      </c>
      <c r="B25" s="130" t="s">
        <v>2645</v>
      </c>
      <c r="C25" s="134" t="s">
        <v>396</v>
      </c>
      <c r="E25" s="121"/>
      <c r="F25" s="135" t="s">
        <v>3480</v>
      </c>
      <c r="G25" s="122"/>
      <c r="H25" s="122"/>
      <c r="I25" s="122"/>
      <c r="J25" s="123"/>
    </row>
    <row r="26" spans="1:14">
      <c r="A26" s="135" t="s">
        <v>2258</v>
      </c>
      <c r="B26" s="130" t="s">
        <v>2646</v>
      </c>
      <c r="C26" s="134" t="s">
        <v>84</v>
      </c>
      <c r="E26" s="121"/>
      <c r="F26" s="135" t="s">
        <v>4162</v>
      </c>
      <c r="G26" s="122"/>
      <c r="H26" s="122"/>
      <c r="I26" s="122"/>
      <c r="J26" s="123"/>
    </row>
    <row r="27" spans="1:14">
      <c r="A27" s="135" t="s">
        <v>32</v>
      </c>
      <c r="B27" s="130" t="s">
        <v>2276</v>
      </c>
      <c r="C27" s="134" t="s">
        <v>5006</v>
      </c>
      <c r="E27" s="121"/>
      <c r="F27" s="135" t="s">
        <v>2994</v>
      </c>
      <c r="G27" s="122"/>
      <c r="H27" s="122"/>
      <c r="I27" s="122"/>
      <c r="J27" s="123"/>
    </row>
    <row r="28" spans="1:14" ht="29">
      <c r="A28" s="122" t="s">
        <v>2276</v>
      </c>
      <c r="B28" s="122"/>
      <c r="C28" s="134" t="s">
        <v>5005</v>
      </c>
      <c r="E28" s="139" t="s">
        <v>2387</v>
      </c>
      <c r="F28" s="140" t="s">
        <v>2388</v>
      </c>
      <c r="G28" s="140" t="s">
        <v>2397</v>
      </c>
      <c r="H28" s="119" t="s">
        <v>2433</v>
      </c>
      <c r="I28" s="122"/>
      <c r="J28" s="123"/>
    </row>
    <row r="29" spans="1:14" ht="29">
      <c r="A29" s="122"/>
      <c r="B29" s="122"/>
      <c r="C29" s="134" t="s">
        <v>3854</v>
      </c>
      <c r="E29" s="129" t="s">
        <v>2364</v>
      </c>
      <c r="F29" s="135" t="s">
        <v>2362</v>
      </c>
      <c r="G29" s="135" t="s">
        <v>2527</v>
      </c>
      <c r="H29" s="135" t="s">
        <v>2375</v>
      </c>
      <c r="I29" s="122"/>
      <c r="J29" s="123"/>
    </row>
    <row r="30" spans="1:14" ht="29">
      <c r="A30" s="135"/>
      <c r="B30" s="122"/>
      <c r="C30" s="134" t="s">
        <v>3855</v>
      </c>
      <c r="E30" s="129" t="s">
        <v>2365</v>
      </c>
      <c r="F30" s="135" t="s">
        <v>2375</v>
      </c>
      <c r="G30" s="135" t="s">
        <v>2374</v>
      </c>
      <c r="H30" s="135" t="s">
        <v>2401</v>
      </c>
      <c r="I30" s="122"/>
      <c r="J30" s="123"/>
    </row>
    <row r="31" spans="1:14">
      <c r="A31" s="135" t="s">
        <v>2354</v>
      </c>
      <c r="B31" s="122"/>
      <c r="C31" s="134" t="s">
        <v>45</v>
      </c>
      <c r="E31" s="129" t="s">
        <v>2366</v>
      </c>
      <c r="F31" s="135" t="s">
        <v>2373</v>
      </c>
      <c r="G31" s="135" t="s">
        <v>2376</v>
      </c>
      <c r="H31" s="135" t="s">
        <v>2402</v>
      </c>
      <c r="I31" s="122"/>
      <c r="J31" s="123"/>
    </row>
    <row r="32" spans="1:14">
      <c r="A32" s="135" t="s">
        <v>534</v>
      </c>
      <c r="B32" s="122"/>
      <c r="C32" s="134" t="s">
        <v>2647</v>
      </c>
      <c r="E32" s="129" t="s">
        <v>2367</v>
      </c>
      <c r="F32" s="135" t="s">
        <v>2374</v>
      </c>
      <c r="G32" s="135" t="s">
        <v>2389</v>
      </c>
      <c r="H32" s="135" t="s">
        <v>2403</v>
      </c>
      <c r="I32" s="122"/>
      <c r="J32" s="123"/>
    </row>
    <row r="33" spans="1:10">
      <c r="A33" s="135" t="s">
        <v>537</v>
      </c>
      <c r="B33" s="122"/>
      <c r="C33" s="134" t="s">
        <v>2648</v>
      </c>
      <c r="E33" s="129" t="s">
        <v>2368</v>
      </c>
      <c r="F33" s="135" t="s">
        <v>2376</v>
      </c>
      <c r="G33" s="135" t="s">
        <v>2390</v>
      </c>
      <c r="H33" s="135" t="s">
        <v>2404</v>
      </c>
      <c r="I33" s="122"/>
      <c r="J33" s="123"/>
    </row>
    <row r="34" spans="1:10">
      <c r="A34" s="135"/>
      <c r="B34" s="122"/>
      <c r="C34" s="134" t="s">
        <v>116</v>
      </c>
      <c r="E34" s="129" t="s">
        <v>2369</v>
      </c>
      <c r="F34" s="135" t="s">
        <v>2377</v>
      </c>
      <c r="G34" s="135" t="s">
        <v>2391</v>
      </c>
      <c r="H34" s="135" t="s">
        <v>2846</v>
      </c>
      <c r="I34" s="122"/>
      <c r="J34" s="123"/>
    </row>
    <row r="35" spans="1:10">
      <c r="A35" s="135"/>
      <c r="B35" s="122"/>
      <c r="C35" s="134" t="s">
        <v>863</v>
      </c>
      <c r="E35" s="129" t="s">
        <v>2370</v>
      </c>
      <c r="F35" s="135" t="s">
        <v>2378</v>
      </c>
      <c r="G35" s="135" t="s">
        <v>2392</v>
      </c>
      <c r="H35" s="135" t="s">
        <v>2276</v>
      </c>
      <c r="I35" s="122"/>
      <c r="J35" s="123"/>
    </row>
    <row r="36" spans="1:10">
      <c r="A36" s="129"/>
      <c r="B36" s="122"/>
      <c r="C36" s="134" t="s">
        <v>2650</v>
      </c>
      <c r="E36" s="129" t="s">
        <v>2371</v>
      </c>
      <c r="F36" s="135" t="s">
        <v>2379</v>
      </c>
      <c r="G36" s="135" t="s">
        <v>2393</v>
      </c>
      <c r="H36" s="135"/>
      <c r="I36" s="122"/>
      <c r="J36" s="123"/>
    </row>
    <row r="37" spans="1:10" ht="29">
      <c r="A37" s="129"/>
      <c r="B37" s="122"/>
      <c r="C37" s="134" t="s">
        <v>2651</v>
      </c>
      <c r="E37" s="129" t="s">
        <v>2372</v>
      </c>
      <c r="F37" s="135" t="s">
        <v>2380</v>
      </c>
      <c r="G37" s="135" t="s">
        <v>2394</v>
      </c>
      <c r="H37" s="135"/>
      <c r="I37" s="122"/>
      <c r="J37" s="123"/>
    </row>
    <row r="38" spans="1:10">
      <c r="A38" s="129"/>
      <c r="B38" s="122"/>
      <c r="C38" s="134" t="s">
        <v>2649</v>
      </c>
      <c r="E38" s="129" t="s">
        <v>2373</v>
      </c>
      <c r="F38" s="135" t="s">
        <v>2381</v>
      </c>
      <c r="G38" s="135" t="s">
        <v>2395</v>
      </c>
      <c r="H38" s="135"/>
      <c r="I38" s="122"/>
      <c r="J38" s="123"/>
    </row>
    <row r="39" spans="1:10">
      <c r="A39" s="121"/>
      <c r="B39" s="122"/>
      <c r="C39" s="134" t="s">
        <v>2652</v>
      </c>
      <c r="E39" s="129" t="s">
        <v>2374</v>
      </c>
      <c r="F39" s="135" t="s">
        <v>2382</v>
      </c>
      <c r="G39" s="135" t="s">
        <v>2396</v>
      </c>
      <c r="H39" s="135"/>
      <c r="I39" s="122"/>
      <c r="J39" s="123"/>
    </row>
    <row r="40" spans="1:10" ht="15" thickBot="1">
      <c r="A40" s="124"/>
      <c r="B40" s="125"/>
      <c r="C40" s="134" t="s">
        <v>2653</v>
      </c>
      <c r="E40" s="129" t="s">
        <v>2845</v>
      </c>
      <c r="F40" s="135" t="s">
        <v>2383</v>
      </c>
      <c r="G40" s="135" t="s">
        <v>2276</v>
      </c>
      <c r="H40" s="135"/>
      <c r="I40" s="125"/>
      <c r="J40" s="126"/>
    </row>
    <row r="41" spans="1:10" ht="15" thickBot="1">
      <c r="C41" s="126" t="s">
        <v>2276</v>
      </c>
      <c r="E41" s="121" t="s">
        <v>2846</v>
      </c>
      <c r="F41" s="135" t="s">
        <v>2384</v>
      </c>
      <c r="G41" s="135"/>
      <c r="H41" s="135"/>
    </row>
    <row r="42" spans="1:10">
      <c r="C42" s="142" t="s">
        <v>1105</v>
      </c>
      <c r="E42" s="121" t="s">
        <v>2276</v>
      </c>
      <c r="F42" s="135" t="s">
        <v>2385</v>
      </c>
      <c r="G42" s="135"/>
      <c r="H42" s="135"/>
    </row>
    <row r="43" spans="1:10">
      <c r="C43" s="3" t="s">
        <v>137</v>
      </c>
      <c r="E43" s="121"/>
      <c r="F43" s="122" t="s">
        <v>2386</v>
      </c>
      <c r="G43" s="135"/>
      <c r="H43" s="135"/>
    </row>
    <row r="44" spans="1:10" ht="15" thickBot="1">
      <c r="C44" s="145" t="s">
        <v>3209</v>
      </c>
      <c r="E44" s="124"/>
      <c r="F44" s="141" t="s">
        <v>2276</v>
      </c>
      <c r="G44" s="125"/>
      <c r="H44" s="125"/>
    </row>
    <row r="45" spans="1:10">
      <c r="C45" s="130" t="s">
        <v>5801</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2020-07-31T11:32:55Z</dcterms:modified>
</cp:coreProperties>
</file>