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CC456FDF-FFCE-CA45-B065-448C4DF558B3}" xr6:coauthVersionLast="47" xr6:coauthVersionMax="47" xr10:uidLastSave="{00000000-0000-0000-0000-000000000000}"/>
  <bookViews>
    <workbookView xWindow="28800" yWindow="500" windowWidth="24900" windowHeight="21100" xr2:uid="{87DCA941-973D-334D-B1A4-420F18861316}"/>
  </bookViews>
  <sheets>
    <sheet name="DCF" sheetId="1" r:id="rId1"/>
    <sheet name="Income Statement" sheetId="2" r:id="rId2"/>
    <sheet name="Shares" sheetId="6" r:id="rId3"/>
    <sheet name="WACC" sheetId="4" r:id="rId4"/>
    <sheet name="Cashflow Statement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" i="1" l="1"/>
  <c r="Q98" i="1"/>
  <c r="Q97" i="1" l="1"/>
  <c r="Q75" i="1"/>
  <c r="E46" i="1"/>
  <c r="Q105" i="1"/>
  <c r="F13" i="6"/>
  <c r="F8" i="6"/>
  <c r="F9" i="6" s="1"/>
  <c r="F7" i="6"/>
  <c r="Q103" i="1"/>
  <c r="Q106" i="1" s="1"/>
  <c r="Q92" i="1"/>
  <c r="O92" i="1"/>
  <c r="P92" i="1"/>
  <c r="N92" i="1"/>
  <c r="M92" i="1"/>
  <c r="M95" i="1"/>
  <c r="M94" i="1"/>
  <c r="N91" i="1"/>
  <c r="O91" i="1"/>
  <c r="P91" i="1"/>
  <c r="Q91" i="1"/>
  <c r="M91" i="1"/>
  <c r="F21" i="4"/>
  <c r="F19" i="4"/>
  <c r="F8" i="4"/>
  <c r="F9" i="4"/>
  <c r="F16" i="4"/>
  <c r="H10" i="4"/>
  <c r="C10" i="1"/>
  <c r="F17" i="4"/>
  <c r="F15" i="4"/>
  <c r="N95" i="1"/>
  <c r="O95" i="1" s="1"/>
  <c r="P95" i="1" s="1"/>
  <c r="Q95" i="1" s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C89" i="1"/>
  <c r="C88" i="1"/>
  <c r="C86" i="1"/>
  <c r="C85" i="1"/>
  <c r="C83" i="1"/>
  <c r="C82" i="1"/>
  <c r="N80" i="1"/>
  <c r="O80" i="1"/>
  <c r="P80" i="1"/>
  <c r="Q80" i="1"/>
  <c r="M80" i="1"/>
  <c r="N77" i="1"/>
  <c r="O77" i="1"/>
  <c r="P77" i="1"/>
  <c r="Q77" i="1"/>
  <c r="M77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C78" i="1"/>
  <c r="C77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D75" i="1"/>
  <c r="F75" i="1"/>
  <c r="G75" i="1"/>
  <c r="H75" i="1"/>
  <c r="I75" i="1"/>
  <c r="J75" i="1"/>
  <c r="K75" i="1"/>
  <c r="L75" i="1"/>
  <c r="M75" i="1"/>
  <c r="N75" i="1"/>
  <c r="O75" i="1"/>
  <c r="P75" i="1"/>
  <c r="C75" i="1"/>
  <c r="C74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C71" i="1"/>
  <c r="N63" i="1"/>
  <c r="O63" i="1"/>
  <c r="P63" i="1"/>
  <c r="Q63" i="1"/>
  <c r="M63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D63" i="1"/>
  <c r="E63" i="1"/>
  <c r="F63" i="1"/>
  <c r="G63" i="1"/>
  <c r="H63" i="1"/>
  <c r="I63" i="1"/>
  <c r="J63" i="1"/>
  <c r="K63" i="1"/>
  <c r="L63" i="1"/>
  <c r="C63" i="1"/>
  <c r="L58" i="1"/>
  <c r="K58" i="1"/>
  <c r="J58" i="1"/>
  <c r="I58" i="1"/>
  <c r="H58" i="1"/>
  <c r="G58" i="1"/>
  <c r="F58" i="1"/>
  <c r="E58" i="1"/>
  <c r="D58" i="1"/>
  <c r="C58" i="1"/>
  <c r="N60" i="1"/>
  <c r="O60" i="1"/>
  <c r="P60" i="1"/>
  <c r="Q60" i="1"/>
  <c r="M60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D60" i="1"/>
  <c r="E60" i="1"/>
  <c r="F60" i="1"/>
  <c r="G60" i="1"/>
  <c r="H60" i="1"/>
  <c r="I60" i="1"/>
  <c r="J60" i="1"/>
  <c r="K60" i="1"/>
  <c r="L60" i="1"/>
  <c r="C60" i="1"/>
  <c r="N56" i="1"/>
  <c r="O56" i="1"/>
  <c r="P56" i="1"/>
  <c r="Q56" i="1"/>
  <c r="M56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56" i="1"/>
  <c r="E56" i="1"/>
  <c r="F56" i="1"/>
  <c r="G56" i="1"/>
  <c r="H56" i="1"/>
  <c r="I56" i="1"/>
  <c r="J56" i="1"/>
  <c r="K56" i="1"/>
  <c r="L56" i="1"/>
  <c r="C56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51" i="1"/>
  <c r="E51" i="1"/>
  <c r="F51" i="1"/>
  <c r="G51" i="1"/>
  <c r="H51" i="1"/>
  <c r="I51" i="1"/>
  <c r="J51" i="1"/>
  <c r="K51" i="1"/>
  <c r="L51" i="1"/>
  <c r="C51" i="1"/>
  <c r="D69" i="1"/>
  <c r="E69" i="1" s="1"/>
  <c r="F69" i="1" s="1"/>
  <c r="G69" i="1" s="1"/>
  <c r="H69" i="1" s="1"/>
  <c r="I69" i="1" s="1"/>
  <c r="J69" i="1" s="1"/>
  <c r="K69" i="1" s="1"/>
  <c r="E54" i="1"/>
  <c r="F54" i="1" s="1"/>
  <c r="G54" i="1" s="1"/>
  <c r="H54" i="1" s="1"/>
  <c r="I54" i="1" s="1"/>
  <c r="J54" i="1" s="1"/>
  <c r="K54" i="1" s="1"/>
  <c r="D54" i="1"/>
  <c r="D49" i="1"/>
  <c r="E49" i="1" s="1"/>
  <c r="F49" i="1" s="1"/>
  <c r="G49" i="1" s="1"/>
  <c r="H49" i="1" s="1"/>
  <c r="I49" i="1" s="1"/>
  <c r="J49" i="1" s="1"/>
  <c r="K49" i="1" s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75" i="1" s="1"/>
  <c r="D47" i="1"/>
  <c r="C47" i="1"/>
  <c r="H46" i="1"/>
  <c r="I46" i="1"/>
  <c r="J46" i="1"/>
  <c r="K46" i="1"/>
  <c r="L46" i="1"/>
  <c r="M46" i="1"/>
  <c r="G46" i="1"/>
  <c r="O46" i="1"/>
  <c r="P46" i="1"/>
  <c r="Q46" i="1"/>
  <c r="N46" i="1"/>
  <c r="F42" i="1"/>
  <c r="G42" i="1"/>
  <c r="H42" i="1"/>
  <c r="I42" i="1"/>
  <c r="J42" i="1"/>
  <c r="K42" i="1"/>
  <c r="L42" i="1"/>
  <c r="M42" i="1"/>
  <c r="N42" i="1"/>
  <c r="O42" i="1"/>
  <c r="P42" i="1"/>
  <c r="Q42" i="1"/>
  <c r="G38" i="1"/>
  <c r="H38" i="1"/>
  <c r="I38" i="1"/>
  <c r="J38" i="1"/>
  <c r="K38" i="1"/>
  <c r="L38" i="1"/>
  <c r="M38" i="1"/>
  <c r="N38" i="1"/>
  <c r="O38" i="1"/>
  <c r="P38" i="1"/>
  <c r="Q38" i="1"/>
  <c r="F34" i="1"/>
  <c r="G34" i="1"/>
  <c r="H34" i="1"/>
  <c r="I34" i="1"/>
  <c r="J34" i="1"/>
  <c r="K34" i="1"/>
  <c r="L34" i="1"/>
  <c r="M34" i="1"/>
  <c r="N34" i="1"/>
  <c r="O34" i="1"/>
  <c r="P34" i="1"/>
  <c r="Q34" i="1"/>
  <c r="E42" i="1"/>
  <c r="E38" i="1"/>
  <c r="E34" i="1"/>
  <c r="D46" i="1"/>
  <c r="C46" i="1"/>
  <c r="D32" i="1"/>
  <c r="E32" i="1" s="1"/>
  <c r="F32" i="1" s="1"/>
  <c r="G32" i="1" s="1"/>
  <c r="H32" i="1" s="1"/>
  <c r="I32" i="1" s="1"/>
  <c r="J32" i="1" s="1"/>
  <c r="K32" i="1" s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5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C21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8" i="1"/>
  <c r="M17" i="1"/>
  <c r="N17" i="1"/>
  <c r="O17" i="1"/>
  <c r="P17" i="1"/>
  <c r="Q17" i="1"/>
  <c r="D17" i="1"/>
  <c r="E17" i="1"/>
  <c r="F17" i="1"/>
  <c r="G17" i="1"/>
  <c r="H17" i="1"/>
  <c r="I17" i="1"/>
  <c r="J17" i="1"/>
  <c r="K17" i="1"/>
  <c r="L17" i="1"/>
  <c r="C17" i="1"/>
  <c r="D15" i="1"/>
  <c r="E15" i="1" s="1"/>
  <c r="F15" i="1" s="1"/>
  <c r="G15" i="1" s="1"/>
  <c r="H15" i="1" s="1"/>
  <c r="I15" i="1" s="1"/>
  <c r="J15" i="1" s="1"/>
  <c r="K15" i="1" s="1"/>
  <c r="F10" i="6" l="1"/>
  <c r="F46" i="1" l="1"/>
</calcChain>
</file>

<file path=xl/sharedStrings.xml><?xml version="1.0" encoding="utf-8"?>
<sst xmlns="http://schemas.openxmlformats.org/spreadsheetml/2006/main" count="419" uniqueCount="215">
  <si>
    <t>Terminal Value</t>
  </si>
  <si>
    <t>PV of Terminal Value</t>
  </si>
  <si>
    <t>(-) Debt</t>
  </si>
  <si>
    <t>(+) Cash</t>
  </si>
  <si>
    <t>Equity Value</t>
  </si>
  <si>
    <t>FDSO</t>
  </si>
  <si>
    <t>Amazon.com, Inc.</t>
  </si>
  <si>
    <t xml:space="preserve">AMZN   023135106   2000019   NASDAQ    Common stock    </t>
  </si>
  <si>
    <t>Source: FactSet Fundamentals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</si>
  <si>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</si>
  <si>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</si>
  <si>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</si>
  <si>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</si>
  <si>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</si>
  <si>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</si>
  <si>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</si>
  <si>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</si>
  <si>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</si>
  <si>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</si>
  <si>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JUN '24</t>
  </si>
  <si>
    <t>LTM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</si>
  <si>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</si>
  <si>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</si>
  <si>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</si>
  <si>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</si>
  <si>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</si>
  <si>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</si>
  <si>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</si>
  <si>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</si>
  <si>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</si>
  <si>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</si>
  <si>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</si>
  <si>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</si>
  <si>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</si>
  <si>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</si>
  <si>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</si>
  <si>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</si>
  <si>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</si>
  <si>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Unrealized Valuation Gain/Loss</t>
  </si>
  <si>
    <t>Investments</t>
  </si>
  <si>
    <t>Hedges/Derivatives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</si>
  <si>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</si>
  <si>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</si>
  <si>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</si>
  <si>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</si>
  <si>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</si>
  <si>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</si>
  <si>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Equity in Earnings of Affiliates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</si>
  <si>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</si>
  <si>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</si>
  <si>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</si>
  <si>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</si>
  <si>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</si>
  <si>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</si>
  <si>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</si>
  <si>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</si>
  <si>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</si>
  <si>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</si>
  <si>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</si>
  <si>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EBITDA</t>
  </si>
  <si>
    <t>EBIT</t>
  </si>
  <si>
    <t>All figures in millions of U.S. Dollar except per share items.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</si>
  <si>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</si>
  <si>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</si>
  <si>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</si>
  <si>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</si>
  <si>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</si>
  <si>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</si>
  <si>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</si>
  <si>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</si>
  <si>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</si>
  <si>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</si>
  <si>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</si>
  <si>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</si>
  <si>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</si>
  <si>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</si>
  <si>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</si>
  <si>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</si>
  <si>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</si>
  <si>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</si>
  <si>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</si>
  <si>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</si>
  <si>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</si>
  <si>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</si>
  <si>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</si>
  <si>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</si>
  <si>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Net Investing Cash Flow</t>
  </si>
  <si>
    <t>Financing Activities</t>
  </si>
  <si>
    <t>Change in Capital Stock</t>
  </si>
  <si>
    <t>Repurchase of Common &amp; Preferred Stk.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</si>
  <si>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</si>
  <si>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</si>
  <si>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</si>
  <si>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</si>
  <si>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</si>
  <si>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Other Sources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</si>
  <si>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</si>
  <si>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</si>
  <si>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</si>
  <si>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</si>
  <si>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</si>
  <si>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</si>
  <si>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</si>
  <si>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>AMZN-US</t>
  </si>
  <si>
    <t>Cash Flow (M)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</si>
  <si>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</si>
  <si>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</si>
  <si>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</si>
  <si>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</si>
  <si>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</si>
  <si>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</si>
  <si>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</si>
  <si>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</si>
  <si>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</si>
  <si>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</si>
  <si>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</si>
  <si>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</si>
  <si>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</si>
  <si>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</si>
  <si>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</si>
  <si>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</si>
  <si>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</si>
  <si>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</si>
  <si>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</si>
  <si>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</si>
  <si>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</si>
  <si>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</si>
  <si>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</si>
  <si>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</si>
  <si>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</si>
  <si>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</si>
  <si>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</si>
  <si>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</si>
  <si>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</si>
  <si>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</si>
  <si>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</si>
  <si>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</si>
  <si>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Unlevered Free Cash Flow</t>
  </si>
  <si>
    <t>-</t>
  </si>
  <si>
    <t>Cash Flow from Operations</t>
  </si>
  <si>
    <t>Cash Flow from Investing</t>
  </si>
  <si>
    <t>Cash Flow from Financing</t>
  </si>
  <si>
    <t>DCF</t>
  </si>
  <si>
    <t>Ticker</t>
  </si>
  <si>
    <t>Date</t>
  </si>
  <si>
    <t>End of Year</t>
  </si>
  <si>
    <t>Assumptions</t>
  </si>
  <si>
    <t>WACC</t>
  </si>
  <si>
    <t>TGR</t>
  </si>
  <si>
    <t>Financials</t>
  </si>
  <si>
    <t>Revenue</t>
  </si>
  <si>
    <t>North America</t>
  </si>
  <si>
    <t>% growth</t>
  </si>
  <si>
    <t>% of total sales</t>
  </si>
  <si>
    <t>International</t>
  </si>
  <si>
    <t>AWS</t>
  </si>
  <si>
    <t>Total</t>
  </si>
  <si>
    <t>% of sales</t>
  </si>
  <si>
    <t>% of total EBIT</t>
  </si>
  <si>
    <t>Tax Rate</t>
  </si>
  <si>
    <t>Taxes</t>
  </si>
  <si>
    <t>% tax rate</t>
  </si>
  <si>
    <t>Cash Flow Items</t>
  </si>
  <si>
    <t>D&amp;A</t>
  </si>
  <si>
    <t>% of CapEx</t>
  </si>
  <si>
    <t>CapEx</t>
  </si>
  <si>
    <t>Change in NWC</t>
  </si>
  <si>
    <t>% of change in sales</t>
  </si>
  <si>
    <t>12/31 FYE</t>
  </si>
  <si>
    <t>EBIAT</t>
  </si>
  <si>
    <t>Unlevered FCF</t>
  </si>
  <si>
    <t>PV of UFCF</t>
  </si>
  <si>
    <t>Stub</t>
  </si>
  <si>
    <t>Discount Period</t>
  </si>
  <si>
    <t>Implied Share Price</t>
  </si>
  <si>
    <t>AMZN</t>
  </si>
  <si>
    <t>Geographic Segments (M)</t>
  </si>
  <si>
    <t>- NA Other</t>
  </si>
  <si>
    <t>AWS-Geo</t>
  </si>
  <si>
    <t>Operating Income</t>
  </si>
  <si>
    <t>- NA Media</t>
  </si>
  <si>
    <t>WFM- Geo</t>
  </si>
  <si>
    <t>2024A</t>
  </si>
  <si>
    <t>2025E</t>
  </si>
  <si>
    <t>2026E</t>
  </si>
  <si>
    <t>2027E</t>
  </si>
  <si>
    <t>2028E</t>
  </si>
  <si>
    <t>2029E</t>
  </si>
  <si>
    <t xml:space="preserve">Selbst Forecast mit Mittelwert 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</si>
  <si>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</si>
  <si>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</si>
  <si>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</si>
  <si>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</si>
  <si>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</si>
  <si>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</si>
  <si>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</si>
  <si>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</si>
  <si>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</si>
  <si>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</si>
  <si>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</si>
  <si>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 xml:space="preserve">Anleihen </t>
  </si>
  <si>
    <t xml:space="preserve">Diff zum MSCI </t>
  </si>
  <si>
    <t xml:space="preserve">der Aktie </t>
  </si>
  <si>
    <t>Enterprise Value (discounted, nicht - Cash + Debt)</t>
  </si>
  <si>
    <t>x</t>
  </si>
  <si>
    <t>Full Diluted Shares</t>
  </si>
  <si>
    <t>Current Stock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</si>
  <si>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</si>
  <si>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</si>
  <si>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</si>
  <si>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</si>
  <si>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</si>
  <si>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</si>
  <si>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Net diluted shares outstanding</t>
  </si>
  <si>
    <t xml:space="preserve">DCF in Mio.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</si>
</sst>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A&quot;"/>
    <numFmt numFmtId="165" formatCode="0&quot;E&quot;"/>
    <numFmt numFmtId="166" formatCode="0.0%"/>
    <numFmt numFmtId="167" formatCode="#,##0.0_);\(#,##0.0\)"/>
    <numFmt numFmtId="168" formatCode="#,##0.0_);\(#,##0.0\);@_)"/>
  </numFmts>
  <fonts count="1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1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1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3" fontId="3" fillId="3" borderId="0" xfId="1" applyNumberFormat="1" applyFont="1" applyFill="1" applyAlignment="1">
      <alignment horizontal="right"/>
    </xf>
    <xf numFmtId="0" fontId="3" fillId="0" borderId="0" xfId="1" applyFont="1" applyAlignment="1">
      <alignment horizontal="left" indent="3"/>
    </xf>
    <xf numFmtId="3" fontId="3" fillId="0" borderId="0" xfId="1" applyNumberFormat="1" applyFont="1" applyAlignment="1">
      <alignment horizontal="right"/>
    </xf>
    <xf numFmtId="0" fontId="1" fillId="3" borderId="0" xfId="1" applyFill="1" applyAlignment="1">
      <alignment horizontal="left" indent="4"/>
    </xf>
    <xf numFmtId="3" fontId="1" fillId="3" borderId="0" xfId="1" applyNumberFormat="1" applyFill="1" applyAlignment="1">
      <alignment horizontal="right"/>
    </xf>
    <xf numFmtId="0" fontId="3" fillId="0" borderId="0" xfId="1" applyFont="1" applyAlignment="1">
      <alignment horizontal="left" indent="6"/>
    </xf>
    <xf numFmtId="0" fontId="1" fillId="3" borderId="0" xfId="1" applyFill="1" applyAlignment="1">
      <alignment horizontal="left" indent="7"/>
    </xf>
    <xf numFmtId="0" fontId="1" fillId="3" borderId="0" xfId="1" applyFill="1" applyAlignment="1">
      <alignment horizontal="left"/>
    </xf>
    <xf numFmtId="0" fontId="1" fillId="0" borderId="0" xfId="1" applyAlignment="1">
      <alignment horizontal="left" indent="7"/>
    </xf>
    <xf numFmtId="3" fontId="1" fillId="0" borderId="0" xfId="1" applyNumberForma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indent="4"/>
    </xf>
    <xf numFmtId="3" fontId="4" fillId="0" borderId="0" xfId="1" applyNumberFormat="1" applyFont="1" applyAlignment="1">
      <alignment horizontal="right"/>
    </xf>
    <xf numFmtId="0" fontId="3" fillId="3" borderId="0" xfId="1" applyFont="1" applyFill="1" applyAlignment="1">
      <alignment horizontal="left" indent="3"/>
    </xf>
    <xf numFmtId="0" fontId="3" fillId="0" borderId="0" xfId="1" applyFont="1" applyAlignment="1">
      <alignment horizontal="left"/>
    </xf>
    <xf numFmtId="3" fontId="4" fillId="3" borderId="0" xfId="1" applyNumberFormat="1" applyFont="1" applyFill="1" applyAlignment="1">
      <alignment horizontal="right"/>
    </xf>
    <xf numFmtId="0" fontId="1" fillId="3" borderId="0" xfId="1" applyFill="1" applyAlignment="1">
      <alignment horizontal="left" indent="1"/>
    </xf>
    <xf numFmtId="0" fontId="1" fillId="0" borderId="0" xfId="1" applyAlignment="1">
      <alignment horizontal="left" indent="1"/>
    </xf>
    <xf numFmtId="4" fontId="4" fillId="0" borderId="0" xfId="1" applyNumberFormat="1" applyFont="1" applyAlignment="1">
      <alignment horizontal="right"/>
    </xf>
    <xf numFmtId="4" fontId="1" fillId="0" borderId="0" xfId="1" applyNumberFormat="1" applyAlignment="1">
      <alignment horizontal="right"/>
    </xf>
    <xf numFmtId="4" fontId="3" fillId="3" borderId="0" xfId="1" applyNumberFormat="1" applyFont="1" applyFill="1" applyAlignment="1">
      <alignment horizontal="right"/>
    </xf>
    <xf numFmtId="4" fontId="1" fillId="3" borderId="0" xfId="1" applyNumberFormat="1" applyFill="1" applyAlignment="1">
      <alignment horizontal="right"/>
    </xf>
    <xf numFmtId="4" fontId="3" fillId="0" borderId="0" xfId="1" applyNumberFormat="1" applyFont="1" applyAlignment="1">
      <alignment horizontal="right"/>
    </xf>
    <xf numFmtId="0" fontId="5" fillId="0" borderId="0" xfId="1" applyFont="1" applyAlignment="1">
      <alignment horizontal="left"/>
    </xf>
    <xf numFmtId="0" fontId="1" fillId="0" borderId="1" xfId="1" applyBorder="1"/>
    <xf numFmtId="0" fontId="3" fillId="3" borderId="0" xfId="1" applyFont="1" applyFill="1" applyAlignment="1">
      <alignment horizontal="left" indent="6"/>
    </xf>
    <xf numFmtId="0" fontId="2" fillId="0" borderId="0" xfId="1" applyFont="1"/>
    <xf numFmtId="0" fontId="6" fillId="0" borderId="2" xfId="0" applyFont="1" applyBorder="1"/>
    <xf numFmtId="0" fontId="7" fillId="4" borderId="0" xfId="0" applyFont="1" applyFill="1"/>
    <xf numFmtId="0" fontId="7" fillId="5" borderId="0" xfId="0" applyFont="1" applyFill="1"/>
    <xf numFmtId="0" fontId="8" fillId="0" borderId="0" xfId="0" applyFont="1"/>
    <xf numFmtId="0" fontId="9" fillId="0" borderId="5" xfId="0" applyFont="1" applyBorder="1"/>
    <xf numFmtId="0" fontId="9" fillId="0" borderId="3" xfId="0" applyFont="1" applyBorder="1"/>
    <xf numFmtId="0" fontId="9" fillId="0" borderId="4" xfId="0" applyFont="1" applyBorder="1"/>
    <xf numFmtId="164" fontId="7" fillId="5" borderId="0" xfId="0" applyNumberFormat="1" applyFont="1" applyFill="1"/>
    <xf numFmtId="0" fontId="0" fillId="6" borderId="6" xfId="0" applyFill="1" applyBorder="1" applyAlignment="1">
      <alignment horizontal="center"/>
    </xf>
    <xf numFmtId="14" fontId="0" fillId="6" borderId="6" xfId="0" applyNumberFormat="1" applyFill="1" applyBorder="1" applyAlignment="1">
      <alignment horizontal="center"/>
    </xf>
    <xf numFmtId="0" fontId="0" fillId="0" borderId="7" xfId="0" applyBorder="1"/>
    <xf numFmtId="0" fontId="2" fillId="0" borderId="0" xfId="1" applyFont="1" applyAlignment="1">
      <alignment horizontal="left"/>
    </xf>
    <xf numFmtId="3" fontId="2" fillId="0" borderId="0" xfId="1" applyNumberFormat="1" applyFont="1" applyAlignment="1">
      <alignment horizontal="right"/>
    </xf>
    <xf numFmtId="0" fontId="1" fillId="0" borderId="0" xfId="1" quotePrefix="1" applyAlignment="1">
      <alignment horizontal="left"/>
    </xf>
    <xf numFmtId="0" fontId="1" fillId="0" borderId="0" xfId="1" applyAlignment="1">
      <alignment horizontal="right"/>
    </xf>
    <xf numFmtId="0" fontId="2" fillId="3" borderId="0" xfId="1" applyFont="1" applyFill="1" applyAlignment="1">
      <alignment horizontal="left"/>
    </xf>
    <xf numFmtId="3" fontId="2" fillId="3" borderId="0" xfId="1" applyNumberFormat="1" applyFont="1" applyFill="1" applyAlignment="1">
      <alignment horizontal="right"/>
    </xf>
    <xf numFmtId="0" fontId="1" fillId="3" borderId="0" xfId="1" quotePrefix="1" applyFill="1" applyAlignment="1">
      <alignment horizontal="left"/>
    </xf>
    <xf numFmtId="0" fontId="1" fillId="3" borderId="0" xfId="1" applyFill="1" applyAlignment="1">
      <alignment horizontal="right"/>
    </xf>
    <xf numFmtId="3" fontId="0" fillId="0" borderId="0" xfId="0" applyNumberFormat="1"/>
    <xf numFmtId="165" fontId="7" fillId="5" borderId="0" xfId="0" applyNumberFormat="1" applyFont="1" applyFill="1" applyAlignment="1">
      <alignment horizontal="right"/>
    </xf>
    <xf numFmtId="165" fontId="7" fillId="5" borderId="7" xfId="0" applyNumberFormat="1" applyFont="1" applyFill="1" applyBorder="1" applyAlignment="1">
      <alignment horizontal="right"/>
    </xf>
    <xf numFmtId="9" fontId="0" fillId="0" borderId="0" xfId="2" applyFont="1"/>
    <xf numFmtId="10" fontId="0" fillId="0" borderId="0" xfId="0" applyNumberFormat="1"/>
    <xf numFmtId="0" fontId="9" fillId="7" borderId="3" xfId="0" applyFont="1" applyFill="1" applyBorder="1"/>
    <xf numFmtId="0" fontId="10" fillId="7" borderId="4" xfId="0" applyFont="1" applyFill="1" applyBorder="1"/>
    <xf numFmtId="3" fontId="0" fillId="7" borderId="8" xfId="0" applyNumberFormat="1" applyFill="1" applyBorder="1"/>
    <xf numFmtId="3" fontId="0" fillId="7" borderId="9" xfId="0" applyNumberFormat="1" applyFill="1" applyBorder="1"/>
    <xf numFmtId="10" fontId="0" fillId="7" borderId="2" xfId="0" applyNumberFormat="1" applyFill="1" applyBorder="1"/>
    <xf numFmtId="10" fontId="0" fillId="7" borderId="10" xfId="0" applyNumberFormat="1" applyFill="1" applyBorder="1"/>
    <xf numFmtId="0" fontId="0" fillId="7" borderId="2" xfId="0" applyFill="1" applyBorder="1"/>
    <xf numFmtId="10" fontId="0" fillId="0" borderId="7" xfId="0" applyNumberFormat="1" applyBorder="1"/>
    <xf numFmtId="3" fontId="0" fillId="0" borderId="7" xfId="0" applyNumberFormat="1" applyBorder="1"/>
    <xf numFmtId="0" fontId="0" fillId="0" borderId="11" xfId="0" applyBorder="1"/>
    <xf numFmtId="3" fontId="0" fillId="0" borderId="5" xfId="0" applyNumberFormat="1" applyBorder="1"/>
    <xf numFmtId="0" fontId="0" fillId="0" borderId="8" xfId="0" applyBorder="1"/>
    <xf numFmtId="0" fontId="0" fillId="0" borderId="2" xfId="0" applyBorder="1"/>
    <xf numFmtId="0" fontId="7" fillId="8" borderId="0" xfId="0" applyFont="1" applyFill="1"/>
    <xf numFmtId="0" fontId="0" fillId="8" borderId="0" xfId="0" applyFill="1"/>
    <xf numFmtId="16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6" borderId="6" xfId="0" applyNumberFormat="1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3" fontId="0" fillId="6" borderId="6" xfId="0" applyNumberFormat="1" applyFill="1" applyBorder="1" applyAlignment="1">
      <alignment horizontal="right"/>
    </xf>
    <xf numFmtId="10" fontId="0" fillId="6" borderId="6" xfId="0" applyNumberFormat="1" applyFill="1" applyBorder="1" applyAlignment="1">
      <alignment horizontal="center"/>
    </xf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7" fillId="4" borderId="0" xfId="0" applyFont="1" applyFill="1" applyAlignment="1">
      <alignment horizontal="left"/>
    </xf>
    <xf numFmtId="0" fontId="12" fillId="4" borderId="0" xfId="0" applyFont="1" applyFill="1" applyAlignment="1">
      <alignment horizontal="centerContinuous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left"/>
    </xf>
    <xf numFmtId="39" fontId="13" fillId="9" borderId="6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167" fontId="13" fillId="9" borderId="6" xfId="0" applyNumberFormat="1" applyFont="1" applyFill="1" applyBorder="1" applyAlignment="1">
      <alignment horizontal="right"/>
    </xf>
    <xf numFmtId="168" fontId="15" fillId="0" borderId="0" xfId="0" applyNumberFormat="1" applyFont="1"/>
    <xf numFmtId="168" fontId="0" fillId="0" borderId="0" xfId="0" applyNumberFormat="1"/>
    <xf numFmtId="168" fontId="16" fillId="0" borderId="0" xfId="0" applyNumberFormat="1" applyFont="1"/>
    <xf numFmtId="0" fontId="9" fillId="0" borderId="0" xfId="0" applyFont="1" applyAlignment="1">
      <alignment horizontal="left"/>
    </xf>
    <xf numFmtId="167" fontId="0" fillId="0" borderId="0" xfId="0" applyNumberFormat="1"/>
    <xf numFmtId="168" fontId="9" fillId="0" borderId="0" xfId="0" applyNumberFormat="1" applyFont="1"/>
    <xf numFmtId="9" fontId="0" fillId="0" borderId="7" xfId="2" applyFont="1" applyBorder="1"/>
    <xf numFmtId="3" fontId="0" fillId="7" borderId="3" xfId="0" applyNumberFormat="1" applyFill="1" applyBorder="1"/>
    <xf numFmtId="10" fontId="0" fillId="7" borderId="4" xfId="0" applyNumberFormat="1" applyFill="1" applyBorder="1"/>
    <xf numFmtId="10" fontId="0" fillId="0" borderId="0" xfId="0" applyNumberFormat="1" applyBorder="1"/>
    <xf numFmtId="3" fontId="0" fillId="0" borderId="0" xfId="0" applyNumberFormat="1" applyBorder="1"/>
  </cellXfs>
  <cellStyles count="3">
    <cellStyle name="Normal 2" xfId="1" xr:uid="{3F070CE0-BBBD-9E46-850E-6372242C4191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2CEF-B58D-534F-BD7E-9D8862CEB0E8}">
  <dimension ref="B2:T106"/>
  <sheetViews>
    <sheetView showGridLines="0" tabSelected="1" topLeftCell="A20" workbookViewId="0">
      <pane xSplit="2" topLeftCell="C1" activePane="topRight" state="frozen"/>
      <selection pane="topRight" activeCell="Q101" sqref="Q101"/>
    </sheetView>
  </sheetViews>
  <sheetFormatPr baseColWidth="10" defaultRowHeight="16" x14ac:dyDescent="0.2"/>
  <cols>
    <col min="1" max="1" width="4.33203125" customWidth="1"/>
    <col min="2" max="2" width="42.1640625" bestFit="1" customWidth="1"/>
    <col min="13" max="13" width="10.83203125" style="41"/>
  </cols>
  <sheetData>
    <row r="2" spans="2:17" ht="22" x14ac:dyDescent="0.3">
      <c r="B2" s="31" t="s">
        <v>214</v>
      </c>
    </row>
    <row r="4" spans="2:17" x14ac:dyDescent="0.2">
      <c r="B4" t="s">
        <v>143</v>
      </c>
      <c r="C4" s="39" t="s">
        <v>175</v>
      </c>
    </row>
    <row r="5" spans="2:17" x14ac:dyDescent="0.2">
      <c r="B5" t="s">
        <v>144</v>
      </c>
      <c r="C5" s="40">
        <v>45534</v>
      </c>
    </row>
    <row r="6" spans="2:17" x14ac:dyDescent="0.2">
      <c r="B6" t="s">
        <v>145</v>
      </c>
      <c r="C6" s="40">
        <v>45657</v>
      </c>
    </row>
    <row r="8" spans="2:17" x14ac:dyDescent="0.2">
      <c r="B8" s="32" t="s">
        <v>146</v>
      </c>
      <c r="C8" s="32"/>
    </row>
    <row r="10" spans="2:17" x14ac:dyDescent="0.2">
      <c r="B10" t="s">
        <v>147</v>
      </c>
      <c r="C10" s="75">
        <f>WACC!F21</f>
        <v>8.4321909905676923E-2</v>
      </c>
    </row>
    <row r="11" spans="2:17" x14ac:dyDescent="0.2">
      <c r="B11" t="s">
        <v>148</v>
      </c>
      <c r="C11" s="75">
        <v>2.5000000000000001E-2</v>
      </c>
    </row>
    <row r="13" spans="2:17" x14ac:dyDescent="0.2">
      <c r="B13" s="32" t="s">
        <v>149</v>
      </c>
      <c r="C13" s="32"/>
    </row>
    <row r="15" spans="2:17" x14ac:dyDescent="0.2">
      <c r="B15" s="33" t="s">
        <v>150</v>
      </c>
      <c r="C15" s="38">
        <v>2015</v>
      </c>
      <c r="D15" s="38">
        <f t="shared" ref="D15:K15" si="0">C15+1</f>
        <v>2016</v>
      </c>
      <c r="E15" s="38">
        <f t="shared" si="0"/>
        <v>2017</v>
      </c>
      <c r="F15" s="38">
        <f t="shared" si="0"/>
        <v>2018</v>
      </c>
      <c r="G15" s="38">
        <f t="shared" si="0"/>
        <v>2019</v>
      </c>
      <c r="H15" s="38">
        <f t="shared" si="0"/>
        <v>2020</v>
      </c>
      <c r="I15" s="38">
        <f t="shared" si="0"/>
        <v>2021</v>
      </c>
      <c r="J15" s="38">
        <f t="shared" si="0"/>
        <v>2022</v>
      </c>
      <c r="K15" s="38">
        <f t="shared" si="0"/>
        <v>2023</v>
      </c>
      <c r="L15" s="51" t="s">
        <v>182</v>
      </c>
      <c r="M15" s="52" t="s">
        <v>183</v>
      </c>
      <c r="N15" s="51" t="s">
        <v>184</v>
      </c>
      <c r="O15" s="51" t="s">
        <v>185</v>
      </c>
      <c r="P15" s="51" t="s">
        <v>186</v>
      </c>
      <c r="Q15" s="51" t="s">
        <v>187</v>
      </c>
    </row>
    <row r="17" spans="2:20" x14ac:dyDescent="0.2">
      <c r="B17" t="s">
        <v>151</v>
      </c>
      <c r="C17" s="50">
        <f>'Income Statement'!C57</f>
        <v>63708</v>
      </c>
      <c r="D17" s="50">
        <f>'Income Statement'!D57</f>
        <v>79785</v>
      </c>
      <c r="E17" s="50">
        <f>'Income Statement'!E57</f>
        <v>106110</v>
      </c>
      <c r="F17" s="50">
        <f>'Income Statement'!F57</f>
        <v>141366</v>
      </c>
      <c r="G17" s="50">
        <f>'Income Statement'!G57</f>
        <v>170773</v>
      </c>
      <c r="H17" s="50">
        <f>'Income Statement'!H57</f>
        <v>236282</v>
      </c>
      <c r="I17" s="50">
        <f>'Income Statement'!I57</f>
        <v>279833</v>
      </c>
      <c r="J17" s="50">
        <f>'Income Statement'!J57</f>
        <v>315880</v>
      </c>
      <c r="K17" s="50">
        <f>'Income Statement'!K57</f>
        <v>352828</v>
      </c>
      <c r="L17" s="50">
        <f>'Income Statement'!L57</f>
        <v>386647</v>
      </c>
      <c r="M17" s="63">
        <f>'Income Statement'!M57</f>
        <v>423461</v>
      </c>
      <c r="N17" s="50">
        <f>'Income Statement'!N57</f>
        <v>461471</v>
      </c>
      <c r="O17" s="50">
        <f>'Income Statement'!O57</f>
        <v>497416</v>
      </c>
      <c r="P17" s="50">
        <f>'Income Statement'!P57</f>
        <v>546306</v>
      </c>
      <c r="Q17" s="50">
        <f>'Income Statement'!Q57</f>
        <v>590847</v>
      </c>
    </row>
    <row r="18" spans="2:20" x14ac:dyDescent="0.2">
      <c r="B18" s="34" t="s">
        <v>152</v>
      </c>
      <c r="D18" s="53">
        <f>D17/C17-1</f>
        <v>0.25235449237144469</v>
      </c>
      <c r="E18" s="53">
        <f t="shared" ref="E18:Q18" si="1">E17/D17-1</f>
        <v>0.32994923857868019</v>
      </c>
      <c r="F18" s="53">
        <f t="shared" si="1"/>
        <v>0.33225897653378578</v>
      </c>
      <c r="G18" s="53">
        <f t="shared" si="1"/>
        <v>0.20802031605902416</v>
      </c>
      <c r="H18" s="53">
        <f t="shared" si="1"/>
        <v>0.38360279435273736</v>
      </c>
      <c r="I18" s="53">
        <f t="shared" si="1"/>
        <v>0.1843178913332375</v>
      </c>
      <c r="J18" s="53">
        <f t="shared" si="1"/>
        <v>0.12881611532592663</v>
      </c>
      <c r="K18" s="53">
        <f t="shared" si="1"/>
        <v>0.11696846903887548</v>
      </c>
      <c r="L18" s="53">
        <f t="shared" si="1"/>
        <v>9.5851236296438991E-2</v>
      </c>
      <c r="M18" s="94">
        <f t="shared" si="1"/>
        <v>9.5213463443399204E-2</v>
      </c>
      <c r="N18" s="53">
        <f t="shared" si="1"/>
        <v>8.9760332120313313E-2</v>
      </c>
      <c r="O18" s="53">
        <f t="shared" si="1"/>
        <v>7.7892218579282302E-2</v>
      </c>
      <c r="P18" s="53">
        <f t="shared" si="1"/>
        <v>9.8287952136642209E-2</v>
      </c>
      <c r="Q18" s="53">
        <f t="shared" si="1"/>
        <v>8.1531229750359646E-2</v>
      </c>
      <c r="S18" s="54"/>
    </row>
    <row r="19" spans="2:20" x14ac:dyDescent="0.2">
      <c r="B19" s="34" t="s">
        <v>153</v>
      </c>
      <c r="C19" s="53">
        <f>C17/C29</f>
        <v>0.59536848401024245</v>
      </c>
      <c r="D19" s="53">
        <f t="shared" ref="D19:Q19" si="2">D17/D29</f>
        <v>0.58671049438549272</v>
      </c>
      <c r="E19" s="53">
        <f t="shared" si="2"/>
        <v>0.59657270079722935</v>
      </c>
      <c r="F19" s="53">
        <f t="shared" si="2"/>
        <v>0.6070154194952917</v>
      </c>
      <c r="G19" s="53">
        <f t="shared" si="2"/>
        <v>0.60876865272598946</v>
      </c>
      <c r="H19" s="53">
        <f t="shared" si="2"/>
        <v>0.61202805752414102</v>
      </c>
      <c r="I19" s="53">
        <f t="shared" si="2"/>
        <v>0.59561493501794294</v>
      </c>
      <c r="J19" s="53">
        <f t="shared" si="2"/>
        <v>0.61457285552245888</v>
      </c>
      <c r="K19" s="53">
        <f t="shared" si="2"/>
        <v>0.61384343711126765</v>
      </c>
      <c r="L19" s="53">
        <f t="shared" si="2"/>
        <v>0.60827410225188239</v>
      </c>
      <c r="M19" s="94">
        <f t="shared" si="2"/>
        <v>0.59999943324232152</v>
      </c>
      <c r="N19" s="53">
        <f t="shared" si="2"/>
        <v>0.58799072916706485</v>
      </c>
      <c r="O19" s="53">
        <f t="shared" si="2"/>
        <v>0.57396780852662099</v>
      </c>
      <c r="P19" s="53">
        <f t="shared" si="2"/>
        <v>0.57238020799500444</v>
      </c>
      <c r="Q19" s="53">
        <f t="shared" si="2"/>
        <v>0.55955871489777598</v>
      </c>
    </row>
    <row r="21" spans="2:20" x14ac:dyDescent="0.2">
      <c r="B21" t="s">
        <v>154</v>
      </c>
      <c r="C21" s="50">
        <f>'Income Statement'!C59</f>
        <v>35418</v>
      </c>
      <c r="D21" s="50">
        <f>'Income Statement'!D59</f>
        <v>43983</v>
      </c>
      <c r="E21" s="50">
        <f>'Income Statement'!E59</f>
        <v>54297</v>
      </c>
      <c r="F21" s="50">
        <f>'Income Statement'!F59</f>
        <v>65866</v>
      </c>
      <c r="G21" s="50">
        <f>'Income Statement'!G59</f>
        <v>74723</v>
      </c>
      <c r="H21" s="50">
        <f>'Income Statement'!H59</f>
        <v>104412</v>
      </c>
      <c r="I21" s="50">
        <f>'Income Statement'!I59</f>
        <v>127787</v>
      </c>
      <c r="J21" s="50">
        <f>'Income Statement'!J59</f>
        <v>118007</v>
      </c>
      <c r="K21" s="50">
        <f>'Income Statement'!K59</f>
        <v>131200</v>
      </c>
      <c r="L21" s="50">
        <f>'Income Statement'!L59</f>
        <v>141444</v>
      </c>
      <c r="M21" s="63">
        <f>'Income Statement'!M59</f>
        <v>154680</v>
      </c>
      <c r="N21" s="50">
        <f>'Income Statement'!N59</f>
        <v>171709</v>
      </c>
      <c r="O21" s="50">
        <f>'Income Statement'!O59</f>
        <v>192631</v>
      </c>
      <c r="P21" s="50">
        <f>'Income Statement'!P59</f>
        <v>199416</v>
      </c>
      <c r="Q21" s="50">
        <f>'Income Statement'!Q59</f>
        <v>215930</v>
      </c>
    </row>
    <row r="22" spans="2:20" x14ac:dyDescent="0.2">
      <c r="B22" s="34" t="s">
        <v>152</v>
      </c>
      <c r="D22" s="54">
        <f>D21/C21-1</f>
        <v>0.24182619007284423</v>
      </c>
      <c r="E22" s="54">
        <f t="shared" ref="E22:Q22" si="3">E21/D21-1</f>
        <v>0.23449969306322904</v>
      </c>
      <c r="F22" s="54">
        <f t="shared" si="3"/>
        <v>0.21306886199974207</v>
      </c>
      <c r="G22" s="54">
        <f t="shared" si="3"/>
        <v>0.13446998451401337</v>
      </c>
      <c r="H22" s="54">
        <f t="shared" si="3"/>
        <v>0.39732077138230526</v>
      </c>
      <c r="I22" s="54">
        <f t="shared" si="3"/>
        <v>0.22387273493468185</v>
      </c>
      <c r="J22" s="54">
        <f t="shared" si="3"/>
        <v>-7.6533606704907386E-2</v>
      </c>
      <c r="K22" s="54">
        <f t="shared" si="3"/>
        <v>0.11179845263416577</v>
      </c>
      <c r="L22" s="54">
        <f t="shared" si="3"/>
        <v>7.8079268292682968E-2</v>
      </c>
      <c r="M22" s="62">
        <f t="shared" si="3"/>
        <v>9.3577670314753503E-2</v>
      </c>
      <c r="N22" s="54">
        <f t="shared" si="3"/>
        <v>0.11009180243082484</v>
      </c>
      <c r="O22" s="54">
        <f t="shared" si="3"/>
        <v>0.12184568077386748</v>
      </c>
      <c r="P22" s="54">
        <f t="shared" si="3"/>
        <v>3.5222783456452911E-2</v>
      </c>
      <c r="Q22" s="54">
        <f t="shared" si="3"/>
        <v>8.2811810486620896E-2</v>
      </c>
    </row>
    <row r="23" spans="2:20" x14ac:dyDescent="0.2">
      <c r="B23" s="34" t="s">
        <v>153</v>
      </c>
      <c r="C23" s="54">
        <f>C21/C29</f>
        <v>0.33099078556342637</v>
      </c>
      <c r="D23" s="54">
        <f t="shared" ref="D23:Q23" si="4">D21/D29</f>
        <v>0.32343532837697719</v>
      </c>
      <c r="E23" s="54">
        <f t="shared" si="4"/>
        <v>0.30526913519166116</v>
      </c>
      <c r="F23" s="54">
        <f t="shared" si="4"/>
        <v>0.28282385878129734</v>
      </c>
      <c r="G23" s="54">
        <f t="shared" si="4"/>
        <v>0.26637126499882363</v>
      </c>
      <c r="H23" s="54">
        <f t="shared" si="4"/>
        <v>0.27045256744995649</v>
      </c>
      <c r="I23" s="54">
        <f t="shared" si="4"/>
        <v>0.27199024311334929</v>
      </c>
      <c r="J23" s="54">
        <f t="shared" si="4"/>
        <v>0.22959319666214642</v>
      </c>
      <c r="K23" s="54">
        <f t="shared" si="4"/>
        <v>0.22825926215889419</v>
      </c>
      <c r="L23" s="54">
        <f t="shared" si="4"/>
        <v>0.22252008193239634</v>
      </c>
      <c r="M23" s="62">
        <f t="shared" si="4"/>
        <v>0.21916519427744771</v>
      </c>
      <c r="N23" s="54">
        <f t="shared" si="4"/>
        <v>0.21878579610538373</v>
      </c>
      <c r="O23" s="54">
        <f t="shared" si="4"/>
        <v>0.22227671189565984</v>
      </c>
      <c r="P23" s="54">
        <f t="shared" si="4"/>
        <v>0.20893376890887488</v>
      </c>
      <c r="Q23" s="54">
        <f t="shared" si="4"/>
        <v>0.20449543334886489</v>
      </c>
    </row>
    <row r="25" spans="2:20" x14ac:dyDescent="0.2">
      <c r="B25" t="s">
        <v>155</v>
      </c>
      <c r="C25" s="50">
        <f>'Income Statement'!C60</f>
        <v>7880</v>
      </c>
      <c r="D25" s="50">
        <f>'Income Statement'!D60</f>
        <v>12219</v>
      </c>
      <c r="E25" s="50">
        <f>'Income Statement'!E60</f>
        <v>17459</v>
      </c>
      <c r="F25" s="50">
        <f>'Income Statement'!F60</f>
        <v>25655</v>
      </c>
      <c r="G25" s="50">
        <f>'Income Statement'!G60</f>
        <v>35026</v>
      </c>
      <c r="H25" s="50">
        <f>'Income Statement'!H60</f>
        <v>45370</v>
      </c>
      <c r="I25" s="50">
        <f>'Income Statement'!I60</f>
        <v>62202</v>
      </c>
      <c r="J25" s="50">
        <f>'Income Statement'!J60</f>
        <v>80096</v>
      </c>
      <c r="K25" s="50">
        <f>'Income Statement'!K60</f>
        <v>90757</v>
      </c>
      <c r="L25" s="50">
        <f>'Income Statement'!L60</f>
        <v>107555</v>
      </c>
      <c r="M25" s="63">
        <f>'Income Statement'!M60</f>
        <v>127628</v>
      </c>
      <c r="N25" s="50">
        <f>'Income Statement'!N60</f>
        <v>151647</v>
      </c>
      <c r="O25" s="50">
        <f>'Income Statement'!O60</f>
        <v>176580</v>
      </c>
      <c r="P25" s="50">
        <f>'Income Statement'!P60</f>
        <v>208724</v>
      </c>
      <c r="Q25" s="50">
        <f>'Income Statement'!Q60</f>
        <v>249139</v>
      </c>
    </row>
    <row r="26" spans="2:20" x14ac:dyDescent="0.2">
      <c r="B26" s="34" t="s">
        <v>152</v>
      </c>
      <c r="D26" s="54">
        <f>D25/C25-1</f>
        <v>0.55063451776649752</v>
      </c>
      <c r="E26" s="54">
        <f t="shared" ref="E26:Q26" si="5">E25/D25-1</f>
        <v>0.42884033063262139</v>
      </c>
      <c r="F26" s="54">
        <f t="shared" si="5"/>
        <v>0.46944269431238905</v>
      </c>
      <c r="G26" s="54">
        <f t="shared" si="5"/>
        <v>0.36526992788930035</v>
      </c>
      <c r="H26" s="54">
        <f t="shared" si="5"/>
        <v>0.29532347399074976</v>
      </c>
      <c r="I26" s="54">
        <f t="shared" si="5"/>
        <v>0.37099404893101173</v>
      </c>
      <c r="J26" s="54">
        <f t="shared" si="5"/>
        <v>0.28767563743931057</v>
      </c>
      <c r="K26" s="54">
        <f t="shared" si="5"/>
        <v>0.13310277666799841</v>
      </c>
      <c r="L26" s="54">
        <f t="shared" si="5"/>
        <v>0.18508765164119567</v>
      </c>
      <c r="M26" s="62">
        <f t="shared" si="5"/>
        <v>0.18663009622983595</v>
      </c>
      <c r="N26" s="54">
        <f t="shared" si="5"/>
        <v>0.1881953803240668</v>
      </c>
      <c r="O26" s="54">
        <f t="shared" si="5"/>
        <v>0.16441472630516918</v>
      </c>
      <c r="P26" s="54">
        <f t="shared" si="5"/>
        <v>0.1820364707214861</v>
      </c>
      <c r="Q26" s="54">
        <f t="shared" si="5"/>
        <v>0.19362890707345581</v>
      </c>
    </row>
    <row r="27" spans="2:20" x14ac:dyDescent="0.2">
      <c r="B27" s="34" t="s">
        <v>153</v>
      </c>
      <c r="C27" s="54">
        <f>C25/C29</f>
        <v>7.3640730426331236E-2</v>
      </c>
      <c r="D27" s="54">
        <f t="shared" ref="D27:Q27" si="6">D25/D29</f>
        <v>8.9854177237530058E-2</v>
      </c>
      <c r="E27" s="54">
        <f t="shared" si="6"/>
        <v>9.8158164011109481E-2</v>
      </c>
      <c r="F27" s="54">
        <f t="shared" si="6"/>
        <v>0.11016072172341093</v>
      </c>
      <c r="G27" s="54">
        <f t="shared" si="6"/>
        <v>0.12486008227518697</v>
      </c>
      <c r="H27" s="54">
        <f t="shared" si="6"/>
        <v>0.11751937502590244</v>
      </c>
      <c r="I27" s="54">
        <f t="shared" si="6"/>
        <v>0.13239482186870771</v>
      </c>
      <c r="J27" s="54">
        <f t="shared" si="6"/>
        <v>0.15583394781539467</v>
      </c>
      <c r="K27" s="54">
        <f t="shared" si="6"/>
        <v>0.15789730072983812</v>
      </c>
      <c r="L27" s="54">
        <f t="shared" si="6"/>
        <v>0.16920581581572133</v>
      </c>
      <c r="M27" s="62">
        <f t="shared" si="6"/>
        <v>0.18083537248023079</v>
      </c>
      <c r="N27" s="54">
        <f t="shared" si="6"/>
        <v>0.19322347472755141</v>
      </c>
      <c r="O27" s="54">
        <f t="shared" si="6"/>
        <v>0.20375547957771914</v>
      </c>
      <c r="P27" s="54">
        <f t="shared" si="6"/>
        <v>0.21868602309612067</v>
      </c>
      <c r="Q27" s="54">
        <f t="shared" si="6"/>
        <v>0.23594585175335916</v>
      </c>
      <c r="T27" s="54"/>
    </row>
    <row r="29" spans="2:20" x14ac:dyDescent="0.2">
      <c r="B29" s="55" t="s">
        <v>156</v>
      </c>
      <c r="C29" s="57">
        <f>SUM(C17+C21+C25)</f>
        <v>107006</v>
      </c>
      <c r="D29" s="57">
        <f t="shared" ref="D29:Q29" si="7">SUM(D17+D21+D25)</f>
        <v>135987</v>
      </c>
      <c r="E29" s="57">
        <f t="shared" si="7"/>
        <v>177866</v>
      </c>
      <c r="F29" s="57">
        <f t="shared" si="7"/>
        <v>232887</v>
      </c>
      <c r="G29" s="57">
        <f t="shared" si="7"/>
        <v>280522</v>
      </c>
      <c r="H29" s="57">
        <f t="shared" si="7"/>
        <v>386064</v>
      </c>
      <c r="I29" s="57">
        <f t="shared" si="7"/>
        <v>469822</v>
      </c>
      <c r="J29" s="57">
        <f t="shared" si="7"/>
        <v>513983</v>
      </c>
      <c r="K29" s="57">
        <f t="shared" si="7"/>
        <v>574785</v>
      </c>
      <c r="L29" s="57">
        <f t="shared" si="7"/>
        <v>635646</v>
      </c>
      <c r="M29" s="95">
        <f t="shared" si="7"/>
        <v>705769</v>
      </c>
      <c r="N29" s="57">
        <f t="shared" si="7"/>
        <v>784827</v>
      </c>
      <c r="O29" s="57">
        <f t="shared" si="7"/>
        <v>866627</v>
      </c>
      <c r="P29" s="57">
        <f t="shared" si="7"/>
        <v>954446</v>
      </c>
      <c r="Q29" s="58">
        <f t="shared" si="7"/>
        <v>1055916</v>
      </c>
    </row>
    <row r="30" spans="2:20" x14ac:dyDescent="0.2">
      <c r="B30" s="56" t="s">
        <v>152</v>
      </c>
      <c r="C30" s="61"/>
      <c r="D30" s="59">
        <f>D29/C29-1</f>
        <v>0.27083528026465808</v>
      </c>
      <c r="E30" s="59">
        <f t="shared" ref="E30:Q30" si="8">E29/D29-1</f>
        <v>0.30796326119408479</v>
      </c>
      <c r="F30" s="59">
        <f t="shared" si="8"/>
        <v>0.3093396152159491</v>
      </c>
      <c r="G30" s="59">
        <f t="shared" si="8"/>
        <v>0.20454125820676983</v>
      </c>
      <c r="H30" s="59">
        <f t="shared" si="8"/>
        <v>0.37623430604373276</v>
      </c>
      <c r="I30" s="59">
        <f t="shared" si="8"/>
        <v>0.21695366571345676</v>
      </c>
      <c r="J30" s="59">
        <f t="shared" si="8"/>
        <v>9.399517263985091E-2</v>
      </c>
      <c r="K30" s="59">
        <f t="shared" si="8"/>
        <v>0.1182957412988368</v>
      </c>
      <c r="L30" s="59">
        <f t="shared" si="8"/>
        <v>0.10588480910253395</v>
      </c>
      <c r="M30" s="96">
        <f t="shared" si="8"/>
        <v>0.11031769255214385</v>
      </c>
      <c r="N30" s="59">
        <f t="shared" si="8"/>
        <v>0.11201682136789803</v>
      </c>
      <c r="O30" s="59">
        <f t="shared" si="8"/>
        <v>0.10422679138204982</v>
      </c>
      <c r="P30" s="59">
        <f t="shared" si="8"/>
        <v>0.10133425337544288</v>
      </c>
      <c r="Q30" s="60">
        <f t="shared" si="8"/>
        <v>0.10631298156207891</v>
      </c>
    </row>
    <row r="32" spans="2:20" x14ac:dyDescent="0.2">
      <c r="B32" s="33" t="s">
        <v>60</v>
      </c>
      <c r="C32" s="38">
        <v>2015</v>
      </c>
      <c r="D32" s="38">
        <f t="shared" ref="D32" si="9">C32+1</f>
        <v>2016</v>
      </c>
      <c r="E32" s="38">
        <f t="shared" ref="E32" si="10">D32+1</f>
        <v>2017</v>
      </c>
      <c r="F32" s="38">
        <f t="shared" ref="F32" si="11">E32+1</f>
        <v>2018</v>
      </c>
      <c r="G32" s="38">
        <f t="shared" ref="G32" si="12">F32+1</f>
        <v>2019</v>
      </c>
      <c r="H32" s="38">
        <f t="shared" ref="H32" si="13">G32+1</f>
        <v>2020</v>
      </c>
      <c r="I32" s="38">
        <f t="shared" ref="I32" si="14">H32+1</f>
        <v>2021</v>
      </c>
      <c r="J32" s="38">
        <f t="shared" ref="J32" si="15">I32+1</f>
        <v>2022</v>
      </c>
      <c r="K32" s="38">
        <f t="shared" ref="K32" si="16">J32+1</f>
        <v>2023</v>
      </c>
      <c r="L32" s="51" t="s">
        <v>182</v>
      </c>
      <c r="M32" s="52" t="s">
        <v>183</v>
      </c>
      <c r="N32" s="51" t="s">
        <v>184</v>
      </c>
      <c r="O32" s="51" t="s">
        <v>185</v>
      </c>
      <c r="P32" s="51" t="s">
        <v>186</v>
      </c>
      <c r="Q32" s="51" t="s">
        <v>187</v>
      </c>
    </row>
    <row r="34" spans="2:20" x14ac:dyDescent="0.2">
      <c r="B34" t="s">
        <v>151</v>
      </c>
      <c r="E34" s="50">
        <f>'Income Statement'!E70</f>
        <v>7463</v>
      </c>
      <c r="F34" s="50">
        <f>'Income Statement'!F70</f>
        <v>13492</v>
      </c>
      <c r="G34" s="50">
        <f>'Income Statement'!G70</f>
        <v>16504</v>
      </c>
      <c r="H34" s="50">
        <f>'Income Statement'!H70</f>
        <v>17413</v>
      </c>
      <c r="I34" s="50">
        <f>'Income Statement'!I70</f>
        <v>22762</v>
      </c>
      <c r="J34" s="50">
        <f>'Income Statement'!J70</f>
        <v>17894</v>
      </c>
      <c r="K34" s="50">
        <f>'Income Statement'!K70</f>
        <v>41189</v>
      </c>
      <c r="L34" s="50">
        <f>'Income Statement'!L70</f>
        <v>47377</v>
      </c>
      <c r="M34" s="63">
        <f>'Income Statement'!M70</f>
        <v>53874</v>
      </c>
      <c r="N34" s="50" t="str">
        <f>'Income Statement'!N70</f>
        <v>-</v>
      </c>
      <c r="O34" s="50" t="str">
        <f>'Income Statement'!O70</f>
        <v>-</v>
      </c>
      <c r="P34" s="50" t="str">
        <f>'Income Statement'!P70</f>
        <v>-</v>
      </c>
      <c r="Q34" s="50" t="str">
        <f>'Income Statement'!Q70</f>
        <v>-</v>
      </c>
    </row>
    <row r="35" spans="2:20" x14ac:dyDescent="0.2">
      <c r="B35" s="34" t="s">
        <v>157</v>
      </c>
    </row>
    <row r="36" spans="2:20" x14ac:dyDescent="0.2">
      <c r="B36" s="34" t="s">
        <v>158</v>
      </c>
    </row>
    <row r="38" spans="2:20" x14ac:dyDescent="0.2">
      <c r="B38" t="s">
        <v>154</v>
      </c>
      <c r="E38" s="50">
        <f>'Income Statement'!E71</f>
        <v>1945</v>
      </c>
      <c r="F38" s="50"/>
      <c r="G38" s="50">
        <f>'Income Statement'!G71</f>
        <v>5921</v>
      </c>
      <c r="H38" s="50">
        <f>'Income Statement'!H71</f>
        <v>7269</v>
      </c>
      <c r="I38" s="50">
        <f>'Income Statement'!I71</f>
        <v>14485</v>
      </c>
      <c r="J38" s="50">
        <f>'Income Statement'!J71</f>
        <v>14198</v>
      </c>
      <c r="K38" s="50">
        <f>'Income Statement'!K71</f>
        <v>16832</v>
      </c>
      <c r="L38" s="50">
        <f>'Income Statement'!L71</f>
        <v>25226</v>
      </c>
      <c r="M38" s="63">
        <f>'Income Statement'!M71</f>
        <v>28198</v>
      </c>
      <c r="N38" s="50" t="str">
        <f>'Income Statement'!N71</f>
        <v>-</v>
      </c>
      <c r="O38" s="50" t="str">
        <f>'Income Statement'!O71</f>
        <v>-</v>
      </c>
      <c r="P38" s="50" t="str">
        <f>'Income Statement'!P71</f>
        <v>-</v>
      </c>
      <c r="Q38" s="50" t="str">
        <f>'Income Statement'!Q71</f>
        <v>-</v>
      </c>
    </row>
    <row r="39" spans="2:20" x14ac:dyDescent="0.2">
      <c r="B39" s="34" t="s">
        <v>157</v>
      </c>
    </row>
    <row r="40" spans="2:20" x14ac:dyDescent="0.2">
      <c r="B40" s="34" t="s">
        <v>158</v>
      </c>
    </row>
    <row r="42" spans="2:20" x14ac:dyDescent="0.2">
      <c r="B42" t="s">
        <v>155</v>
      </c>
      <c r="E42" s="50">
        <f>'Income Statement'!E72</f>
        <v>9128</v>
      </c>
      <c r="F42" s="50">
        <f>'Income Statement'!F72</f>
        <v>14189</v>
      </c>
      <c r="G42" s="50">
        <f>'Income Statement'!G72</f>
        <v>18239.599999999999</v>
      </c>
      <c r="H42" s="50">
        <f>'Income Statement'!H72</f>
        <v>22953.5</v>
      </c>
      <c r="I42" s="50">
        <f>'Income Statement'!I72</f>
        <v>31239</v>
      </c>
      <c r="J42" s="50">
        <f>'Income Statement'!J72</f>
        <v>37506</v>
      </c>
      <c r="K42" s="50">
        <f>'Income Statement'!K72</f>
        <v>46916</v>
      </c>
      <c r="L42" s="50">
        <f>'Income Statement'!L72</f>
        <v>65410.5</v>
      </c>
      <c r="M42" s="63">
        <f>'Income Statement'!M72</f>
        <v>76791.5</v>
      </c>
      <c r="N42" s="50">
        <f>'Income Statement'!N72</f>
        <v>99377</v>
      </c>
      <c r="O42" s="50">
        <f>'Income Statement'!O72</f>
        <v>118602</v>
      </c>
      <c r="P42" s="50">
        <f>'Income Statement'!P72</f>
        <v>140497</v>
      </c>
      <c r="Q42" s="50">
        <f>'Income Statement'!Q72</f>
        <v>165221</v>
      </c>
    </row>
    <row r="43" spans="2:20" x14ac:dyDescent="0.2">
      <c r="B43" s="34" t="s">
        <v>157</v>
      </c>
    </row>
    <row r="44" spans="2:20" x14ac:dyDescent="0.2">
      <c r="B44" s="34" t="s">
        <v>158</v>
      </c>
    </row>
    <row r="46" spans="2:20" x14ac:dyDescent="0.2">
      <c r="B46" s="55" t="s">
        <v>156</v>
      </c>
      <c r="C46" s="57">
        <f>'Income Statement'!C69</f>
        <v>10805</v>
      </c>
      <c r="D46" s="57">
        <f>'Income Statement'!D69</f>
        <v>15440</v>
      </c>
      <c r="E46" s="57">
        <f>SUM(E42+E38+E34)</f>
        <v>18536</v>
      </c>
      <c r="F46" s="57">
        <f>SUM(F42+F38+F34)</f>
        <v>27681</v>
      </c>
      <c r="G46" s="57">
        <f>SUM(G42+G38+G34)</f>
        <v>40664.6</v>
      </c>
      <c r="H46" s="57">
        <f t="shared" ref="H46:M46" si="17">SUM(H42+H38+H34)</f>
        <v>47635.5</v>
      </c>
      <c r="I46" s="57">
        <f t="shared" si="17"/>
        <v>68486</v>
      </c>
      <c r="J46" s="57">
        <f t="shared" si="17"/>
        <v>69598</v>
      </c>
      <c r="K46" s="57">
        <f t="shared" si="17"/>
        <v>104937</v>
      </c>
      <c r="L46" s="57">
        <f t="shared" si="17"/>
        <v>138013.5</v>
      </c>
      <c r="M46" s="95">
        <f t="shared" si="17"/>
        <v>158863.5</v>
      </c>
      <c r="N46" s="57">
        <f>'Income Statement'!N69</f>
        <v>184965</v>
      </c>
      <c r="O46" s="57">
        <f>'Income Statement'!O69</f>
        <v>217623</v>
      </c>
      <c r="P46" s="57">
        <f>'Income Statement'!P69</f>
        <v>248736</v>
      </c>
      <c r="Q46" s="58">
        <f>'Income Statement'!Q69</f>
        <v>289356</v>
      </c>
    </row>
    <row r="47" spans="2:20" x14ac:dyDescent="0.2">
      <c r="B47" s="56" t="s">
        <v>157</v>
      </c>
      <c r="C47" s="59">
        <f>C46/C29</f>
        <v>0.1009756462254453</v>
      </c>
      <c r="D47" s="59">
        <f t="shared" ref="D47:Q47" si="18">D46/D29</f>
        <v>0.11354026487826042</v>
      </c>
      <c r="E47" s="59">
        <f t="shared" si="18"/>
        <v>0.10421328415773673</v>
      </c>
      <c r="F47" s="59">
        <f t="shared" si="18"/>
        <v>0.11886021976323281</v>
      </c>
      <c r="G47" s="59">
        <f t="shared" si="18"/>
        <v>0.14496046655877257</v>
      </c>
      <c r="H47" s="59">
        <f t="shared" si="18"/>
        <v>0.12338757304488375</v>
      </c>
      <c r="I47" s="59">
        <f t="shared" si="18"/>
        <v>0.14577010016559463</v>
      </c>
      <c r="J47" s="59">
        <f t="shared" si="18"/>
        <v>0.13540914777336993</v>
      </c>
      <c r="K47" s="59">
        <f t="shared" si="18"/>
        <v>0.18256739476499909</v>
      </c>
      <c r="L47" s="59">
        <f t="shared" si="18"/>
        <v>0.21712321008863425</v>
      </c>
      <c r="M47" s="96">
        <f t="shared" si="18"/>
        <v>0.22509277114750009</v>
      </c>
      <c r="N47" s="59">
        <f t="shared" si="18"/>
        <v>0.23567614264035258</v>
      </c>
      <c r="O47" s="59">
        <f t="shared" si="18"/>
        <v>0.25111495487678087</v>
      </c>
      <c r="P47" s="59">
        <f t="shared" si="18"/>
        <v>0.26060772427146217</v>
      </c>
      <c r="Q47" s="60">
        <f t="shared" si="18"/>
        <v>0.2740331617287739</v>
      </c>
    </row>
    <row r="48" spans="2:20" x14ac:dyDescent="0.2">
      <c r="T48" t="s">
        <v>188</v>
      </c>
    </row>
    <row r="49" spans="2:17" x14ac:dyDescent="0.2">
      <c r="B49" s="33" t="s">
        <v>159</v>
      </c>
      <c r="C49" s="38">
        <v>2015</v>
      </c>
      <c r="D49" s="38">
        <f t="shared" ref="D49" si="19">C49+1</f>
        <v>2016</v>
      </c>
      <c r="E49" s="38">
        <f t="shared" ref="E49" si="20">D49+1</f>
        <v>2017</v>
      </c>
      <c r="F49" s="38">
        <f t="shared" ref="F49" si="21">E49+1</f>
        <v>2018</v>
      </c>
      <c r="G49" s="38">
        <f t="shared" ref="G49" si="22">F49+1</f>
        <v>2019</v>
      </c>
      <c r="H49" s="38">
        <f t="shared" ref="H49" si="23">G49+1</f>
        <v>2020</v>
      </c>
      <c r="I49" s="38">
        <f t="shared" ref="I49" si="24">H49+1</f>
        <v>2021</v>
      </c>
      <c r="J49" s="38">
        <f t="shared" ref="J49" si="25">I49+1</f>
        <v>2022</v>
      </c>
      <c r="K49" s="38">
        <f t="shared" ref="K49" si="26">J49+1</f>
        <v>2023</v>
      </c>
      <c r="L49" s="51" t="s">
        <v>182</v>
      </c>
      <c r="M49" s="52" t="s">
        <v>183</v>
      </c>
      <c r="N49" s="51" t="s">
        <v>184</v>
      </c>
      <c r="O49" s="51" t="s">
        <v>185</v>
      </c>
      <c r="P49" s="51" t="s">
        <v>186</v>
      </c>
      <c r="Q49" s="51" t="s">
        <v>187</v>
      </c>
    </row>
    <row r="51" spans="2:17" x14ac:dyDescent="0.2">
      <c r="B51" t="s">
        <v>160</v>
      </c>
      <c r="C51" s="50">
        <f>'Income Statement'!C28</f>
        <v>950</v>
      </c>
      <c r="D51" s="50">
        <f>'Income Statement'!D28</f>
        <v>1425</v>
      </c>
      <c r="E51" s="50">
        <f>'Income Statement'!E28</f>
        <v>769</v>
      </c>
      <c r="F51" s="50">
        <f>'Income Statement'!F28</f>
        <v>1197</v>
      </c>
      <c r="G51" s="50">
        <f>'Income Statement'!G28</f>
        <v>2374</v>
      </c>
      <c r="H51" s="50">
        <f>'Income Statement'!H28</f>
        <v>2863</v>
      </c>
      <c r="I51" s="50">
        <f>'Income Statement'!I28</f>
        <v>4791</v>
      </c>
      <c r="J51" s="50">
        <f>'Income Statement'!J28</f>
        <v>-3217</v>
      </c>
      <c r="K51" s="50">
        <f>'Income Statement'!K28</f>
        <v>7120</v>
      </c>
      <c r="L51" s="50">
        <f>'Income Statement'!L28</f>
        <v>9602</v>
      </c>
    </row>
    <row r="52" spans="2:17" x14ac:dyDescent="0.2">
      <c r="B52" s="34" t="s">
        <v>161</v>
      </c>
      <c r="C52" s="54">
        <f>C51/'Income Statement'!C27</f>
        <v>0.60586734693877553</v>
      </c>
      <c r="D52" s="54">
        <f>D51/'Income Statement'!D27</f>
        <v>0.36613566289825283</v>
      </c>
      <c r="E52" s="54">
        <f>E51/'Income Statement'!E27</f>
        <v>0.20204939569101418</v>
      </c>
      <c r="F52" s="54">
        <f>F51/'Income Statement'!F27</f>
        <v>0.10629606606873279</v>
      </c>
      <c r="G52" s="54">
        <f>G51/'Income Statement'!G27</f>
        <v>0.16986262163709215</v>
      </c>
      <c r="H52" s="54">
        <f>H51/'Income Statement'!H27</f>
        <v>0.1184134337000579</v>
      </c>
      <c r="I52" s="54">
        <f>I51/'Income Statement'!I27</f>
        <v>0.12557993237398757</v>
      </c>
      <c r="J52" s="54">
        <f>J51/'Income Statement'!J27</f>
        <v>0.54194743935309975</v>
      </c>
      <c r="K52" s="54">
        <f>K51/'Income Statement'!K27</f>
        <v>0.18957850733551668</v>
      </c>
      <c r="L52" s="54">
        <f>L51/'Income Statement'!L27</f>
        <v>0.17747629521468311</v>
      </c>
      <c r="M52" s="62">
        <f>AVERAGE(H52:L52)</f>
        <v>0.23059912159546903</v>
      </c>
      <c r="N52" s="54">
        <f>M52</f>
        <v>0.23059912159546903</v>
      </c>
      <c r="O52" s="54">
        <f>N52</f>
        <v>0.23059912159546903</v>
      </c>
      <c r="P52" s="54">
        <f>O52</f>
        <v>0.23059912159546903</v>
      </c>
      <c r="Q52" s="54">
        <f>P52</f>
        <v>0.23059912159546903</v>
      </c>
    </row>
    <row r="54" spans="2:17" x14ac:dyDescent="0.2">
      <c r="B54" s="33" t="s">
        <v>162</v>
      </c>
      <c r="C54" s="38">
        <v>2015</v>
      </c>
      <c r="D54" s="38">
        <f t="shared" ref="D54" si="27">C54+1</f>
        <v>2016</v>
      </c>
      <c r="E54" s="38">
        <f t="shared" ref="E54" si="28">D54+1</f>
        <v>2017</v>
      </c>
      <c r="F54" s="38">
        <f t="shared" ref="F54" si="29">E54+1</f>
        <v>2018</v>
      </c>
      <c r="G54" s="38">
        <f t="shared" ref="G54" si="30">F54+1</f>
        <v>2019</v>
      </c>
      <c r="H54" s="38">
        <f t="shared" ref="H54" si="31">G54+1</f>
        <v>2020</v>
      </c>
      <c r="I54" s="38">
        <f t="shared" ref="I54" si="32">H54+1</f>
        <v>2021</v>
      </c>
      <c r="J54" s="38">
        <f t="shared" ref="J54" si="33">I54+1</f>
        <v>2022</v>
      </c>
      <c r="K54" s="38">
        <f t="shared" ref="K54" si="34">J54+1</f>
        <v>2023</v>
      </c>
      <c r="L54" s="51" t="s">
        <v>182</v>
      </c>
      <c r="M54" s="52" t="s">
        <v>183</v>
      </c>
      <c r="N54" s="51" t="s">
        <v>184</v>
      </c>
      <c r="O54" s="51" t="s">
        <v>185</v>
      </c>
      <c r="P54" s="51" t="s">
        <v>186</v>
      </c>
      <c r="Q54" s="51" t="s">
        <v>187</v>
      </c>
    </row>
    <row r="56" spans="2:17" x14ac:dyDescent="0.2">
      <c r="B56" t="s">
        <v>163</v>
      </c>
      <c r="C56" s="50">
        <f>'Cashflow Statement'!C10</f>
        <v>5646</v>
      </c>
      <c r="D56" s="50">
        <f>'Cashflow Statement'!D10</f>
        <v>7482</v>
      </c>
      <c r="E56" s="50">
        <f>'Cashflow Statement'!E10</f>
        <v>10933</v>
      </c>
      <c r="F56" s="50">
        <f>'Cashflow Statement'!F10</f>
        <v>15341</v>
      </c>
      <c r="G56" s="50">
        <f>'Cashflow Statement'!G10</f>
        <v>21789</v>
      </c>
      <c r="H56" s="50">
        <f>'Cashflow Statement'!H10</f>
        <v>25251</v>
      </c>
      <c r="I56" s="50">
        <f>'Cashflow Statement'!I10</f>
        <v>34296</v>
      </c>
      <c r="J56" s="50">
        <f>'Cashflow Statement'!J10</f>
        <v>41921</v>
      </c>
      <c r="K56" s="50">
        <f>'Cashflow Statement'!K10</f>
        <v>48663</v>
      </c>
      <c r="L56" s="50">
        <f>'Cashflow Statement'!L10</f>
        <v>49673</v>
      </c>
      <c r="M56" s="63">
        <f>M57*M29</f>
        <v>49091.246235084785</v>
      </c>
      <c r="N56" s="50">
        <f t="shared" ref="N56:Q56" si="35">N57*N29</f>
        <v>54590.29159532777</v>
      </c>
      <c r="O56" s="50">
        <f t="shared" si="35"/>
        <v>60280.062528919269</v>
      </c>
      <c r="P56" s="50">
        <f t="shared" si="35"/>
        <v>66388.497658712324</v>
      </c>
      <c r="Q56" s="50">
        <f t="shared" si="35"/>
        <v>73446.456786237119</v>
      </c>
    </row>
    <row r="57" spans="2:17" x14ac:dyDescent="0.2">
      <c r="B57" s="34" t="s">
        <v>157</v>
      </c>
      <c r="C57" s="54">
        <f>C56/C29</f>
        <v>5.2763396445059153E-2</v>
      </c>
      <c r="D57" s="54">
        <f t="shared" ref="D57:L57" si="36">D56/D29</f>
        <v>5.5019965143726972E-2</v>
      </c>
      <c r="E57" s="54">
        <f t="shared" si="36"/>
        <v>6.1467621692734981E-2</v>
      </c>
      <c r="F57" s="54">
        <f t="shared" si="36"/>
        <v>6.5873148780309768E-2</v>
      </c>
      <c r="G57" s="54">
        <f t="shared" si="36"/>
        <v>7.7673052380918428E-2</v>
      </c>
      <c r="H57" s="54">
        <f t="shared" si="36"/>
        <v>6.5406253885366153E-2</v>
      </c>
      <c r="I57" s="54">
        <f t="shared" si="36"/>
        <v>7.2997858763531723E-2</v>
      </c>
      <c r="J57" s="54">
        <f t="shared" si="36"/>
        <v>8.1561063303650122E-2</v>
      </c>
      <c r="K57" s="54">
        <f t="shared" si="36"/>
        <v>8.4662960933218512E-2</v>
      </c>
      <c r="L57" s="54">
        <f t="shared" si="36"/>
        <v>7.8145697447950593E-2</v>
      </c>
      <c r="M57" s="62">
        <f>AVERAGE(C57:L57)</f>
        <v>6.9557101877646632E-2</v>
      </c>
      <c r="N57" s="54">
        <f>M57</f>
        <v>6.9557101877646632E-2</v>
      </c>
      <c r="O57" s="54">
        <f>N57</f>
        <v>6.9557101877646632E-2</v>
      </c>
      <c r="P57" s="54">
        <f>O57</f>
        <v>6.9557101877646632E-2</v>
      </c>
      <c r="Q57" s="54">
        <f>P57</f>
        <v>6.9557101877646632E-2</v>
      </c>
    </row>
    <row r="58" spans="2:17" x14ac:dyDescent="0.2">
      <c r="B58" s="34" t="s">
        <v>164</v>
      </c>
      <c r="C58" s="54">
        <f>C56/C60</f>
        <v>1.2306015693112466</v>
      </c>
      <c r="D58" s="54">
        <f t="shared" ref="D58:L58" si="37">D56/D60</f>
        <v>1.1107482185273159</v>
      </c>
      <c r="E58" s="54">
        <f t="shared" si="37"/>
        <v>1.0869954265261483</v>
      </c>
      <c r="F58" s="54">
        <f t="shared" si="37"/>
        <v>1.3549726196785021</v>
      </c>
      <c r="G58" s="54">
        <f t="shared" si="37"/>
        <v>1.7170212765957447</v>
      </c>
      <c r="H58" s="54">
        <f t="shared" si="37"/>
        <v>0.72051018661188149</v>
      </c>
      <c r="I58" s="54">
        <f t="shared" si="37"/>
        <v>0.61910607264062389</v>
      </c>
      <c r="J58" s="54">
        <f t="shared" si="37"/>
        <v>0.7187976886541726</v>
      </c>
      <c r="K58" s="54">
        <f t="shared" si="37"/>
        <v>0.92288873295529972</v>
      </c>
      <c r="L58" s="54">
        <f t="shared" si="37"/>
        <v>0.75294634804423122</v>
      </c>
    </row>
    <row r="60" spans="2:17" x14ac:dyDescent="0.2">
      <c r="B60" t="s">
        <v>165</v>
      </c>
      <c r="C60" s="50">
        <f>'Cashflow Statement'!C58</f>
        <v>4588</v>
      </c>
      <c r="D60" s="50">
        <f>'Cashflow Statement'!D58</f>
        <v>6736</v>
      </c>
      <c r="E60" s="50">
        <f>'Cashflow Statement'!E58</f>
        <v>10058</v>
      </c>
      <c r="F60" s="50">
        <f>'Cashflow Statement'!F58</f>
        <v>11322</v>
      </c>
      <c r="G60" s="50">
        <f>'Cashflow Statement'!G58</f>
        <v>12690</v>
      </c>
      <c r="H60" s="50">
        <f>'Cashflow Statement'!H58</f>
        <v>35046</v>
      </c>
      <c r="I60" s="50">
        <f>'Cashflow Statement'!I58</f>
        <v>55396</v>
      </c>
      <c r="J60" s="50">
        <f>'Cashflow Statement'!J58</f>
        <v>58321</v>
      </c>
      <c r="K60" s="50">
        <f>'Cashflow Statement'!K58</f>
        <v>52729</v>
      </c>
      <c r="L60" s="50">
        <f>'Cashflow Statement'!L58</f>
        <v>65971.5</v>
      </c>
      <c r="M60" s="63">
        <f>M61*M29</f>
        <v>53673.008734063187</v>
      </c>
      <c r="N60" s="50">
        <f t="shared" ref="N60:Q60" si="38">N61*N29</f>
        <v>59685.288565704373</v>
      </c>
      <c r="O60" s="50">
        <f t="shared" si="38"/>
        <v>65906.094685619479</v>
      </c>
      <c r="P60" s="50">
        <f t="shared" si="38"/>
        <v>72584.639583477983</v>
      </c>
      <c r="Q60" s="50">
        <f t="shared" si="38"/>
        <v>80301.329033206421</v>
      </c>
    </row>
    <row r="61" spans="2:17" x14ac:dyDescent="0.2">
      <c r="B61" s="34" t="s">
        <v>157</v>
      </c>
      <c r="C61" s="54">
        <f>C60/C29</f>
        <v>4.2876100405584733E-2</v>
      </c>
      <c r="D61" s="54">
        <f t="shared" ref="D61:L61" si="39">D60/D29</f>
        <v>4.9534146646370611E-2</v>
      </c>
      <c r="E61" s="54">
        <f t="shared" si="39"/>
        <v>5.6548187961723992E-2</v>
      </c>
      <c r="F61" s="54">
        <f t="shared" si="39"/>
        <v>4.8615852323229722E-2</v>
      </c>
      <c r="G61" s="54">
        <f t="shared" si="39"/>
        <v>4.523709370388062E-2</v>
      </c>
      <c r="H61" s="54">
        <f t="shared" si="39"/>
        <v>9.0777694889966426E-2</v>
      </c>
      <c r="I61" s="54">
        <f t="shared" si="39"/>
        <v>0.11790848448987064</v>
      </c>
      <c r="J61" s="54">
        <f t="shared" si="39"/>
        <v>0.11346873340168838</v>
      </c>
      <c r="K61" s="54">
        <f t="shared" si="39"/>
        <v>9.1736910322990334E-2</v>
      </c>
      <c r="L61" s="54">
        <f t="shared" si="39"/>
        <v>0.10378654156558839</v>
      </c>
      <c r="M61" s="62">
        <f>AVERAGE(C61:L61)</f>
        <v>7.6048974571089389E-2</v>
      </c>
      <c r="N61" s="54">
        <f>M61</f>
        <v>7.6048974571089389E-2</v>
      </c>
      <c r="O61" s="54">
        <f>N61</f>
        <v>7.6048974571089389E-2</v>
      </c>
      <c r="P61" s="54">
        <f>O61</f>
        <v>7.6048974571089389E-2</v>
      </c>
      <c r="Q61" s="54">
        <f>P61</f>
        <v>7.6048974571089389E-2</v>
      </c>
    </row>
    <row r="63" spans="2:17" x14ac:dyDescent="0.2">
      <c r="B63" t="s">
        <v>166</v>
      </c>
      <c r="C63" s="50">
        <f>'Cashflow Statement'!C17</f>
        <v>2557</v>
      </c>
      <c r="D63" s="50">
        <f>'Cashflow Statement'!D17</f>
        <v>3916</v>
      </c>
      <c r="E63" s="50">
        <f>'Cashflow Statement'!E17</f>
        <v>-173</v>
      </c>
      <c r="F63" s="50">
        <f>'Cashflow Statement'!F17</f>
        <v>-1043</v>
      </c>
      <c r="G63" s="50">
        <f>'Cashflow Statement'!G17</f>
        <v>-2438</v>
      </c>
      <c r="H63" s="50">
        <f>'Cashflow Statement'!H17</f>
        <v>13481</v>
      </c>
      <c r="I63" s="50">
        <f>'Cashflow Statement'!I17</f>
        <v>-19611</v>
      </c>
      <c r="J63" s="50">
        <f>'Cashflow Statement'!J17</f>
        <v>-20886</v>
      </c>
      <c r="K63" s="50">
        <f>'Cashflow Statement'!K17</f>
        <v>-11541</v>
      </c>
      <c r="L63" s="50">
        <f>'Cashflow Statement'!L17</f>
        <v>-6898</v>
      </c>
      <c r="M63" s="63">
        <f>M29*M64</f>
        <v>-11064.850044354958</v>
      </c>
      <c r="N63" s="98">
        <f t="shared" ref="N63:Q63" si="40">N29*N64</f>
        <v>-12304.299375236045</v>
      </c>
      <c r="O63" s="98">
        <f t="shared" si="40"/>
        <v>-13586.737019321057</v>
      </c>
      <c r="P63" s="98">
        <f t="shared" si="40"/>
        <v>-14963.538870982449</v>
      </c>
      <c r="Q63" s="98">
        <f t="shared" si="40"/>
        <v>-16554.357303076657</v>
      </c>
    </row>
    <row r="64" spans="2:17" x14ac:dyDescent="0.2">
      <c r="B64" s="34" t="s">
        <v>157</v>
      </c>
      <c r="C64" s="54">
        <f>C63/C29</f>
        <v>2.3895856307122966E-2</v>
      </c>
      <c r="D64" s="54">
        <f t="shared" ref="D64:L64" si="41">D63/D29</f>
        <v>2.8796870289071748E-2</v>
      </c>
      <c r="E64" s="54">
        <f t="shared" si="41"/>
        <v>-9.7264232624560065E-4</v>
      </c>
      <c r="F64" s="54">
        <f t="shared" si="41"/>
        <v>-4.4785668586052466E-3</v>
      </c>
      <c r="G64" s="54">
        <f t="shared" si="41"/>
        <v>-8.6909404609977117E-3</v>
      </c>
      <c r="H64" s="54">
        <f t="shared" si="41"/>
        <v>3.4919080774172155E-2</v>
      </c>
      <c r="I64" s="54">
        <f t="shared" si="41"/>
        <v>-4.1741340337404377E-2</v>
      </c>
      <c r="J64" s="54">
        <f t="shared" si="41"/>
        <v>-4.0635585223635799E-2</v>
      </c>
      <c r="K64" s="54">
        <f t="shared" si="41"/>
        <v>-2.0078812077559436E-2</v>
      </c>
      <c r="L64" s="54">
        <f t="shared" si="41"/>
        <v>-1.0851952187223707E-2</v>
      </c>
      <c r="M64" s="62">
        <f>AVERAGE(H64:L64)</f>
        <v>-1.5677721810330232E-2</v>
      </c>
      <c r="N64" s="97">
        <f>M64</f>
        <v>-1.5677721810330232E-2</v>
      </c>
      <c r="O64" s="97">
        <f>N64</f>
        <v>-1.5677721810330232E-2</v>
      </c>
      <c r="P64" s="97">
        <f>O64</f>
        <v>-1.5677721810330232E-2</v>
      </c>
      <c r="Q64" s="97">
        <f>P64</f>
        <v>-1.5677721810330232E-2</v>
      </c>
    </row>
    <row r="65" spans="2:17" x14ac:dyDescent="0.2">
      <c r="B65" s="34" t="s">
        <v>167</v>
      </c>
    </row>
    <row r="67" spans="2:17" x14ac:dyDescent="0.2">
      <c r="B67" s="32" t="s">
        <v>142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9" spans="2:17" x14ac:dyDescent="0.2">
      <c r="B69" s="33" t="s">
        <v>168</v>
      </c>
      <c r="C69" s="38">
        <v>2015</v>
      </c>
      <c r="D69" s="38">
        <f t="shared" ref="D69" si="42">C69+1</f>
        <v>2016</v>
      </c>
      <c r="E69" s="38">
        <f t="shared" ref="E69" si="43">D69+1</f>
        <v>2017</v>
      </c>
      <c r="F69" s="38">
        <f t="shared" ref="F69" si="44">E69+1</f>
        <v>2018</v>
      </c>
      <c r="G69" s="38">
        <f t="shared" ref="G69" si="45">F69+1</f>
        <v>2019</v>
      </c>
      <c r="H69" s="38">
        <f t="shared" ref="H69" si="46">G69+1</f>
        <v>2020</v>
      </c>
      <c r="I69" s="38">
        <f t="shared" ref="I69" si="47">H69+1</f>
        <v>2021</v>
      </c>
      <c r="J69" s="38">
        <f t="shared" ref="J69" si="48">I69+1</f>
        <v>2022</v>
      </c>
      <c r="K69" s="38">
        <f t="shared" ref="K69" si="49">J69+1</f>
        <v>2023</v>
      </c>
      <c r="L69" s="51" t="s">
        <v>182</v>
      </c>
      <c r="M69" s="52" t="s">
        <v>183</v>
      </c>
      <c r="N69" s="51" t="s">
        <v>184</v>
      </c>
      <c r="O69" s="51" t="s">
        <v>185</v>
      </c>
      <c r="P69" s="51" t="s">
        <v>186</v>
      </c>
      <c r="Q69" s="51" t="s">
        <v>187</v>
      </c>
    </row>
    <row r="71" spans="2:17" x14ac:dyDescent="0.2">
      <c r="B71" t="s">
        <v>150</v>
      </c>
      <c r="C71" s="50">
        <f>C29</f>
        <v>107006</v>
      </c>
      <c r="D71" s="50">
        <f t="shared" ref="D71:Q71" si="50">D29</f>
        <v>135987</v>
      </c>
      <c r="E71" s="50">
        <f t="shared" si="50"/>
        <v>177866</v>
      </c>
      <c r="F71" s="50">
        <f t="shared" si="50"/>
        <v>232887</v>
      </c>
      <c r="G71" s="50">
        <f t="shared" si="50"/>
        <v>280522</v>
      </c>
      <c r="H71" s="50">
        <f t="shared" si="50"/>
        <v>386064</v>
      </c>
      <c r="I71" s="50">
        <f t="shared" si="50"/>
        <v>469822</v>
      </c>
      <c r="J71" s="50">
        <f t="shared" si="50"/>
        <v>513983</v>
      </c>
      <c r="K71" s="50">
        <f t="shared" si="50"/>
        <v>574785</v>
      </c>
      <c r="L71" s="50">
        <f t="shared" si="50"/>
        <v>635646</v>
      </c>
      <c r="M71" s="63">
        <f t="shared" si="50"/>
        <v>705769</v>
      </c>
      <c r="N71" s="50">
        <f t="shared" si="50"/>
        <v>784827</v>
      </c>
      <c r="O71" s="50">
        <f t="shared" si="50"/>
        <v>866627</v>
      </c>
      <c r="P71" s="50">
        <f t="shared" si="50"/>
        <v>954446</v>
      </c>
      <c r="Q71" s="50">
        <f t="shared" si="50"/>
        <v>1055916</v>
      </c>
    </row>
    <row r="72" spans="2:17" x14ac:dyDescent="0.2">
      <c r="B72" s="34" t="s">
        <v>152</v>
      </c>
      <c r="C72" s="54">
        <f>C30</f>
        <v>0</v>
      </c>
      <c r="D72" s="54">
        <f t="shared" ref="D72:Q72" si="51">D30</f>
        <v>0.27083528026465808</v>
      </c>
      <c r="E72" s="54">
        <f t="shared" si="51"/>
        <v>0.30796326119408479</v>
      </c>
      <c r="F72" s="54">
        <f t="shared" si="51"/>
        <v>0.3093396152159491</v>
      </c>
      <c r="G72" s="54">
        <f t="shared" si="51"/>
        <v>0.20454125820676983</v>
      </c>
      <c r="H72" s="54">
        <f t="shared" si="51"/>
        <v>0.37623430604373276</v>
      </c>
      <c r="I72" s="54">
        <f t="shared" si="51"/>
        <v>0.21695366571345676</v>
      </c>
      <c r="J72" s="54">
        <f t="shared" si="51"/>
        <v>9.399517263985091E-2</v>
      </c>
      <c r="K72" s="54">
        <f t="shared" si="51"/>
        <v>0.1182957412988368</v>
      </c>
      <c r="L72" s="54">
        <f t="shared" si="51"/>
        <v>0.10588480910253395</v>
      </c>
      <c r="M72" s="62">
        <f t="shared" si="51"/>
        <v>0.11031769255214385</v>
      </c>
      <c r="N72" s="54">
        <f t="shared" si="51"/>
        <v>0.11201682136789803</v>
      </c>
      <c r="O72" s="54">
        <f t="shared" si="51"/>
        <v>0.10422679138204982</v>
      </c>
      <c r="P72" s="54">
        <f t="shared" si="51"/>
        <v>0.10133425337544288</v>
      </c>
      <c r="Q72" s="54">
        <f t="shared" si="51"/>
        <v>0.10631298156207891</v>
      </c>
    </row>
    <row r="74" spans="2:17" x14ac:dyDescent="0.2">
      <c r="B74" t="s">
        <v>60</v>
      </c>
      <c r="C74" s="50">
        <f>C46</f>
        <v>10805</v>
      </c>
      <c r="D74" s="50">
        <f t="shared" ref="D74:Q74" si="52">D46</f>
        <v>15440</v>
      </c>
      <c r="E74" s="50">
        <f t="shared" si="52"/>
        <v>18536</v>
      </c>
      <c r="F74" s="50">
        <f t="shared" si="52"/>
        <v>27681</v>
      </c>
      <c r="G74" s="50">
        <f t="shared" si="52"/>
        <v>40664.6</v>
      </c>
      <c r="H74" s="50">
        <f t="shared" si="52"/>
        <v>47635.5</v>
      </c>
      <c r="I74" s="50">
        <f t="shared" si="52"/>
        <v>68486</v>
      </c>
      <c r="J74" s="50">
        <f t="shared" si="52"/>
        <v>69598</v>
      </c>
      <c r="K74" s="50">
        <f t="shared" si="52"/>
        <v>104937</v>
      </c>
      <c r="L74" s="50">
        <f t="shared" si="52"/>
        <v>138013.5</v>
      </c>
      <c r="M74" s="63">
        <f t="shared" si="52"/>
        <v>158863.5</v>
      </c>
      <c r="N74" s="50">
        <f t="shared" si="52"/>
        <v>184965</v>
      </c>
      <c r="O74" s="50">
        <f t="shared" si="52"/>
        <v>217623</v>
      </c>
      <c r="P74" s="50">
        <f t="shared" si="52"/>
        <v>248736</v>
      </c>
      <c r="Q74" s="50">
        <f t="shared" si="52"/>
        <v>289356</v>
      </c>
    </row>
    <row r="75" spans="2:17" x14ac:dyDescent="0.2">
      <c r="B75" s="34" t="s">
        <v>157</v>
      </c>
      <c r="C75" s="54">
        <f>C47</f>
        <v>0.1009756462254453</v>
      </c>
      <c r="D75" s="54">
        <f t="shared" ref="D75:P75" si="53">D47</f>
        <v>0.11354026487826042</v>
      </c>
      <c r="E75" s="54">
        <f t="shared" si="53"/>
        <v>0.10421328415773673</v>
      </c>
      <c r="F75" s="54">
        <f t="shared" si="53"/>
        <v>0.11886021976323281</v>
      </c>
      <c r="G75" s="54">
        <f t="shared" si="53"/>
        <v>0.14496046655877257</v>
      </c>
      <c r="H75" s="54">
        <f t="shared" si="53"/>
        <v>0.12338757304488375</v>
      </c>
      <c r="I75" s="54">
        <f t="shared" si="53"/>
        <v>0.14577010016559463</v>
      </c>
      <c r="J75" s="54">
        <f t="shared" si="53"/>
        <v>0.13540914777336993</v>
      </c>
      <c r="K75" s="54">
        <f t="shared" si="53"/>
        <v>0.18256739476499909</v>
      </c>
      <c r="L75" s="54">
        <f t="shared" si="53"/>
        <v>0.21712321008863425</v>
      </c>
      <c r="M75" s="62">
        <f t="shared" si="53"/>
        <v>0.22509277114750009</v>
      </c>
      <c r="N75" s="54">
        <f t="shared" si="53"/>
        <v>0.23567614264035258</v>
      </c>
      <c r="O75" s="54">
        <f t="shared" si="53"/>
        <v>0.25111495487678087</v>
      </c>
      <c r="P75" s="54">
        <f t="shared" si="53"/>
        <v>0.26060772427146217</v>
      </c>
      <c r="Q75" s="54">
        <f>Q47</f>
        <v>0.2740331617287739</v>
      </c>
    </row>
    <row r="77" spans="2:17" x14ac:dyDescent="0.2">
      <c r="B77" t="s">
        <v>160</v>
      </c>
      <c r="C77" s="50">
        <f>C51</f>
        <v>950</v>
      </c>
      <c r="D77" s="50">
        <f t="shared" ref="D77:L77" si="54">D51</f>
        <v>1425</v>
      </c>
      <c r="E77" s="50">
        <f t="shared" si="54"/>
        <v>769</v>
      </c>
      <c r="F77" s="50">
        <f t="shared" si="54"/>
        <v>1197</v>
      </c>
      <c r="G77" s="50">
        <f t="shared" si="54"/>
        <v>2374</v>
      </c>
      <c r="H77" s="50">
        <f t="shared" si="54"/>
        <v>2863</v>
      </c>
      <c r="I77" s="50">
        <f t="shared" si="54"/>
        <v>4791</v>
      </c>
      <c r="J77" s="50">
        <f t="shared" si="54"/>
        <v>-3217</v>
      </c>
      <c r="K77" s="50">
        <f t="shared" si="54"/>
        <v>7120</v>
      </c>
      <c r="L77" s="50">
        <f t="shared" si="54"/>
        <v>9602</v>
      </c>
      <c r="M77" s="63">
        <f>M78*M74</f>
        <v>36633.783553581794</v>
      </c>
      <c r="N77" s="50">
        <f t="shared" ref="N77:Q77" si="55">N78*N74</f>
        <v>42652.766525905929</v>
      </c>
      <c r="O77" s="50">
        <f t="shared" si="55"/>
        <v>50183.672638970755</v>
      </c>
      <c r="P77" s="50">
        <f t="shared" si="55"/>
        <v>57358.303109170585</v>
      </c>
      <c r="Q77" s="50">
        <f t="shared" si="55"/>
        <v>66725.23942837854</v>
      </c>
    </row>
    <row r="78" spans="2:17" x14ac:dyDescent="0.2">
      <c r="B78" s="34" t="s">
        <v>161</v>
      </c>
      <c r="C78" s="54">
        <f>C52</f>
        <v>0.60586734693877553</v>
      </c>
      <c r="D78" s="54">
        <f t="shared" ref="D78:Q78" si="56">D52</f>
        <v>0.36613566289825283</v>
      </c>
      <c r="E78" s="54">
        <f t="shared" si="56"/>
        <v>0.20204939569101418</v>
      </c>
      <c r="F78" s="54">
        <f t="shared" si="56"/>
        <v>0.10629606606873279</v>
      </c>
      <c r="G78" s="54">
        <f t="shared" si="56"/>
        <v>0.16986262163709215</v>
      </c>
      <c r="H78" s="54">
        <f t="shared" si="56"/>
        <v>0.1184134337000579</v>
      </c>
      <c r="I78" s="54">
        <f t="shared" si="56"/>
        <v>0.12557993237398757</v>
      </c>
      <c r="J78" s="54">
        <f t="shared" si="56"/>
        <v>0.54194743935309975</v>
      </c>
      <c r="K78" s="54">
        <f t="shared" si="56"/>
        <v>0.18957850733551668</v>
      </c>
      <c r="L78" s="54">
        <f t="shared" si="56"/>
        <v>0.17747629521468311</v>
      </c>
      <c r="M78" s="62">
        <f t="shared" si="56"/>
        <v>0.23059912159546903</v>
      </c>
      <c r="N78" s="54">
        <f t="shared" si="56"/>
        <v>0.23059912159546903</v>
      </c>
      <c r="O78" s="54">
        <f t="shared" si="56"/>
        <v>0.23059912159546903</v>
      </c>
      <c r="P78" s="54">
        <f t="shared" si="56"/>
        <v>0.23059912159546903</v>
      </c>
      <c r="Q78" s="54">
        <f t="shared" si="56"/>
        <v>0.23059912159546903</v>
      </c>
    </row>
    <row r="80" spans="2:17" x14ac:dyDescent="0.2">
      <c r="B80" s="35" t="s">
        <v>169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5">
        <f>M74-M77</f>
        <v>122229.7164464182</v>
      </c>
      <c r="N80" s="65">
        <f t="shared" ref="N80:Q80" si="57">N74-N77</f>
        <v>142312.23347409407</v>
      </c>
      <c r="O80" s="65">
        <f t="shared" si="57"/>
        <v>167439.32736102925</v>
      </c>
      <c r="P80" s="65">
        <f t="shared" si="57"/>
        <v>191377.69689082942</v>
      </c>
      <c r="Q80" s="65">
        <f t="shared" si="57"/>
        <v>222630.76057162147</v>
      </c>
    </row>
    <row r="82" spans="2:17" x14ac:dyDescent="0.2">
      <c r="B82" t="s">
        <v>163</v>
      </c>
      <c r="C82" s="50">
        <f>C56</f>
        <v>5646</v>
      </c>
      <c r="D82" s="50">
        <f t="shared" ref="D82:Q82" si="58">D56</f>
        <v>7482</v>
      </c>
      <c r="E82" s="50">
        <f t="shared" si="58"/>
        <v>10933</v>
      </c>
      <c r="F82" s="50">
        <f t="shared" si="58"/>
        <v>15341</v>
      </c>
      <c r="G82" s="50">
        <f t="shared" si="58"/>
        <v>21789</v>
      </c>
      <c r="H82" s="50">
        <f t="shared" si="58"/>
        <v>25251</v>
      </c>
      <c r="I82" s="50">
        <f t="shared" si="58"/>
        <v>34296</v>
      </c>
      <c r="J82" s="50">
        <f t="shared" si="58"/>
        <v>41921</v>
      </c>
      <c r="K82" s="50">
        <f t="shared" si="58"/>
        <v>48663</v>
      </c>
      <c r="L82" s="50">
        <f t="shared" si="58"/>
        <v>49673</v>
      </c>
      <c r="M82" s="63">
        <f t="shared" si="58"/>
        <v>49091.246235084785</v>
      </c>
      <c r="N82" s="50">
        <f t="shared" si="58"/>
        <v>54590.29159532777</v>
      </c>
      <c r="O82" s="50">
        <f t="shared" si="58"/>
        <v>60280.062528919269</v>
      </c>
      <c r="P82" s="50">
        <f t="shared" si="58"/>
        <v>66388.497658712324</v>
      </c>
      <c r="Q82" s="50">
        <f t="shared" si="58"/>
        <v>73446.456786237119</v>
      </c>
    </row>
    <row r="83" spans="2:17" x14ac:dyDescent="0.2">
      <c r="B83" s="34" t="s">
        <v>157</v>
      </c>
      <c r="C83" s="54">
        <f>C57</f>
        <v>5.2763396445059153E-2</v>
      </c>
      <c r="D83" s="54">
        <f t="shared" ref="D83:Q83" si="59">D57</f>
        <v>5.5019965143726972E-2</v>
      </c>
      <c r="E83" s="54">
        <f t="shared" si="59"/>
        <v>6.1467621692734981E-2</v>
      </c>
      <c r="F83" s="54">
        <f t="shared" si="59"/>
        <v>6.5873148780309768E-2</v>
      </c>
      <c r="G83" s="54">
        <f t="shared" si="59"/>
        <v>7.7673052380918428E-2</v>
      </c>
      <c r="H83" s="54">
        <f t="shared" si="59"/>
        <v>6.5406253885366153E-2</v>
      </c>
      <c r="I83" s="54">
        <f t="shared" si="59"/>
        <v>7.2997858763531723E-2</v>
      </c>
      <c r="J83" s="54">
        <f t="shared" si="59"/>
        <v>8.1561063303650122E-2</v>
      </c>
      <c r="K83" s="54">
        <f t="shared" si="59"/>
        <v>8.4662960933218512E-2</v>
      </c>
      <c r="L83" s="54">
        <f t="shared" si="59"/>
        <v>7.8145697447950593E-2</v>
      </c>
      <c r="M83" s="62">
        <f t="shared" si="59"/>
        <v>6.9557101877646632E-2</v>
      </c>
      <c r="N83" s="54">
        <f t="shared" si="59"/>
        <v>6.9557101877646632E-2</v>
      </c>
      <c r="O83" s="54">
        <f t="shared" si="59"/>
        <v>6.9557101877646632E-2</v>
      </c>
      <c r="P83" s="54">
        <f t="shared" si="59"/>
        <v>6.9557101877646632E-2</v>
      </c>
      <c r="Q83" s="54">
        <f t="shared" si="59"/>
        <v>6.9557101877646632E-2</v>
      </c>
    </row>
    <row r="85" spans="2:17" x14ac:dyDescent="0.2">
      <c r="B85" t="s">
        <v>165</v>
      </c>
      <c r="C85" s="50">
        <f>C60</f>
        <v>4588</v>
      </c>
      <c r="D85" s="50">
        <f t="shared" ref="D85:Q85" si="60">D60</f>
        <v>6736</v>
      </c>
      <c r="E85" s="50">
        <f t="shared" si="60"/>
        <v>10058</v>
      </c>
      <c r="F85" s="50">
        <f t="shared" si="60"/>
        <v>11322</v>
      </c>
      <c r="G85" s="50">
        <f t="shared" si="60"/>
        <v>12690</v>
      </c>
      <c r="H85" s="50">
        <f t="shared" si="60"/>
        <v>35046</v>
      </c>
      <c r="I85" s="50">
        <f t="shared" si="60"/>
        <v>55396</v>
      </c>
      <c r="J85" s="50">
        <f t="shared" si="60"/>
        <v>58321</v>
      </c>
      <c r="K85" s="50">
        <f t="shared" si="60"/>
        <v>52729</v>
      </c>
      <c r="L85" s="50">
        <f t="shared" si="60"/>
        <v>65971.5</v>
      </c>
      <c r="M85" s="63">
        <f t="shared" si="60"/>
        <v>53673.008734063187</v>
      </c>
      <c r="N85" s="50">
        <f t="shared" si="60"/>
        <v>59685.288565704373</v>
      </c>
      <c r="O85" s="50">
        <f t="shared" si="60"/>
        <v>65906.094685619479</v>
      </c>
      <c r="P85" s="50">
        <f t="shared" si="60"/>
        <v>72584.639583477983</v>
      </c>
      <c r="Q85" s="50">
        <f t="shared" si="60"/>
        <v>80301.329033206421</v>
      </c>
    </row>
    <row r="86" spans="2:17" x14ac:dyDescent="0.2">
      <c r="B86" s="34" t="s">
        <v>157</v>
      </c>
      <c r="C86" s="54">
        <f>C61</f>
        <v>4.2876100405584733E-2</v>
      </c>
      <c r="D86" s="54">
        <f t="shared" ref="D86:Q86" si="61">D61</f>
        <v>4.9534146646370611E-2</v>
      </c>
      <c r="E86" s="54">
        <f t="shared" si="61"/>
        <v>5.6548187961723992E-2</v>
      </c>
      <c r="F86" s="54">
        <f t="shared" si="61"/>
        <v>4.8615852323229722E-2</v>
      </c>
      <c r="G86" s="54">
        <f t="shared" si="61"/>
        <v>4.523709370388062E-2</v>
      </c>
      <c r="H86" s="54">
        <f t="shared" si="61"/>
        <v>9.0777694889966426E-2</v>
      </c>
      <c r="I86" s="54">
        <f t="shared" si="61"/>
        <v>0.11790848448987064</v>
      </c>
      <c r="J86" s="54">
        <f t="shared" si="61"/>
        <v>0.11346873340168838</v>
      </c>
      <c r="K86" s="54">
        <f t="shared" si="61"/>
        <v>9.1736910322990334E-2</v>
      </c>
      <c r="L86" s="54">
        <f t="shared" si="61"/>
        <v>0.10378654156558839</v>
      </c>
      <c r="M86" s="62">
        <f t="shared" si="61"/>
        <v>7.6048974571089389E-2</v>
      </c>
      <c r="N86" s="54">
        <f t="shared" si="61"/>
        <v>7.6048974571089389E-2</v>
      </c>
      <c r="O86" s="54">
        <f t="shared" si="61"/>
        <v>7.6048974571089389E-2</v>
      </c>
      <c r="P86" s="54">
        <f t="shared" si="61"/>
        <v>7.6048974571089389E-2</v>
      </c>
      <c r="Q86" s="54">
        <f t="shared" si="61"/>
        <v>7.6048974571089389E-2</v>
      </c>
    </row>
    <row r="88" spans="2:17" x14ac:dyDescent="0.2">
      <c r="B88" t="s">
        <v>166</v>
      </c>
      <c r="C88" s="50">
        <f>C63</f>
        <v>2557</v>
      </c>
      <c r="D88" s="50">
        <f t="shared" ref="D88:Q88" si="62">D63</f>
        <v>3916</v>
      </c>
      <c r="E88" s="50">
        <f t="shared" si="62"/>
        <v>-173</v>
      </c>
      <c r="F88" s="50">
        <f t="shared" si="62"/>
        <v>-1043</v>
      </c>
      <c r="G88" s="50">
        <f t="shared" si="62"/>
        <v>-2438</v>
      </c>
      <c r="H88" s="50">
        <f t="shared" si="62"/>
        <v>13481</v>
      </c>
      <c r="I88" s="50">
        <f t="shared" si="62"/>
        <v>-19611</v>
      </c>
      <c r="J88" s="50">
        <f t="shared" si="62"/>
        <v>-20886</v>
      </c>
      <c r="K88" s="50">
        <f t="shared" si="62"/>
        <v>-11541</v>
      </c>
      <c r="L88" s="50">
        <f t="shared" si="62"/>
        <v>-6898</v>
      </c>
      <c r="M88" s="63">
        <f t="shared" si="62"/>
        <v>-11064.850044354958</v>
      </c>
      <c r="N88" s="50">
        <f t="shared" si="62"/>
        <v>-12304.299375236045</v>
      </c>
      <c r="O88" s="50">
        <f t="shared" si="62"/>
        <v>-13586.737019321057</v>
      </c>
      <c r="P88" s="50">
        <f t="shared" si="62"/>
        <v>-14963.538870982449</v>
      </c>
      <c r="Q88" s="50">
        <f t="shared" si="62"/>
        <v>-16554.357303076657</v>
      </c>
    </row>
    <row r="89" spans="2:17" x14ac:dyDescent="0.2">
      <c r="B89" s="34" t="s">
        <v>157</v>
      </c>
      <c r="C89" s="54">
        <f>C64</f>
        <v>2.3895856307122966E-2</v>
      </c>
      <c r="D89" s="54">
        <f t="shared" ref="D89:Q89" si="63">D64</f>
        <v>2.8796870289071748E-2</v>
      </c>
      <c r="E89" s="54">
        <f t="shared" si="63"/>
        <v>-9.7264232624560065E-4</v>
      </c>
      <c r="F89" s="54">
        <f t="shared" si="63"/>
        <v>-4.4785668586052466E-3</v>
      </c>
      <c r="G89" s="54">
        <f t="shared" si="63"/>
        <v>-8.6909404609977117E-3</v>
      </c>
      <c r="H89" s="54">
        <f t="shared" si="63"/>
        <v>3.4919080774172155E-2</v>
      </c>
      <c r="I89" s="54">
        <f t="shared" si="63"/>
        <v>-4.1741340337404377E-2</v>
      </c>
      <c r="J89" s="54">
        <f t="shared" si="63"/>
        <v>-4.0635585223635799E-2</v>
      </c>
      <c r="K89" s="54">
        <f t="shared" si="63"/>
        <v>-2.0078812077559436E-2</v>
      </c>
      <c r="L89" s="54">
        <f t="shared" si="63"/>
        <v>-1.0851952187223707E-2</v>
      </c>
      <c r="M89" s="62">
        <f t="shared" si="63"/>
        <v>-1.5677721810330232E-2</v>
      </c>
      <c r="N89" s="54">
        <f t="shared" si="63"/>
        <v>-1.5677721810330232E-2</v>
      </c>
      <c r="O89" s="54">
        <f t="shared" si="63"/>
        <v>-1.5677721810330232E-2</v>
      </c>
      <c r="P89" s="54">
        <f t="shared" si="63"/>
        <v>-1.5677721810330232E-2</v>
      </c>
      <c r="Q89" s="54">
        <f t="shared" si="63"/>
        <v>-1.5677721810330232E-2</v>
      </c>
    </row>
    <row r="91" spans="2:17" x14ac:dyDescent="0.2">
      <c r="B91" s="36" t="s">
        <v>170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76">
        <f>M80+M82-M85-M88</f>
        <v>128712.80399179475</v>
      </c>
      <c r="N91" s="76">
        <f t="shared" ref="N91:Q91" si="64">N80+N82-N85-N88</f>
        <v>149521.53587895352</v>
      </c>
      <c r="O91" s="76">
        <f t="shared" si="64"/>
        <v>175400.03222365014</v>
      </c>
      <c r="P91" s="76">
        <f t="shared" si="64"/>
        <v>200145.09383704621</v>
      </c>
      <c r="Q91" s="76">
        <f t="shared" si="64"/>
        <v>232330.24562772884</v>
      </c>
    </row>
    <row r="92" spans="2:17" x14ac:dyDescent="0.2">
      <c r="B92" s="37" t="s">
        <v>171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77">
        <f>(M91*M94)/(1+$C10)^M95</f>
        <v>41761.980442445165</v>
      </c>
      <c r="N92" s="77">
        <f>N91/(1+$C10)^N95</f>
        <v>134222.74152184121</v>
      </c>
      <c r="O92" s="77">
        <f t="shared" ref="O92:P92" si="65">O91/(1+$C10)^O95</f>
        <v>145209.08579961705</v>
      </c>
      <c r="P92" s="77">
        <f t="shared" si="65"/>
        <v>152809.67000074664</v>
      </c>
      <c r="Q92" s="77">
        <f>Q91/(1+$C10)^Q95</f>
        <v>163588.74003380057</v>
      </c>
    </row>
    <row r="94" spans="2:17" x14ac:dyDescent="0.2">
      <c r="B94" t="s">
        <v>172</v>
      </c>
      <c r="M94" s="41">
        <f>YEARFRAC(C5,C6)</f>
        <v>0.33333333333333331</v>
      </c>
    </row>
    <row r="95" spans="2:17" x14ac:dyDescent="0.2">
      <c r="B95" t="s">
        <v>173</v>
      </c>
      <c r="M95" s="41">
        <f>M94</f>
        <v>0.33333333333333331</v>
      </c>
      <c r="N95">
        <f>M95+1</f>
        <v>1.3333333333333333</v>
      </c>
      <c r="O95">
        <f t="shared" ref="O95:Q95" si="66">N95+1</f>
        <v>2.333333333333333</v>
      </c>
      <c r="P95">
        <f t="shared" si="66"/>
        <v>3.333333333333333</v>
      </c>
      <c r="Q95">
        <f t="shared" si="66"/>
        <v>4.333333333333333</v>
      </c>
    </row>
    <row r="97" spans="2:17" x14ac:dyDescent="0.2">
      <c r="B97" t="s">
        <v>0</v>
      </c>
      <c r="Q97" s="50">
        <f>(Q91*(1+C11))/(C10-C11)</f>
        <v>4014343.1347215092</v>
      </c>
    </row>
    <row r="98" spans="2:17" x14ac:dyDescent="0.2">
      <c r="B98" t="s">
        <v>1</v>
      </c>
      <c r="Q98" s="50">
        <f>Q97/(1+C10)^Q95</f>
        <v>2826585.6376043493</v>
      </c>
    </row>
    <row r="99" spans="2:17" x14ac:dyDescent="0.2">
      <c r="Q99" s="50"/>
    </row>
    <row r="100" spans="2:17" x14ac:dyDescent="0.2">
      <c r="B100" t="s">
        <v>203</v>
      </c>
      <c r="Q100" s="50">
        <f>SUM(M92:Q92)+Q98</f>
        <v>3464177.8554027998</v>
      </c>
    </row>
    <row r="101" spans="2:17" x14ac:dyDescent="0.2">
      <c r="B101" t="s">
        <v>3</v>
      </c>
      <c r="Q101" s="50">
        <v>89092</v>
      </c>
    </row>
    <row r="102" spans="2:17" x14ac:dyDescent="0.2">
      <c r="B102" t="s">
        <v>2</v>
      </c>
      <c r="Q102" s="50">
        <v>54889</v>
      </c>
    </row>
    <row r="103" spans="2:17" x14ac:dyDescent="0.2">
      <c r="B103" t="s">
        <v>4</v>
      </c>
      <c r="Q103" s="50">
        <f>Q100-Q102+Q101</f>
        <v>3498380.8554027998</v>
      </c>
    </row>
    <row r="104" spans="2:17" x14ac:dyDescent="0.2">
      <c r="Q104" s="50"/>
    </row>
    <row r="105" spans="2:17" x14ac:dyDescent="0.2">
      <c r="B105" t="s">
        <v>5</v>
      </c>
      <c r="Q105">
        <f>Shares!F13</f>
        <v>10876.066881000001</v>
      </c>
    </row>
    <row r="106" spans="2:17" x14ac:dyDescent="0.2">
      <c r="B106" t="s">
        <v>174</v>
      </c>
      <c r="Q106">
        <f>Q103/Q105</f>
        <v>321.65863760127422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49E1-B5AE-4649-948F-3E522DFFF106}">
  <dimension ref="A1:Q72"/>
  <sheetViews>
    <sheetView topLeftCell="A26" workbookViewId="0">
      <selection activeCell="B28" sqref="B28:J28"/>
    </sheetView>
  </sheetViews>
  <sheetFormatPr baseColWidth="10" defaultRowHeight="16" x14ac:dyDescent="0.2"/>
  <cols>
    <col min="1" max="1" width="50.832031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/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20</v>
      </c>
    </row>
    <row r="7" spans="1:12" x14ac:dyDescent="0.2">
      <c r="A7" s="3" t="s">
        <v>21</v>
      </c>
      <c r="B7" s="4">
        <v>88988</v>
      </c>
      <c r="C7" s="4">
        <v>107006</v>
      </c>
      <c r="D7" s="4">
        <v>135987</v>
      </c>
      <c r="E7" s="4">
        <v>177866</v>
      </c>
      <c r="F7" s="4">
        <v>232887</v>
      </c>
      <c r="G7" s="4">
        <v>280522</v>
      </c>
      <c r="H7" s="4">
        <v>386064</v>
      </c>
      <c r="I7" s="4">
        <v>469822</v>
      </c>
      <c r="J7" s="4">
        <v>513983</v>
      </c>
      <c r="K7" s="4">
        <v>574785</v>
      </c>
      <c r="L7" s="4">
        <v>604334</v>
      </c>
    </row>
    <row r="8" spans="1:12" x14ac:dyDescent="0.2">
      <c r="A8" s="5" t="s">
        <v>22</v>
      </c>
      <c r="B8" s="6">
        <v>62752</v>
      </c>
      <c r="C8" s="6">
        <v>71651</v>
      </c>
      <c r="D8" s="6">
        <v>88265</v>
      </c>
      <c r="E8" s="6">
        <v>111934</v>
      </c>
      <c r="F8" s="6">
        <v>139156</v>
      </c>
      <c r="G8" s="6">
        <v>165536</v>
      </c>
      <c r="H8" s="6">
        <v>233307</v>
      </c>
      <c r="I8" s="6">
        <v>272344</v>
      </c>
      <c r="J8" s="6">
        <v>288831</v>
      </c>
      <c r="K8" s="6">
        <v>304739</v>
      </c>
      <c r="L8" s="6">
        <v>313993</v>
      </c>
    </row>
    <row r="9" spans="1:12" x14ac:dyDescent="0.2">
      <c r="A9" s="7" t="s">
        <v>23</v>
      </c>
      <c r="B9" s="8">
        <v>59530</v>
      </c>
      <c r="C9" s="8">
        <v>67109</v>
      </c>
      <c r="D9" s="8">
        <v>82212</v>
      </c>
      <c r="E9" s="8">
        <v>103282</v>
      </c>
      <c r="F9" s="8">
        <v>123815</v>
      </c>
      <c r="G9" s="8">
        <v>143747</v>
      </c>
      <c r="H9" s="8">
        <v>208056</v>
      </c>
      <c r="I9" s="8">
        <v>238048</v>
      </c>
      <c r="J9" s="8">
        <v>246910</v>
      </c>
      <c r="K9" s="8">
        <v>256076</v>
      </c>
      <c r="L9" s="8">
        <v>264320</v>
      </c>
    </row>
    <row r="10" spans="1:12" x14ac:dyDescent="0.2">
      <c r="A10" s="9" t="s">
        <v>24</v>
      </c>
      <c r="B10" s="6">
        <v>3222</v>
      </c>
      <c r="C10" s="6">
        <v>4542</v>
      </c>
      <c r="D10" s="6">
        <v>6053</v>
      </c>
      <c r="E10" s="6">
        <v>8652</v>
      </c>
      <c r="F10" s="6">
        <v>15341</v>
      </c>
      <c r="G10" s="6">
        <v>21789</v>
      </c>
      <c r="H10" s="6">
        <v>25251</v>
      </c>
      <c r="I10" s="6">
        <v>34296</v>
      </c>
      <c r="J10" s="6">
        <v>41921</v>
      </c>
      <c r="K10" s="6">
        <v>48663</v>
      </c>
      <c r="L10" s="6">
        <v>49673</v>
      </c>
    </row>
    <row r="11" spans="1:12" x14ac:dyDescent="0.2">
      <c r="A11" s="10" t="s">
        <v>25</v>
      </c>
      <c r="B11" s="8">
        <v>3041</v>
      </c>
      <c r="C11" s="8">
        <v>4314</v>
      </c>
      <c r="D11" s="8">
        <v>5766</v>
      </c>
      <c r="E11" s="8">
        <v>8286</v>
      </c>
      <c r="F11" s="8">
        <v>14866</v>
      </c>
      <c r="G11" s="8">
        <v>21224</v>
      </c>
      <c r="H11" s="8">
        <v>24742</v>
      </c>
      <c r="I11" s="8">
        <v>33784</v>
      </c>
      <c r="J11" s="8">
        <v>41317</v>
      </c>
      <c r="K11" s="8">
        <v>47957</v>
      </c>
      <c r="L11" s="11"/>
    </row>
    <row r="12" spans="1:12" x14ac:dyDescent="0.2">
      <c r="A12" s="12" t="s">
        <v>26</v>
      </c>
      <c r="B12" s="13">
        <v>181</v>
      </c>
      <c r="C12" s="13">
        <v>228</v>
      </c>
      <c r="D12" s="13">
        <v>287</v>
      </c>
      <c r="E12" s="13">
        <v>366</v>
      </c>
      <c r="F12" s="13">
        <v>475</v>
      </c>
      <c r="G12" s="13">
        <v>565</v>
      </c>
      <c r="H12" s="13">
        <v>509</v>
      </c>
      <c r="I12" s="13">
        <v>512</v>
      </c>
      <c r="J12" s="13">
        <v>604</v>
      </c>
      <c r="K12" s="13">
        <v>706</v>
      </c>
      <c r="L12" s="14"/>
    </row>
    <row r="13" spans="1:12" x14ac:dyDescent="0.2">
      <c r="A13" s="3" t="s">
        <v>27</v>
      </c>
      <c r="B13" s="4">
        <v>26236</v>
      </c>
      <c r="C13" s="4">
        <v>35355</v>
      </c>
      <c r="D13" s="4">
        <v>47722</v>
      </c>
      <c r="E13" s="4">
        <v>65932</v>
      </c>
      <c r="F13" s="4">
        <v>93731</v>
      </c>
      <c r="G13" s="4">
        <v>114986</v>
      </c>
      <c r="H13" s="4">
        <v>152757</v>
      </c>
      <c r="I13" s="4">
        <v>197478</v>
      </c>
      <c r="J13" s="4">
        <v>225152</v>
      </c>
      <c r="K13" s="4">
        <v>270046</v>
      </c>
      <c r="L13" s="4">
        <v>290341</v>
      </c>
    </row>
    <row r="14" spans="1:12" x14ac:dyDescent="0.2">
      <c r="A14" s="5" t="s">
        <v>28</v>
      </c>
      <c r="B14" s="6">
        <v>25925</v>
      </c>
      <c r="C14" s="6">
        <v>32951</v>
      </c>
      <c r="D14" s="6">
        <v>43369</v>
      </c>
      <c r="E14" s="6">
        <v>61612</v>
      </c>
      <c r="F14" s="6">
        <v>81014</v>
      </c>
      <c r="G14" s="6">
        <v>100244</v>
      </c>
      <c r="H14" s="6">
        <v>129933</v>
      </c>
      <c r="I14" s="6">
        <v>172537</v>
      </c>
      <c r="J14" s="6">
        <v>211641</v>
      </c>
      <c r="K14" s="6">
        <v>232427</v>
      </c>
      <c r="L14" s="6">
        <v>235242</v>
      </c>
    </row>
    <row r="15" spans="1:12" x14ac:dyDescent="0.2">
      <c r="A15" s="7" t="s">
        <v>29</v>
      </c>
      <c r="B15" s="8">
        <v>9275</v>
      </c>
      <c r="C15" s="8">
        <v>12540</v>
      </c>
      <c r="D15" s="8">
        <v>16085</v>
      </c>
      <c r="E15" s="8">
        <v>22620</v>
      </c>
      <c r="F15" s="8">
        <v>28837</v>
      </c>
      <c r="G15" s="8">
        <v>35931</v>
      </c>
      <c r="H15" s="8">
        <v>42740</v>
      </c>
      <c r="I15" s="8">
        <v>56052</v>
      </c>
      <c r="J15" s="8">
        <v>73213</v>
      </c>
      <c r="K15" s="8">
        <v>85622</v>
      </c>
      <c r="L15" s="8">
        <v>85969</v>
      </c>
    </row>
    <row r="16" spans="1:12" x14ac:dyDescent="0.2">
      <c r="A16" s="15" t="s">
        <v>30</v>
      </c>
      <c r="B16" s="13">
        <v>16650</v>
      </c>
      <c r="C16" s="13">
        <v>20411</v>
      </c>
      <c r="D16" s="13">
        <v>27284</v>
      </c>
      <c r="E16" s="13">
        <v>38992</v>
      </c>
      <c r="F16" s="13">
        <v>52177</v>
      </c>
      <c r="G16" s="13">
        <v>64313</v>
      </c>
      <c r="H16" s="13">
        <v>87193</v>
      </c>
      <c r="I16" s="13">
        <v>116485</v>
      </c>
      <c r="J16" s="13">
        <v>138428</v>
      </c>
      <c r="K16" s="13">
        <v>146805</v>
      </c>
      <c r="L16" s="13">
        <v>149273</v>
      </c>
    </row>
    <row r="17" spans="1:12" x14ac:dyDescent="0.2">
      <c r="A17" s="3" t="s">
        <v>31</v>
      </c>
      <c r="B17" s="4">
        <v>311</v>
      </c>
      <c r="C17" s="4">
        <v>2404</v>
      </c>
      <c r="D17" s="4">
        <v>4353</v>
      </c>
      <c r="E17" s="4">
        <v>4320</v>
      </c>
      <c r="F17" s="4">
        <v>12717</v>
      </c>
      <c r="G17" s="4">
        <v>14742</v>
      </c>
      <c r="H17" s="4">
        <v>22824</v>
      </c>
      <c r="I17" s="4">
        <v>24941</v>
      </c>
      <c r="J17" s="4">
        <v>13511</v>
      </c>
      <c r="K17" s="4">
        <v>37619</v>
      </c>
      <c r="L17" s="4">
        <v>55099</v>
      </c>
    </row>
    <row r="18" spans="1:12" x14ac:dyDescent="0.2">
      <c r="A18" s="5" t="s">
        <v>32</v>
      </c>
      <c r="B18" s="6">
        <v>-212</v>
      </c>
      <c r="C18" s="6">
        <v>-377</v>
      </c>
      <c r="D18" s="6">
        <v>-44</v>
      </c>
      <c r="E18" s="6">
        <v>225</v>
      </c>
      <c r="F18" s="6">
        <v>92</v>
      </c>
      <c r="G18" s="6">
        <v>823</v>
      </c>
      <c r="H18" s="6">
        <v>1501</v>
      </c>
      <c r="I18" s="6">
        <v>2178</v>
      </c>
      <c r="J18" s="6">
        <v>-1078</v>
      </c>
      <c r="K18" s="6">
        <v>2110</v>
      </c>
      <c r="L18" s="6">
        <v>2758</v>
      </c>
    </row>
    <row r="19" spans="1:12" x14ac:dyDescent="0.2">
      <c r="A19" s="7" t="s">
        <v>33</v>
      </c>
      <c r="B19" s="8">
        <v>39</v>
      </c>
      <c r="C19" s="8">
        <v>50</v>
      </c>
      <c r="D19" s="8">
        <v>100</v>
      </c>
      <c r="E19" s="8">
        <v>202</v>
      </c>
      <c r="F19" s="8">
        <v>440</v>
      </c>
      <c r="G19" s="8">
        <v>832</v>
      </c>
      <c r="H19" s="8">
        <v>555</v>
      </c>
      <c r="I19" s="8">
        <v>448</v>
      </c>
      <c r="J19" s="8">
        <v>989</v>
      </c>
      <c r="K19" s="8">
        <v>2949</v>
      </c>
      <c r="L19" s="8">
        <v>3850</v>
      </c>
    </row>
    <row r="20" spans="1:12" x14ac:dyDescent="0.2">
      <c r="A20" s="15" t="s">
        <v>34</v>
      </c>
      <c r="B20" s="16">
        <v>-251</v>
      </c>
      <c r="C20" s="16">
        <v>-427</v>
      </c>
      <c r="D20" s="16">
        <v>-144</v>
      </c>
      <c r="E20" s="13">
        <v>23</v>
      </c>
      <c r="F20" s="16">
        <v>-348</v>
      </c>
      <c r="G20" s="16">
        <v>-9</v>
      </c>
      <c r="H20" s="13">
        <v>946</v>
      </c>
      <c r="I20" s="13">
        <v>1730</v>
      </c>
      <c r="J20" s="16">
        <v>-2067</v>
      </c>
      <c r="K20" s="16">
        <v>-839</v>
      </c>
      <c r="L20" s="16">
        <v>-1092</v>
      </c>
    </row>
    <row r="21" spans="1:12" x14ac:dyDescent="0.2">
      <c r="A21" s="17" t="s">
        <v>35</v>
      </c>
      <c r="B21" s="4">
        <v>210</v>
      </c>
      <c r="C21" s="4">
        <v>459</v>
      </c>
      <c r="D21" s="4">
        <v>484</v>
      </c>
      <c r="E21" s="4">
        <v>848</v>
      </c>
      <c r="F21" s="4">
        <v>1417</v>
      </c>
      <c r="G21" s="4">
        <v>1600</v>
      </c>
      <c r="H21" s="4">
        <v>1647</v>
      </c>
      <c r="I21" s="4">
        <v>1809</v>
      </c>
      <c r="J21" s="4">
        <v>2367</v>
      </c>
      <c r="K21" s="4">
        <v>3182</v>
      </c>
      <c r="L21" s="4">
        <v>2752</v>
      </c>
    </row>
    <row r="22" spans="1:12" x14ac:dyDescent="0.2">
      <c r="A22" s="15" t="s">
        <v>36</v>
      </c>
      <c r="B22" s="13">
        <v>210</v>
      </c>
      <c r="C22" s="13">
        <v>459</v>
      </c>
      <c r="D22" s="13">
        <v>484</v>
      </c>
      <c r="E22" s="13">
        <v>848</v>
      </c>
      <c r="F22" s="13">
        <v>1417</v>
      </c>
      <c r="G22" s="13">
        <v>1600</v>
      </c>
      <c r="H22" s="13">
        <v>1647</v>
      </c>
      <c r="I22" s="13">
        <v>1809</v>
      </c>
      <c r="J22" s="13">
        <v>2367</v>
      </c>
      <c r="K22" s="13">
        <v>3182</v>
      </c>
      <c r="L22" s="13">
        <v>2752</v>
      </c>
    </row>
    <row r="23" spans="1:12" x14ac:dyDescent="0.2">
      <c r="A23" s="17" t="s">
        <v>37</v>
      </c>
      <c r="B23" s="3"/>
      <c r="C23" s="3"/>
      <c r="D23" s="4">
        <v>-67</v>
      </c>
      <c r="E23" s="4">
        <v>-109</v>
      </c>
      <c r="F23" s="4">
        <v>131</v>
      </c>
      <c r="G23" s="4">
        <v>-11</v>
      </c>
      <c r="H23" s="4">
        <v>-1500</v>
      </c>
      <c r="I23" s="4">
        <v>-12841</v>
      </c>
      <c r="J23" s="4">
        <v>16002</v>
      </c>
      <c r="K23" s="4">
        <v>-1010</v>
      </c>
      <c r="L23" s="4">
        <v>1002</v>
      </c>
    </row>
    <row r="24" spans="1:12" x14ac:dyDescent="0.2">
      <c r="A24" s="9" t="s">
        <v>38</v>
      </c>
      <c r="B24" s="18"/>
      <c r="C24" s="18"/>
      <c r="D24" s="6">
        <v>67</v>
      </c>
      <c r="E24" s="6">
        <v>109</v>
      </c>
      <c r="F24" s="6">
        <v>-131</v>
      </c>
      <c r="G24" s="6">
        <v>11</v>
      </c>
      <c r="H24" s="6">
        <v>1500</v>
      </c>
      <c r="I24" s="6">
        <v>12841</v>
      </c>
      <c r="J24" s="6">
        <v>-16002</v>
      </c>
      <c r="K24" s="6">
        <v>1010</v>
      </c>
      <c r="L24" s="6">
        <v>-832</v>
      </c>
    </row>
    <row r="25" spans="1:12" x14ac:dyDescent="0.2">
      <c r="A25" s="10" t="s">
        <v>39</v>
      </c>
      <c r="B25" s="11"/>
      <c r="C25" s="11"/>
      <c r="D25" s="11"/>
      <c r="E25" s="11"/>
      <c r="F25" s="11"/>
      <c r="G25" s="11"/>
      <c r="H25" s="11"/>
      <c r="I25" s="8">
        <v>11526</v>
      </c>
      <c r="J25" s="19">
        <v>-13870</v>
      </c>
      <c r="K25" s="8">
        <v>984</v>
      </c>
      <c r="L25" s="19">
        <v>-518</v>
      </c>
    </row>
    <row r="26" spans="1:12" x14ac:dyDescent="0.2">
      <c r="A26" s="12" t="s">
        <v>40</v>
      </c>
      <c r="B26" s="14"/>
      <c r="C26" s="14"/>
      <c r="D26" s="13">
        <v>67</v>
      </c>
      <c r="E26" s="13">
        <v>109</v>
      </c>
      <c r="F26" s="16">
        <v>-131</v>
      </c>
      <c r="G26" s="13">
        <v>11</v>
      </c>
      <c r="H26" s="13">
        <v>1500</v>
      </c>
      <c r="I26" s="13">
        <v>1315</v>
      </c>
      <c r="J26" s="16">
        <v>-2132</v>
      </c>
      <c r="K26" s="13">
        <v>26</v>
      </c>
      <c r="L26" s="16">
        <v>-314</v>
      </c>
    </row>
    <row r="27" spans="1:12" x14ac:dyDescent="0.2">
      <c r="A27" s="3" t="s">
        <v>41</v>
      </c>
      <c r="B27" s="4">
        <v>-111</v>
      </c>
      <c r="C27" s="4">
        <v>1568</v>
      </c>
      <c r="D27" s="4">
        <v>3892</v>
      </c>
      <c r="E27" s="4">
        <v>3806</v>
      </c>
      <c r="F27" s="4">
        <v>11261</v>
      </c>
      <c r="G27" s="4">
        <v>13976</v>
      </c>
      <c r="H27" s="4">
        <v>24178</v>
      </c>
      <c r="I27" s="4">
        <v>38151</v>
      </c>
      <c r="J27" s="4">
        <v>-5936</v>
      </c>
      <c r="K27" s="4">
        <v>37557</v>
      </c>
      <c r="L27" s="4">
        <v>54103</v>
      </c>
    </row>
    <row r="28" spans="1:12" x14ac:dyDescent="0.2">
      <c r="A28" s="5" t="s">
        <v>42</v>
      </c>
      <c r="B28" s="6">
        <v>167</v>
      </c>
      <c r="C28" s="6">
        <v>950</v>
      </c>
      <c r="D28" s="6">
        <v>1425</v>
      </c>
      <c r="E28" s="6">
        <v>769</v>
      </c>
      <c r="F28" s="6">
        <v>1197</v>
      </c>
      <c r="G28" s="6">
        <v>2374</v>
      </c>
      <c r="H28" s="6">
        <v>2863</v>
      </c>
      <c r="I28" s="6">
        <v>4791</v>
      </c>
      <c r="J28" s="6">
        <v>-3217</v>
      </c>
      <c r="K28" s="6">
        <v>7120</v>
      </c>
      <c r="L28" s="6">
        <v>9602</v>
      </c>
    </row>
    <row r="29" spans="1:12" x14ac:dyDescent="0.2">
      <c r="A29" s="7" t="s">
        <v>43</v>
      </c>
      <c r="B29" s="8">
        <v>279</v>
      </c>
      <c r="C29" s="8">
        <v>452</v>
      </c>
      <c r="D29" s="8">
        <v>1344</v>
      </c>
      <c r="E29" s="8">
        <v>74</v>
      </c>
      <c r="F29" s="8">
        <v>193</v>
      </c>
      <c r="G29" s="8">
        <v>438</v>
      </c>
      <c r="H29" s="8">
        <v>2461</v>
      </c>
      <c r="I29" s="8">
        <v>2892</v>
      </c>
      <c r="J29" s="8">
        <v>3249</v>
      </c>
      <c r="K29" s="8">
        <v>10810</v>
      </c>
      <c r="L29" s="11"/>
    </row>
    <row r="30" spans="1:12" x14ac:dyDescent="0.2">
      <c r="A30" s="15" t="s">
        <v>44</v>
      </c>
      <c r="B30" s="13">
        <v>204</v>
      </c>
      <c r="C30" s="13">
        <v>417</v>
      </c>
      <c r="D30" s="13">
        <v>327</v>
      </c>
      <c r="E30" s="13">
        <v>724</v>
      </c>
      <c r="F30" s="13">
        <v>563</v>
      </c>
      <c r="G30" s="13">
        <v>1140</v>
      </c>
      <c r="H30" s="13">
        <v>956</v>
      </c>
      <c r="I30" s="13">
        <v>2209</v>
      </c>
      <c r="J30" s="13">
        <v>1682</v>
      </c>
      <c r="K30" s="13">
        <v>2186</v>
      </c>
      <c r="L30" s="14"/>
    </row>
    <row r="31" spans="1:12" x14ac:dyDescent="0.2">
      <c r="A31" s="7" t="s">
        <v>45</v>
      </c>
      <c r="B31" s="19">
        <v>-136</v>
      </c>
      <c r="C31" s="8">
        <v>302</v>
      </c>
      <c r="D31" s="8">
        <v>85</v>
      </c>
      <c r="E31" s="19">
        <v>-228</v>
      </c>
      <c r="F31" s="8">
        <v>570</v>
      </c>
      <c r="G31" s="8">
        <v>922</v>
      </c>
      <c r="H31" s="19">
        <v>-341</v>
      </c>
      <c r="I31" s="19">
        <v>-23</v>
      </c>
      <c r="J31" s="19">
        <v>-7988</v>
      </c>
      <c r="K31" s="19">
        <v>-6003</v>
      </c>
      <c r="L31" s="11"/>
    </row>
    <row r="32" spans="1:12" x14ac:dyDescent="0.2">
      <c r="A32" s="15" t="s">
        <v>46</v>
      </c>
      <c r="B32" s="16">
        <v>-180</v>
      </c>
      <c r="C32" s="16">
        <v>-221</v>
      </c>
      <c r="D32" s="16">
        <v>-331</v>
      </c>
      <c r="E32" s="13">
        <v>199</v>
      </c>
      <c r="F32" s="16">
        <v>-129</v>
      </c>
      <c r="G32" s="16">
        <v>-126</v>
      </c>
      <c r="H32" s="16">
        <v>-213</v>
      </c>
      <c r="I32" s="16">
        <v>-287</v>
      </c>
      <c r="J32" s="16">
        <v>-160</v>
      </c>
      <c r="K32" s="13">
        <v>127</v>
      </c>
      <c r="L32" s="14"/>
    </row>
    <row r="33" spans="1:12" x14ac:dyDescent="0.2">
      <c r="A33" s="20" t="s">
        <v>47</v>
      </c>
      <c r="B33" s="8">
        <v>37</v>
      </c>
      <c r="C33" s="19">
        <v>-22</v>
      </c>
      <c r="D33" s="19">
        <v>-96</v>
      </c>
      <c r="E33" s="19">
        <v>-4</v>
      </c>
      <c r="F33" s="8">
        <v>9</v>
      </c>
      <c r="G33" s="19">
        <v>-14</v>
      </c>
      <c r="H33" s="8">
        <v>16</v>
      </c>
      <c r="I33" s="8">
        <v>4</v>
      </c>
      <c r="J33" s="19">
        <v>-3</v>
      </c>
      <c r="K33" s="19">
        <v>-12</v>
      </c>
      <c r="L33" s="19">
        <v>-82</v>
      </c>
    </row>
    <row r="34" spans="1:12" x14ac:dyDescent="0.2">
      <c r="A34" s="14" t="s">
        <v>48</v>
      </c>
      <c r="B34" s="16">
        <v>-241</v>
      </c>
      <c r="C34" s="13">
        <v>596</v>
      </c>
      <c r="D34" s="13">
        <v>2371</v>
      </c>
      <c r="E34" s="13">
        <v>3033</v>
      </c>
      <c r="F34" s="13">
        <v>10073</v>
      </c>
      <c r="G34" s="13">
        <v>11588</v>
      </c>
      <c r="H34" s="13">
        <v>21331</v>
      </c>
      <c r="I34" s="13">
        <v>33364</v>
      </c>
      <c r="J34" s="16">
        <v>-2722</v>
      </c>
      <c r="K34" s="13">
        <v>30425</v>
      </c>
      <c r="L34" s="13">
        <v>44419</v>
      </c>
    </row>
    <row r="35" spans="1:12" x14ac:dyDescent="0.2">
      <c r="A35" s="3" t="s">
        <v>49</v>
      </c>
      <c r="B35" s="4">
        <v>-241</v>
      </c>
      <c r="C35" s="4">
        <v>596</v>
      </c>
      <c r="D35" s="4">
        <v>2371</v>
      </c>
      <c r="E35" s="4">
        <v>3033</v>
      </c>
      <c r="F35" s="4">
        <v>10073</v>
      </c>
      <c r="G35" s="4">
        <v>11588</v>
      </c>
      <c r="H35" s="4">
        <v>21331</v>
      </c>
      <c r="I35" s="4">
        <v>33364</v>
      </c>
      <c r="J35" s="4">
        <v>-2722</v>
      </c>
      <c r="K35" s="4">
        <v>30425</v>
      </c>
      <c r="L35" s="4">
        <v>44419</v>
      </c>
    </row>
    <row r="36" spans="1:12" x14ac:dyDescent="0.2">
      <c r="A36" s="21" t="s">
        <v>50</v>
      </c>
      <c r="B36" s="16">
        <v>-241</v>
      </c>
      <c r="C36" s="13">
        <v>596</v>
      </c>
      <c r="D36" s="13">
        <v>2371</v>
      </c>
      <c r="E36" s="13">
        <v>3033</v>
      </c>
      <c r="F36" s="13">
        <v>10073</v>
      </c>
      <c r="G36" s="13">
        <v>11588</v>
      </c>
      <c r="H36" s="13">
        <v>21331</v>
      </c>
      <c r="I36" s="13">
        <v>33364</v>
      </c>
      <c r="J36" s="16">
        <v>-2722</v>
      </c>
      <c r="K36" s="13">
        <v>30425</v>
      </c>
      <c r="L36" s="13">
        <v>44419</v>
      </c>
    </row>
    <row r="37" spans="1:12" x14ac:dyDescent="0.2">
      <c r="A37" s="3" t="s">
        <v>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21" t="s">
        <v>52</v>
      </c>
      <c r="B38" s="22">
        <v>-2.6082000000000001E-2</v>
      </c>
      <c r="C38" s="23">
        <v>6.2474000000000002E-2</v>
      </c>
      <c r="D38" s="23">
        <v>0.240093</v>
      </c>
      <c r="E38" s="23">
        <v>0.29986800000000002</v>
      </c>
      <c r="F38" s="23">
        <v>1.01647</v>
      </c>
      <c r="G38" s="23">
        <v>1.1488389999999999</v>
      </c>
      <c r="H38" s="23">
        <v>1.9883329999999999</v>
      </c>
      <c r="I38" s="23">
        <v>2.3665340000000001</v>
      </c>
      <c r="J38" s="23">
        <v>0.83221100000000003</v>
      </c>
      <c r="K38" s="23">
        <v>2.8324440000000002</v>
      </c>
      <c r="L38" s="23">
        <v>4.2137089999999997</v>
      </c>
    </row>
    <row r="39" spans="1:12" x14ac:dyDescent="0.2">
      <c r="A39" s="17" t="s">
        <v>53</v>
      </c>
      <c r="B39" s="24">
        <v>-2.5999999999999999E-2</v>
      </c>
      <c r="C39" s="24">
        <v>6.4000000000000001E-2</v>
      </c>
      <c r="D39" s="24">
        <v>0.25009999999999999</v>
      </c>
      <c r="E39" s="24">
        <v>0.316</v>
      </c>
      <c r="F39" s="24">
        <v>1.034</v>
      </c>
      <c r="G39" s="24">
        <v>1.1729000000000001</v>
      </c>
      <c r="H39" s="24">
        <v>2.1331000000000002</v>
      </c>
      <c r="I39" s="24">
        <v>3.2968000000000002</v>
      </c>
      <c r="J39" s="24">
        <v>-0.26719999999999999</v>
      </c>
      <c r="K39" s="24">
        <v>2.9527000000000001</v>
      </c>
      <c r="L39" s="24">
        <v>4.2774000000000001</v>
      </c>
    </row>
    <row r="40" spans="1:12" x14ac:dyDescent="0.2">
      <c r="A40" s="15" t="s">
        <v>54</v>
      </c>
      <c r="B40" s="23">
        <v>9240</v>
      </c>
      <c r="C40" s="23">
        <v>9340</v>
      </c>
      <c r="D40" s="23">
        <v>9480</v>
      </c>
      <c r="E40" s="23">
        <v>9600</v>
      </c>
      <c r="F40" s="23">
        <v>9740</v>
      </c>
      <c r="G40" s="23">
        <v>9880</v>
      </c>
      <c r="H40" s="23">
        <v>10000</v>
      </c>
      <c r="I40" s="23">
        <v>10120</v>
      </c>
      <c r="J40" s="23">
        <v>10189</v>
      </c>
      <c r="K40" s="23">
        <v>10304</v>
      </c>
      <c r="L40" s="23">
        <v>10447</v>
      </c>
    </row>
    <row r="41" spans="1:12" x14ac:dyDescent="0.2">
      <c r="A41" s="7" t="s">
        <v>55</v>
      </c>
      <c r="B41" s="25">
        <v>9300</v>
      </c>
      <c r="C41" s="25">
        <v>9420</v>
      </c>
      <c r="D41" s="25">
        <v>9540</v>
      </c>
      <c r="E41" s="25">
        <v>9680</v>
      </c>
      <c r="F41" s="25">
        <v>9820</v>
      </c>
      <c r="G41" s="25">
        <v>9960</v>
      </c>
      <c r="H41" s="25">
        <v>10060</v>
      </c>
      <c r="I41" s="25">
        <v>10180</v>
      </c>
      <c r="J41" s="25">
        <v>10242</v>
      </c>
      <c r="K41" s="25">
        <v>10383</v>
      </c>
      <c r="L41" s="25">
        <v>10490</v>
      </c>
    </row>
    <row r="42" spans="1:12" x14ac:dyDescent="0.2">
      <c r="A42" s="5" t="s">
        <v>56</v>
      </c>
      <c r="B42" s="26">
        <v>-2.5999999999999999E-2</v>
      </c>
      <c r="C42" s="26">
        <v>6.25E-2</v>
      </c>
      <c r="D42" s="26">
        <v>0.245</v>
      </c>
      <c r="E42" s="26">
        <v>0.3075</v>
      </c>
      <c r="F42" s="26">
        <v>1.0073000000000001</v>
      </c>
      <c r="G42" s="26">
        <v>1.1496</v>
      </c>
      <c r="H42" s="26">
        <v>2.0912999999999999</v>
      </c>
      <c r="I42" s="26">
        <v>3.2391999999999999</v>
      </c>
      <c r="J42" s="26">
        <v>-0.26719999999999999</v>
      </c>
      <c r="K42" s="26">
        <v>2.8997999999999999</v>
      </c>
      <c r="L42" s="26">
        <v>4.1738999999999997</v>
      </c>
    </row>
    <row r="43" spans="1:12" x14ac:dyDescent="0.2">
      <c r="A43" s="7" t="s">
        <v>57</v>
      </c>
      <c r="B43" s="25">
        <v>9240</v>
      </c>
      <c r="C43" s="25">
        <v>9540</v>
      </c>
      <c r="D43" s="25">
        <v>9680</v>
      </c>
      <c r="E43" s="25">
        <v>9860</v>
      </c>
      <c r="F43" s="25">
        <v>10000</v>
      </c>
      <c r="G43" s="25">
        <v>10080</v>
      </c>
      <c r="H43" s="25">
        <v>10200</v>
      </c>
      <c r="I43" s="25">
        <v>10300</v>
      </c>
      <c r="J43" s="25">
        <v>10189</v>
      </c>
      <c r="K43" s="25">
        <v>10492</v>
      </c>
      <c r="L43" s="25">
        <v>10708</v>
      </c>
    </row>
    <row r="44" spans="1:12" x14ac:dyDescent="0.2">
      <c r="A44" s="15" t="s">
        <v>55</v>
      </c>
      <c r="B44" s="23">
        <v>9300</v>
      </c>
      <c r="C44" s="23">
        <v>9420</v>
      </c>
      <c r="D44" s="23">
        <v>9540</v>
      </c>
      <c r="E44" s="23">
        <v>9680</v>
      </c>
      <c r="F44" s="23">
        <v>9820</v>
      </c>
      <c r="G44" s="23">
        <v>9960</v>
      </c>
      <c r="H44" s="23">
        <v>10060</v>
      </c>
      <c r="I44" s="23">
        <v>10180</v>
      </c>
      <c r="J44" s="23">
        <v>10242</v>
      </c>
      <c r="K44" s="23">
        <v>10383</v>
      </c>
      <c r="L44" s="23">
        <v>10490</v>
      </c>
    </row>
    <row r="45" spans="1:12" x14ac:dyDescent="0.2">
      <c r="A45" s="20" t="s">
        <v>58</v>
      </c>
      <c r="B45" s="25">
        <v>63.042000000000002</v>
      </c>
      <c r="C45" s="25">
        <v>70.867999999999995</v>
      </c>
      <c r="D45" s="25">
        <v>74.055000000000007</v>
      </c>
      <c r="E45" s="25">
        <v>57.155000000000001</v>
      </c>
      <c r="F45" s="25">
        <v>76.614000000000004</v>
      </c>
      <c r="G45" s="25">
        <v>74.36</v>
      </c>
      <c r="H45" s="25">
        <v>77.337999999999994</v>
      </c>
      <c r="I45" s="25">
        <v>68.89</v>
      </c>
      <c r="J45" s="25">
        <v>79.504000000000005</v>
      </c>
      <c r="K45" s="25">
        <v>85.314999999999998</v>
      </c>
      <c r="L45" s="11"/>
    </row>
    <row r="46" spans="1:12" x14ac:dyDescent="0.2">
      <c r="A46" s="18" t="s">
        <v>59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17" t="s">
        <v>59</v>
      </c>
      <c r="B47" s="4">
        <v>3533</v>
      </c>
      <c r="C47" s="4">
        <v>6946</v>
      </c>
      <c r="D47" s="4">
        <v>10406</v>
      </c>
      <c r="E47" s="4">
        <v>12972</v>
      </c>
      <c r="F47" s="4">
        <v>28058</v>
      </c>
      <c r="G47" s="4">
        <v>36531</v>
      </c>
      <c r="H47" s="4">
        <v>48075</v>
      </c>
      <c r="I47" s="4">
        <v>59237</v>
      </c>
      <c r="J47" s="4">
        <v>55432</v>
      </c>
      <c r="K47" s="4">
        <v>86282</v>
      </c>
      <c r="L47" s="4">
        <v>104772</v>
      </c>
    </row>
    <row r="48" spans="1:12" x14ac:dyDescent="0.2">
      <c r="A48" s="15" t="s">
        <v>60</v>
      </c>
      <c r="B48" s="13">
        <v>311</v>
      </c>
      <c r="C48" s="13">
        <v>2404</v>
      </c>
      <c r="D48" s="13">
        <v>4353</v>
      </c>
      <c r="E48" s="13">
        <v>4320</v>
      </c>
      <c r="F48" s="13">
        <v>12717</v>
      </c>
      <c r="G48" s="13">
        <v>14742</v>
      </c>
      <c r="H48" s="13">
        <v>22824</v>
      </c>
      <c r="I48" s="13">
        <v>24941</v>
      </c>
      <c r="J48" s="13">
        <v>13511</v>
      </c>
      <c r="K48" s="13">
        <v>37619</v>
      </c>
      <c r="L48" s="13">
        <v>55099</v>
      </c>
    </row>
    <row r="49" spans="1:17" x14ac:dyDescent="0.2">
      <c r="A49" s="7" t="s">
        <v>24</v>
      </c>
      <c r="B49" s="8">
        <v>3222</v>
      </c>
      <c r="C49" s="8">
        <v>4542</v>
      </c>
      <c r="D49" s="8">
        <v>6053</v>
      </c>
      <c r="E49" s="8">
        <v>8652</v>
      </c>
      <c r="F49" s="8">
        <v>15341</v>
      </c>
      <c r="G49" s="8">
        <v>21789</v>
      </c>
      <c r="H49" s="8">
        <v>25251</v>
      </c>
      <c r="I49" s="8">
        <v>34296</v>
      </c>
      <c r="J49" s="8">
        <v>41921</v>
      </c>
      <c r="K49" s="8">
        <v>48663</v>
      </c>
      <c r="L49" s="8">
        <v>49673</v>
      </c>
    </row>
    <row r="50" spans="1:17" x14ac:dyDescent="0.2">
      <c r="A50" s="27" t="s">
        <v>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7" x14ac:dyDescent="0.2">
      <c r="A53" s="1" t="s">
        <v>176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2"/>
      <c r="B54" s="2" t="s">
        <v>105</v>
      </c>
      <c r="C54" s="2" t="s">
        <v>106</v>
      </c>
      <c r="D54" s="2" t="s">
        <v>107</v>
      </c>
      <c r="E54" s="2" t="s">
        <v>108</v>
      </c>
      <c r="F54" s="2" t="s">
        <v>109</v>
      </c>
      <c r="G54" s="2" t="s">
        <v>110</v>
      </c>
      <c r="H54" s="2" t="s">
        <v>111</v>
      </c>
      <c r="I54" s="2" t="s">
        <v>112</v>
      </c>
      <c r="J54" s="2" t="s">
        <v>113</v>
      </c>
      <c r="K54" s="2" t="s">
        <v>114</v>
      </c>
      <c r="L54" s="2" t="s">
        <v>115</v>
      </c>
      <c r="M54" s="2" t="s">
        <v>116</v>
      </c>
      <c r="N54" s="2" t="s">
        <v>117</v>
      </c>
      <c r="O54" s="2" t="s">
        <v>118</v>
      </c>
      <c r="P54" s="2" t="s">
        <v>119</v>
      </c>
      <c r="Q54" s="2" t="s">
        <v>120</v>
      </c>
    </row>
    <row r="55" spans="1:17" x14ac:dyDescent="0.2">
      <c r="A55" s="2"/>
      <c r="B55" s="2" t="s">
        <v>121</v>
      </c>
      <c r="C55" s="2" t="s">
        <v>122</v>
      </c>
      <c r="D55" s="2" t="s">
        <v>123</v>
      </c>
      <c r="E55" s="2" t="s">
        <v>124</v>
      </c>
      <c r="F55" s="2" t="s">
        <v>125</v>
      </c>
      <c r="G55" s="2" t="s">
        <v>126</v>
      </c>
      <c r="H55" s="2" t="s">
        <v>127</v>
      </c>
      <c r="I55" s="2" t="s">
        <v>128</v>
      </c>
      <c r="J55" s="2" t="s">
        <v>129</v>
      </c>
      <c r="K55" s="2" t="s">
        <v>130</v>
      </c>
      <c r="L55" s="2" t="s">
        <v>131</v>
      </c>
      <c r="M55" s="2" t="s">
        <v>132</v>
      </c>
      <c r="N55" s="2" t="s">
        <v>133</v>
      </c>
      <c r="O55" s="2" t="s">
        <v>134</v>
      </c>
      <c r="P55" s="2" t="s">
        <v>135</v>
      </c>
      <c r="Q55" s="2" t="s">
        <v>136</v>
      </c>
    </row>
    <row r="56" spans="1:17" x14ac:dyDescent="0.2">
      <c r="A56" s="42" t="s">
        <v>21</v>
      </c>
      <c r="B56" s="43">
        <v>88988</v>
      </c>
      <c r="C56" s="43">
        <v>107006</v>
      </c>
      <c r="D56" s="43">
        <v>135987</v>
      </c>
      <c r="E56" s="43">
        <v>177866</v>
      </c>
      <c r="F56" s="43">
        <v>232887</v>
      </c>
      <c r="G56" s="43">
        <v>280522</v>
      </c>
      <c r="H56" s="43">
        <v>386064</v>
      </c>
      <c r="I56" s="43">
        <v>469822</v>
      </c>
      <c r="J56" s="43">
        <v>513983</v>
      </c>
      <c r="K56" s="43">
        <v>574785</v>
      </c>
      <c r="L56" s="43">
        <v>635548</v>
      </c>
      <c r="M56" s="43">
        <v>704509</v>
      </c>
      <c r="N56" s="43">
        <v>779688</v>
      </c>
      <c r="O56" s="43">
        <v>858282</v>
      </c>
      <c r="P56" s="43">
        <v>942468</v>
      </c>
      <c r="Q56" s="43">
        <v>1029190</v>
      </c>
    </row>
    <row r="57" spans="1:17" x14ac:dyDescent="0.2">
      <c r="A57" s="11" t="s">
        <v>151</v>
      </c>
      <c r="B57" s="8">
        <v>55469</v>
      </c>
      <c r="C57" s="8">
        <v>63708</v>
      </c>
      <c r="D57" s="8">
        <v>79785</v>
      </c>
      <c r="E57" s="8">
        <v>106110</v>
      </c>
      <c r="F57" s="8">
        <v>141366</v>
      </c>
      <c r="G57" s="8">
        <v>170773</v>
      </c>
      <c r="H57" s="8">
        <v>236282</v>
      </c>
      <c r="I57" s="8">
        <v>279833</v>
      </c>
      <c r="J57" s="8">
        <v>315880</v>
      </c>
      <c r="K57" s="8">
        <v>352828</v>
      </c>
      <c r="L57" s="8">
        <v>386647</v>
      </c>
      <c r="M57" s="8">
        <v>423461</v>
      </c>
      <c r="N57" s="8">
        <v>461471</v>
      </c>
      <c r="O57" s="8">
        <v>497416</v>
      </c>
      <c r="P57" s="8">
        <v>546306</v>
      </c>
      <c r="Q57" s="8">
        <v>590847</v>
      </c>
    </row>
    <row r="58" spans="1:17" x14ac:dyDescent="0.2">
      <c r="A58" s="44" t="s">
        <v>177</v>
      </c>
      <c r="B58" s="45" t="s">
        <v>138</v>
      </c>
      <c r="C58" s="45" t="s">
        <v>138</v>
      </c>
      <c r="D58" s="13">
        <v>1318</v>
      </c>
      <c r="E58" s="45" t="s">
        <v>138</v>
      </c>
      <c r="F58" s="45" t="s">
        <v>138</v>
      </c>
      <c r="G58" s="45" t="s">
        <v>138</v>
      </c>
      <c r="H58" s="45" t="s">
        <v>138</v>
      </c>
      <c r="I58" s="45" t="s">
        <v>138</v>
      </c>
      <c r="J58" s="13">
        <v>4247</v>
      </c>
      <c r="K58" s="45" t="s">
        <v>138</v>
      </c>
      <c r="L58" s="13">
        <v>5380</v>
      </c>
      <c r="M58" s="45" t="s">
        <v>138</v>
      </c>
      <c r="N58" s="45" t="s">
        <v>138</v>
      </c>
      <c r="O58" s="45" t="s">
        <v>138</v>
      </c>
      <c r="P58" s="45" t="s">
        <v>138</v>
      </c>
      <c r="Q58" s="45" t="s">
        <v>138</v>
      </c>
    </row>
    <row r="59" spans="1:17" x14ac:dyDescent="0.2">
      <c r="A59" s="14" t="s">
        <v>154</v>
      </c>
      <c r="B59" s="13">
        <v>33519</v>
      </c>
      <c r="C59" s="13">
        <v>35418</v>
      </c>
      <c r="D59" s="13">
        <v>43983</v>
      </c>
      <c r="E59" s="13">
        <v>54297</v>
      </c>
      <c r="F59" s="13">
        <v>65866</v>
      </c>
      <c r="G59" s="13">
        <v>74723</v>
      </c>
      <c r="H59" s="13">
        <v>104412</v>
      </c>
      <c r="I59" s="13">
        <v>127787</v>
      </c>
      <c r="J59" s="13">
        <v>118007</v>
      </c>
      <c r="K59" s="13">
        <v>131200</v>
      </c>
      <c r="L59" s="13">
        <v>141444</v>
      </c>
      <c r="M59" s="13">
        <v>154680</v>
      </c>
      <c r="N59" s="13">
        <v>171709</v>
      </c>
      <c r="O59" s="13">
        <v>192631</v>
      </c>
      <c r="P59" s="13">
        <v>199416</v>
      </c>
      <c r="Q59" s="13">
        <v>215930</v>
      </c>
    </row>
    <row r="60" spans="1:17" x14ac:dyDescent="0.2">
      <c r="A60" s="11" t="s">
        <v>178</v>
      </c>
      <c r="B60" s="8" t="s">
        <v>138</v>
      </c>
      <c r="C60" s="8">
        <v>7880</v>
      </c>
      <c r="D60" s="8">
        <v>12219</v>
      </c>
      <c r="E60" s="8">
        <v>17459</v>
      </c>
      <c r="F60" s="8">
        <v>25655</v>
      </c>
      <c r="G60" s="8">
        <v>35026</v>
      </c>
      <c r="H60" s="8">
        <v>45370</v>
      </c>
      <c r="I60" s="8">
        <v>62202</v>
      </c>
      <c r="J60" s="8">
        <v>80096</v>
      </c>
      <c r="K60" s="8">
        <v>90757</v>
      </c>
      <c r="L60" s="8">
        <v>107555</v>
      </c>
      <c r="M60" s="8">
        <v>127628</v>
      </c>
      <c r="N60" s="8">
        <v>151647</v>
      </c>
      <c r="O60" s="8">
        <v>176580</v>
      </c>
      <c r="P60" s="8">
        <v>208724</v>
      </c>
      <c r="Q60" s="8">
        <v>249139</v>
      </c>
    </row>
    <row r="61" spans="1:17" x14ac:dyDescent="0.2">
      <c r="A61" s="14"/>
      <c r="B61" s="4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">
      <c r="A62" s="46" t="s">
        <v>179</v>
      </c>
      <c r="B62" s="47">
        <v>178</v>
      </c>
      <c r="C62" s="47">
        <v>2233</v>
      </c>
      <c r="D62" s="47">
        <v>4186</v>
      </c>
      <c r="E62" s="47">
        <v>4106</v>
      </c>
      <c r="F62" s="47">
        <v>12421</v>
      </c>
      <c r="G62" s="47">
        <v>14541</v>
      </c>
      <c r="H62" s="47">
        <v>22899</v>
      </c>
      <c r="I62" s="47">
        <v>24879</v>
      </c>
      <c r="J62" s="47">
        <v>12248</v>
      </c>
      <c r="K62" s="47">
        <v>36852</v>
      </c>
      <c r="L62" s="47">
        <v>62364.9</v>
      </c>
      <c r="M62" s="47">
        <v>76519.399999999994</v>
      </c>
      <c r="N62" s="47">
        <v>95065</v>
      </c>
      <c r="O62" s="47">
        <v>119029</v>
      </c>
      <c r="P62" s="47">
        <v>143146</v>
      </c>
      <c r="Q62" s="47">
        <v>174540</v>
      </c>
    </row>
    <row r="63" spans="1:17" x14ac:dyDescent="0.2">
      <c r="A63" s="14" t="s">
        <v>151</v>
      </c>
      <c r="B63" s="13">
        <v>2105</v>
      </c>
      <c r="C63" s="13">
        <v>2751</v>
      </c>
      <c r="D63" s="13">
        <v>4099</v>
      </c>
      <c r="E63" s="13">
        <v>2837</v>
      </c>
      <c r="F63" s="13">
        <v>7267</v>
      </c>
      <c r="G63" s="13">
        <v>7033</v>
      </c>
      <c r="H63" s="13">
        <v>8651</v>
      </c>
      <c r="I63" s="13">
        <v>7271</v>
      </c>
      <c r="J63" s="16">
        <v>-2847</v>
      </c>
      <c r="K63" s="13">
        <v>14877</v>
      </c>
      <c r="L63" s="13">
        <v>23233.5</v>
      </c>
      <c r="M63" s="13">
        <v>31059.3</v>
      </c>
      <c r="N63" s="13">
        <v>34190</v>
      </c>
      <c r="O63" s="45" t="s">
        <v>138</v>
      </c>
      <c r="P63" s="45" t="s">
        <v>138</v>
      </c>
      <c r="Q63" s="45" t="s">
        <v>138</v>
      </c>
    </row>
    <row r="64" spans="1:17" x14ac:dyDescent="0.2">
      <c r="A64" s="48" t="s">
        <v>180</v>
      </c>
      <c r="B64" s="49" t="s">
        <v>138</v>
      </c>
      <c r="C64" s="49" t="s">
        <v>138</v>
      </c>
      <c r="D64" s="49" t="s">
        <v>138</v>
      </c>
      <c r="E64" s="49" t="s">
        <v>138</v>
      </c>
      <c r="F64" s="49" t="s">
        <v>138</v>
      </c>
      <c r="G64" s="49" t="s">
        <v>138</v>
      </c>
      <c r="H64" s="49" t="s">
        <v>138</v>
      </c>
      <c r="I64" s="49" t="s">
        <v>138</v>
      </c>
      <c r="J64" s="19">
        <v>-2847</v>
      </c>
      <c r="K64" s="49" t="s">
        <v>138</v>
      </c>
      <c r="L64" s="49" t="s">
        <v>138</v>
      </c>
      <c r="M64" s="49" t="s">
        <v>138</v>
      </c>
      <c r="N64" s="49" t="s">
        <v>138</v>
      </c>
      <c r="O64" s="49" t="s">
        <v>138</v>
      </c>
      <c r="P64" s="49" t="s">
        <v>138</v>
      </c>
      <c r="Q64" s="49" t="s">
        <v>138</v>
      </c>
    </row>
    <row r="65" spans="1:17" x14ac:dyDescent="0.2">
      <c r="A65" s="11" t="s">
        <v>154</v>
      </c>
      <c r="B65" s="49">
        <v>-297</v>
      </c>
      <c r="C65" s="8">
        <v>-91</v>
      </c>
      <c r="D65" s="8">
        <v>-477</v>
      </c>
      <c r="E65" s="8">
        <v>-3062</v>
      </c>
      <c r="F65" s="8">
        <v>-2142</v>
      </c>
      <c r="G65" s="8">
        <v>-1693</v>
      </c>
      <c r="H65" s="8">
        <v>717</v>
      </c>
      <c r="I65" s="8">
        <v>-924</v>
      </c>
      <c r="J65" s="8">
        <v>-7746</v>
      </c>
      <c r="K65" s="8">
        <v>-2656</v>
      </c>
      <c r="L65" s="8">
        <v>1765.17</v>
      </c>
      <c r="M65" s="8">
        <v>3899.91</v>
      </c>
      <c r="N65" s="8">
        <v>9726</v>
      </c>
      <c r="O65" s="8" t="s">
        <v>138</v>
      </c>
      <c r="P65" s="8" t="s">
        <v>138</v>
      </c>
      <c r="Q65" s="8" t="s">
        <v>138</v>
      </c>
    </row>
    <row r="66" spans="1:17" x14ac:dyDescent="0.2">
      <c r="A66" s="14" t="s">
        <v>178</v>
      </c>
      <c r="B66" s="13" t="s">
        <v>138</v>
      </c>
      <c r="C66" s="13">
        <v>1863</v>
      </c>
      <c r="D66" s="13">
        <v>3706</v>
      </c>
      <c r="E66" s="13">
        <v>4331</v>
      </c>
      <c r="F66" s="13">
        <v>7296</v>
      </c>
      <c r="G66" s="13">
        <v>9201</v>
      </c>
      <c r="H66" s="13">
        <v>13531</v>
      </c>
      <c r="I66" s="13">
        <v>18532</v>
      </c>
      <c r="J66" s="16">
        <v>22841</v>
      </c>
      <c r="K66" s="13">
        <v>24631</v>
      </c>
      <c r="L66" s="13">
        <v>37271.5</v>
      </c>
      <c r="M66" s="13">
        <v>42816.2</v>
      </c>
      <c r="N66" s="13">
        <v>53907.1</v>
      </c>
      <c r="O66" s="45">
        <v>70418.5</v>
      </c>
      <c r="P66" s="45">
        <v>85067.5</v>
      </c>
      <c r="Q66" s="45">
        <v>102298</v>
      </c>
    </row>
    <row r="67" spans="1:17" x14ac:dyDescent="0.2">
      <c r="A67" s="14" t="s">
        <v>181</v>
      </c>
      <c r="B67" s="45" t="s">
        <v>138</v>
      </c>
      <c r="C67" s="45" t="s">
        <v>138</v>
      </c>
      <c r="D67" s="45" t="s">
        <v>138</v>
      </c>
      <c r="E67" s="45" t="s">
        <v>138</v>
      </c>
      <c r="F67" s="45" t="s">
        <v>138</v>
      </c>
      <c r="G67" s="45" t="s">
        <v>138</v>
      </c>
      <c r="H67" s="45" t="s">
        <v>138</v>
      </c>
      <c r="I67" s="13">
        <v>495.17500000000001</v>
      </c>
      <c r="J67" s="13">
        <v>568.89</v>
      </c>
      <c r="K67" s="45" t="s">
        <v>138</v>
      </c>
      <c r="L67" s="45" t="s">
        <v>138</v>
      </c>
      <c r="M67" s="45" t="s">
        <v>138</v>
      </c>
      <c r="N67" s="45" t="s">
        <v>138</v>
      </c>
      <c r="O67" s="45" t="s">
        <v>138</v>
      </c>
      <c r="P67" s="45" t="s">
        <v>138</v>
      </c>
      <c r="Q67" s="45" t="s">
        <v>138</v>
      </c>
    </row>
    <row r="68" spans="1:17" x14ac:dyDescent="0.2">
      <c r="A68" s="14"/>
      <c r="B68" s="45"/>
      <c r="C68" s="45"/>
      <c r="D68" s="45"/>
      <c r="E68" s="45"/>
      <c r="F68" s="45"/>
      <c r="G68" s="45"/>
      <c r="H68" s="45"/>
      <c r="I68" s="13"/>
      <c r="J68" s="13"/>
      <c r="K68" s="45"/>
      <c r="L68" s="45"/>
      <c r="M68" s="45"/>
      <c r="N68" s="45"/>
      <c r="O68" s="45"/>
      <c r="P68" s="45"/>
      <c r="Q68" s="45"/>
    </row>
    <row r="69" spans="1:17" x14ac:dyDescent="0.2">
      <c r="A69" s="46" t="s">
        <v>59</v>
      </c>
      <c r="B69" s="47">
        <v>6553</v>
      </c>
      <c r="C69" s="47">
        <v>10805</v>
      </c>
      <c r="D69" s="47">
        <v>15440</v>
      </c>
      <c r="E69" s="47">
        <v>20007</v>
      </c>
      <c r="F69" s="47">
        <v>33476</v>
      </c>
      <c r="G69" s="47">
        <v>43245</v>
      </c>
      <c r="H69" s="47">
        <v>57284</v>
      </c>
      <c r="I69" s="47">
        <v>71994</v>
      </c>
      <c r="J69" s="47">
        <v>73836</v>
      </c>
      <c r="K69" s="47">
        <v>109538</v>
      </c>
      <c r="L69" s="47">
        <v>137679</v>
      </c>
      <c r="M69" s="47">
        <v>159786</v>
      </c>
      <c r="N69" s="47">
        <v>184965</v>
      </c>
      <c r="O69" s="47">
        <v>217623</v>
      </c>
      <c r="P69" s="47">
        <v>248736</v>
      </c>
      <c r="Q69" s="47">
        <v>289356</v>
      </c>
    </row>
    <row r="70" spans="1:17" x14ac:dyDescent="0.2">
      <c r="A70" s="14" t="s">
        <v>151</v>
      </c>
      <c r="B70" s="45" t="s">
        <v>138</v>
      </c>
      <c r="C70" s="45" t="s">
        <v>138</v>
      </c>
      <c r="D70" s="45" t="s">
        <v>138</v>
      </c>
      <c r="E70" s="13">
        <v>7463</v>
      </c>
      <c r="F70" s="13">
        <v>13492</v>
      </c>
      <c r="G70" s="13">
        <v>16504</v>
      </c>
      <c r="H70" s="13">
        <v>17413</v>
      </c>
      <c r="I70" s="13">
        <v>22762</v>
      </c>
      <c r="J70" s="13">
        <v>17894</v>
      </c>
      <c r="K70" s="13">
        <v>41189</v>
      </c>
      <c r="L70" s="13">
        <v>47377</v>
      </c>
      <c r="M70" s="13">
        <v>53874</v>
      </c>
      <c r="N70" s="45" t="s">
        <v>138</v>
      </c>
      <c r="O70" s="45" t="s">
        <v>138</v>
      </c>
      <c r="P70" s="45" t="s">
        <v>138</v>
      </c>
      <c r="Q70" s="45" t="s">
        <v>138</v>
      </c>
    </row>
    <row r="71" spans="1:17" x14ac:dyDescent="0.2">
      <c r="A71" s="11" t="s">
        <v>154</v>
      </c>
      <c r="B71" s="49" t="s">
        <v>138</v>
      </c>
      <c r="C71" s="49" t="s">
        <v>138</v>
      </c>
      <c r="D71" s="49" t="s">
        <v>138</v>
      </c>
      <c r="E71" s="8">
        <v>1945</v>
      </c>
      <c r="F71" s="49" t="s">
        <v>138</v>
      </c>
      <c r="G71" s="8">
        <v>5921</v>
      </c>
      <c r="H71" s="8">
        <v>7269</v>
      </c>
      <c r="I71" s="8">
        <v>14485</v>
      </c>
      <c r="J71" s="8">
        <v>14198</v>
      </c>
      <c r="K71" s="8">
        <v>16832</v>
      </c>
      <c r="L71" s="8">
        <v>25226</v>
      </c>
      <c r="M71" s="8">
        <v>28198</v>
      </c>
      <c r="N71" s="49" t="s">
        <v>138</v>
      </c>
      <c r="O71" s="49" t="s">
        <v>138</v>
      </c>
      <c r="P71" s="49" t="s">
        <v>138</v>
      </c>
      <c r="Q71" s="49" t="s">
        <v>138</v>
      </c>
    </row>
    <row r="72" spans="1:17" x14ac:dyDescent="0.2">
      <c r="A72" s="14" t="s">
        <v>178</v>
      </c>
      <c r="B72" s="45" t="s">
        <v>138</v>
      </c>
      <c r="C72" s="45" t="s">
        <v>138</v>
      </c>
      <c r="D72" s="45" t="s">
        <v>138</v>
      </c>
      <c r="E72" s="13">
        <v>9128</v>
      </c>
      <c r="F72" s="13">
        <v>14189</v>
      </c>
      <c r="G72" s="13">
        <v>18239.599999999999</v>
      </c>
      <c r="H72" s="13">
        <v>22953.5</v>
      </c>
      <c r="I72" s="13">
        <v>31239</v>
      </c>
      <c r="J72" s="13">
        <v>37506</v>
      </c>
      <c r="K72" s="13">
        <v>46916</v>
      </c>
      <c r="L72" s="13">
        <v>65410.5</v>
      </c>
      <c r="M72" s="13">
        <v>76791.5</v>
      </c>
      <c r="N72" s="13">
        <v>99377</v>
      </c>
      <c r="O72" s="13">
        <v>118602</v>
      </c>
      <c r="P72" s="13">
        <v>140497</v>
      </c>
      <c r="Q72" s="13">
        <v>165221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031C-5B27-8F4C-B644-0B2C61131F49}">
  <dimension ref="B2:F14"/>
  <sheetViews>
    <sheetView workbookViewId="0">
      <selection activeCell="F6" sqref="F6"/>
    </sheetView>
  </sheetViews>
  <sheetFormatPr baseColWidth="10" defaultRowHeight="16" x14ac:dyDescent="0.2"/>
  <cols>
    <col min="3" max="3" width="39.1640625" bestFit="1" customWidth="1"/>
  </cols>
  <sheetData>
    <row r="2" spans="2:6" x14ac:dyDescent="0.2">
      <c r="B2" s="78"/>
      <c r="C2" s="79"/>
    </row>
    <row r="3" spans="2:6" x14ac:dyDescent="0.2">
      <c r="B3" s="78" t="s">
        <v>204</v>
      </c>
      <c r="C3" s="80" t="s">
        <v>205</v>
      </c>
      <c r="D3" s="81"/>
      <c r="E3" s="81"/>
      <c r="F3" s="81"/>
    </row>
    <row r="4" spans="2:6" x14ac:dyDescent="0.2">
      <c r="B4" s="78"/>
      <c r="C4" s="82"/>
      <c r="D4" s="83"/>
      <c r="E4" s="83"/>
      <c r="F4" s="83"/>
    </row>
    <row r="5" spans="2:6" x14ac:dyDescent="0.2">
      <c r="B5" s="78"/>
      <c r="C5" s="84" t="s">
        <v>206</v>
      </c>
      <c r="F5" s="85">
        <v>178.5</v>
      </c>
    </row>
    <row r="6" spans="2:6" x14ac:dyDescent="0.2">
      <c r="B6" s="78"/>
      <c r="C6" s="86" t="s">
        <v>207</v>
      </c>
      <c r="F6" s="87">
        <v>10495.566881000001</v>
      </c>
    </row>
    <row r="7" spans="2:6" x14ac:dyDescent="0.2">
      <c r="B7" s="78"/>
      <c r="C7" s="84" t="s">
        <v>208</v>
      </c>
      <c r="F7" s="88">
        <f>F29</f>
        <v>0</v>
      </c>
    </row>
    <row r="8" spans="2:6" x14ac:dyDescent="0.2">
      <c r="B8" s="78"/>
      <c r="C8" s="84" t="s">
        <v>209</v>
      </c>
      <c r="F8" s="89">
        <f>SUMPRODUCT(E18:E27,F18:F27)</f>
        <v>0</v>
      </c>
    </row>
    <row r="9" spans="2:6" x14ac:dyDescent="0.2">
      <c r="B9" s="78"/>
      <c r="C9" s="84" t="s">
        <v>210</v>
      </c>
      <c r="F9" s="89">
        <f>F8/F5</f>
        <v>0</v>
      </c>
    </row>
    <row r="10" spans="2:6" x14ac:dyDescent="0.2">
      <c r="B10" s="78"/>
      <c r="C10" s="84" t="s">
        <v>211</v>
      </c>
      <c r="F10" s="89">
        <f>F7-F9</f>
        <v>0</v>
      </c>
    </row>
    <row r="11" spans="2:6" x14ac:dyDescent="0.2">
      <c r="B11" s="78"/>
      <c r="C11" s="84" t="s">
        <v>212</v>
      </c>
      <c r="F11" s="87">
        <v>380.5</v>
      </c>
    </row>
    <row r="12" spans="2:6" x14ac:dyDescent="0.2">
      <c r="B12" s="78"/>
      <c r="C12" s="84"/>
      <c r="F12" s="90"/>
    </row>
    <row r="13" spans="2:6" x14ac:dyDescent="0.2">
      <c r="B13" s="78"/>
      <c r="C13" s="91" t="s">
        <v>213</v>
      </c>
      <c r="E13" s="92"/>
      <c r="F13" s="93">
        <f>F6+F10+F11</f>
        <v>10876.066881000001</v>
      </c>
    </row>
    <row r="14" spans="2:6" x14ac:dyDescent="0.2">
      <c r="B14" s="78"/>
      <c r="C14" s="91"/>
      <c r="E14" s="92"/>
      <c r="F14" s="8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3878-4D08-CB44-9EBB-753E4A0D2857}">
  <dimension ref="B3:H21"/>
  <sheetViews>
    <sheetView workbookViewId="0">
      <selection activeCell="F7" sqref="F7"/>
    </sheetView>
  </sheetViews>
  <sheetFormatPr baseColWidth="10" defaultRowHeight="16" x14ac:dyDescent="0.2"/>
  <cols>
    <col min="7" max="7" width="12.6640625" bestFit="1" customWidth="1"/>
  </cols>
  <sheetData>
    <row r="3" spans="2:8" x14ac:dyDescent="0.2">
      <c r="B3" t="s">
        <v>189</v>
      </c>
    </row>
    <row r="4" spans="2:8" x14ac:dyDescent="0.2">
      <c r="B4" t="s">
        <v>190</v>
      </c>
    </row>
    <row r="6" spans="2:8" x14ac:dyDescent="0.2">
      <c r="B6" s="68" t="s">
        <v>147</v>
      </c>
      <c r="C6" s="69"/>
      <c r="D6" s="69"/>
      <c r="E6" s="69"/>
      <c r="F6" s="69"/>
    </row>
    <row r="7" spans="2:8" x14ac:dyDescent="0.2">
      <c r="B7" t="s">
        <v>191</v>
      </c>
      <c r="F7" s="50">
        <v>1873000</v>
      </c>
    </row>
    <row r="8" spans="2:8" x14ac:dyDescent="0.2">
      <c r="B8" t="s">
        <v>192</v>
      </c>
      <c r="F8" s="70">
        <f>F7/$F$19</f>
        <v>0.97152896250769627</v>
      </c>
    </row>
    <row r="9" spans="2:8" x14ac:dyDescent="0.2">
      <c r="B9" t="s">
        <v>193</v>
      </c>
      <c r="F9" s="71">
        <f>F10+F11*F12</f>
        <v>8.5779999999999995E-2</v>
      </c>
    </row>
    <row r="10" spans="2:8" x14ac:dyDescent="0.2">
      <c r="B10" t="s">
        <v>194</v>
      </c>
      <c r="F10" s="72">
        <v>3.909E-2</v>
      </c>
      <c r="G10" t="s">
        <v>200</v>
      </c>
      <c r="H10" s="54">
        <f>F10+F12</f>
        <v>7.9689999999999997E-2</v>
      </c>
    </row>
    <row r="11" spans="2:8" x14ac:dyDescent="0.2">
      <c r="B11" t="s">
        <v>195</v>
      </c>
      <c r="F11" s="73">
        <v>1.1499999999999999</v>
      </c>
      <c r="G11" t="s">
        <v>202</v>
      </c>
    </row>
    <row r="12" spans="2:8" x14ac:dyDescent="0.2">
      <c r="B12" t="s">
        <v>196</v>
      </c>
      <c r="F12" s="72">
        <v>4.0599999999999997E-2</v>
      </c>
      <c r="G12" t="s">
        <v>201</v>
      </c>
    </row>
    <row r="14" spans="2:8" x14ac:dyDescent="0.2">
      <c r="B14" t="s">
        <v>197</v>
      </c>
      <c r="F14" s="74">
        <v>54889</v>
      </c>
    </row>
    <row r="15" spans="2:8" x14ac:dyDescent="0.2">
      <c r="B15" t="s">
        <v>198</v>
      </c>
      <c r="F15" s="70">
        <f>F14/$F$19</f>
        <v>2.8471037492303758E-2</v>
      </c>
    </row>
    <row r="16" spans="2:8" x14ac:dyDescent="0.2">
      <c r="B16" t="s">
        <v>199</v>
      </c>
      <c r="F16" s="72">
        <f>1233*2/F14</f>
        <v>4.4927034560658781E-2</v>
      </c>
    </row>
    <row r="17" spans="2:6" x14ac:dyDescent="0.2">
      <c r="B17" t="s">
        <v>159</v>
      </c>
      <c r="F17" s="72">
        <f>DCF!M52</f>
        <v>0.23059912159546903</v>
      </c>
    </row>
    <row r="19" spans="2:6" x14ac:dyDescent="0.2">
      <c r="B19" t="s">
        <v>156</v>
      </c>
      <c r="F19" s="50">
        <f>F7+F14</f>
        <v>1927889</v>
      </c>
    </row>
    <row r="21" spans="2:6" x14ac:dyDescent="0.2">
      <c r="B21" t="s">
        <v>147</v>
      </c>
      <c r="F21" s="71">
        <f>F8*F9+(F15*F16*(1-F17))</f>
        <v>8.4321909905676923E-2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DE3-4E49-0F46-AB14-1EB6E2A744A2}">
  <dimension ref="A1:Q65"/>
  <sheetViews>
    <sheetView workbookViewId="0">
      <selection activeCell="F69" sqref="F69"/>
    </sheetView>
  </sheetViews>
  <sheetFormatPr baseColWidth="10" defaultRowHeight="16" x14ac:dyDescent="0.2"/>
  <cols>
    <col min="1" max="1" width="50.83203125" bestFit="1" customWidth="1"/>
  </cols>
  <sheetData>
    <row r="1" spans="1:14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</row>
    <row r="4" spans="1:14" x14ac:dyDescent="0.2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</row>
    <row r="5" spans="1:14" x14ac:dyDescent="0.2">
      <c r="A5" s="2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</row>
    <row r="6" spans="1:14" x14ac:dyDescent="0.2">
      <c r="A6" s="2"/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19</v>
      </c>
      <c r="M6" s="1"/>
      <c r="N6" s="1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 t="s">
        <v>20</v>
      </c>
      <c r="M7" s="1"/>
      <c r="N7" s="1"/>
    </row>
    <row r="8" spans="1:14" x14ac:dyDescent="0.2">
      <c r="A8" s="3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"/>
      <c r="N8" s="1"/>
    </row>
    <row r="9" spans="1:14" x14ac:dyDescent="0.2">
      <c r="A9" s="21" t="s">
        <v>63</v>
      </c>
      <c r="B9" s="16">
        <v>-241</v>
      </c>
      <c r="C9" s="13">
        <v>596</v>
      </c>
      <c r="D9" s="13">
        <v>2371</v>
      </c>
      <c r="E9" s="13">
        <v>3033</v>
      </c>
      <c r="F9" s="13">
        <v>10073</v>
      </c>
      <c r="G9" s="13">
        <v>11588</v>
      </c>
      <c r="H9" s="13">
        <v>21331</v>
      </c>
      <c r="I9" s="13">
        <v>33364</v>
      </c>
      <c r="J9" s="16">
        <v>-2722</v>
      </c>
      <c r="K9" s="13">
        <v>30425</v>
      </c>
      <c r="L9" s="13">
        <v>44419</v>
      </c>
      <c r="M9" s="1"/>
      <c r="N9" s="1"/>
    </row>
    <row r="10" spans="1:14" x14ac:dyDescent="0.2">
      <c r="A10" s="17" t="s">
        <v>64</v>
      </c>
      <c r="B10" s="4">
        <v>4187</v>
      </c>
      <c r="C10" s="4">
        <v>5646</v>
      </c>
      <c r="D10" s="4">
        <v>7482</v>
      </c>
      <c r="E10" s="4">
        <v>10933</v>
      </c>
      <c r="F10" s="4">
        <v>15341</v>
      </c>
      <c r="G10" s="4">
        <v>21789</v>
      </c>
      <c r="H10" s="4">
        <v>25251</v>
      </c>
      <c r="I10" s="4">
        <v>34296</v>
      </c>
      <c r="J10" s="4">
        <v>41921</v>
      </c>
      <c r="K10" s="4">
        <v>48663</v>
      </c>
      <c r="L10" s="4">
        <v>49673</v>
      </c>
      <c r="M10" s="1"/>
      <c r="N10" s="1"/>
    </row>
    <row r="11" spans="1:14" x14ac:dyDescent="0.2">
      <c r="A11" s="15" t="s">
        <v>65</v>
      </c>
      <c r="B11" s="14"/>
      <c r="C11" s="14"/>
      <c r="D11" s="14"/>
      <c r="E11" s="14"/>
      <c r="F11" s="13">
        <v>14866</v>
      </c>
      <c r="G11" s="13">
        <v>21224</v>
      </c>
      <c r="H11" s="13">
        <v>24742</v>
      </c>
      <c r="I11" s="13">
        <v>33784</v>
      </c>
      <c r="J11" s="13">
        <v>41317</v>
      </c>
      <c r="K11" s="13">
        <v>47957</v>
      </c>
      <c r="L11" s="14"/>
      <c r="M11" s="1"/>
      <c r="N11" s="1"/>
    </row>
    <row r="12" spans="1:14" x14ac:dyDescent="0.2">
      <c r="A12" s="7" t="s">
        <v>66</v>
      </c>
      <c r="B12" s="11"/>
      <c r="C12" s="11"/>
      <c r="D12" s="11"/>
      <c r="E12" s="11"/>
      <c r="F12" s="8">
        <v>475</v>
      </c>
      <c r="G12" s="8">
        <v>565</v>
      </c>
      <c r="H12" s="8">
        <v>509</v>
      </c>
      <c r="I12" s="8">
        <v>512</v>
      </c>
      <c r="J12" s="8">
        <v>604</v>
      </c>
      <c r="K12" s="8">
        <v>706</v>
      </c>
      <c r="L12" s="11"/>
      <c r="M12" s="1"/>
      <c r="N12" s="1"/>
    </row>
    <row r="13" spans="1:14" x14ac:dyDescent="0.2">
      <c r="A13" s="5" t="s">
        <v>67</v>
      </c>
      <c r="B13" s="6">
        <v>-316</v>
      </c>
      <c r="C13" s="6">
        <v>81</v>
      </c>
      <c r="D13" s="6">
        <v>-246</v>
      </c>
      <c r="E13" s="6">
        <v>-29</v>
      </c>
      <c r="F13" s="6">
        <v>441</v>
      </c>
      <c r="G13" s="6">
        <v>796</v>
      </c>
      <c r="H13" s="6">
        <v>-554</v>
      </c>
      <c r="I13" s="6">
        <v>-310</v>
      </c>
      <c r="J13" s="6">
        <v>-8148</v>
      </c>
      <c r="K13" s="6">
        <v>-5876</v>
      </c>
      <c r="L13" s="6">
        <v>-4383</v>
      </c>
      <c r="M13" s="1"/>
      <c r="N13" s="1"/>
    </row>
    <row r="14" spans="1:14" x14ac:dyDescent="0.2">
      <c r="A14" s="7" t="s">
        <v>68</v>
      </c>
      <c r="B14" s="19">
        <v>-316</v>
      </c>
      <c r="C14" s="8">
        <v>81</v>
      </c>
      <c r="D14" s="19">
        <v>-246</v>
      </c>
      <c r="E14" s="19">
        <v>-29</v>
      </c>
      <c r="F14" s="8">
        <v>441</v>
      </c>
      <c r="G14" s="8">
        <v>796</v>
      </c>
      <c r="H14" s="19">
        <v>-554</v>
      </c>
      <c r="I14" s="19">
        <v>-310</v>
      </c>
      <c r="J14" s="19">
        <v>-8148</v>
      </c>
      <c r="K14" s="19">
        <v>-5876</v>
      </c>
      <c r="L14" s="19">
        <v>-4383</v>
      </c>
      <c r="M14" s="1"/>
      <c r="N14" s="1"/>
    </row>
    <row r="15" spans="1:14" x14ac:dyDescent="0.2">
      <c r="A15" s="21" t="s">
        <v>69</v>
      </c>
      <c r="B15" s="13">
        <v>2238</v>
      </c>
      <c r="C15" s="13">
        <v>3040</v>
      </c>
      <c r="D15" s="13">
        <v>2920</v>
      </c>
      <c r="E15" s="13">
        <v>4670</v>
      </c>
      <c r="F15" s="13">
        <v>5911</v>
      </c>
      <c r="G15" s="13">
        <v>6779</v>
      </c>
      <c r="H15" s="13">
        <v>6555</v>
      </c>
      <c r="I15" s="16">
        <v>-1412</v>
      </c>
      <c r="J15" s="13">
        <v>36587</v>
      </c>
      <c r="K15" s="13">
        <v>23275</v>
      </c>
      <c r="L15" s="13">
        <v>25141</v>
      </c>
      <c r="M15" s="1"/>
      <c r="N15" s="1"/>
    </row>
    <row r="16" spans="1:14" x14ac:dyDescent="0.2">
      <c r="A16" s="20" t="s">
        <v>70</v>
      </c>
      <c r="B16" s="8">
        <v>5868</v>
      </c>
      <c r="C16" s="8">
        <v>9363</v>
      </c>
      <c r="D16" s="8">
        <v>12527</v>
      </c>
      <c r="E16" s="8">
        <v>18607</v>
      </c>
      <c r="F16" s="8">
        <v>31766</v>
      </c>
      <c r="G16" s="8">
        <v>40952</v>
      </c>
      <c r="H16" s="8">
        <v>52583</v>
      </c>
      <c r="I16" s="8">
        <v>65938</v>
      </c>
      <c r="J16" s="8">
        <v>67638</v>
      </c>
      <c r="K16" s="8">
        <v>96487</v>
      </c>
      <c r="L16" s="8">
        <v>114850</v>
      </c>
      <c r="M16" s="1"/>
      <c r="N16" s="1"/>
    </row>
    <row r="17" spans="1:14" x14ac:dyDescent="0.2">
      <c r="A17" s="5" t="s">
        <v>71</v>
      </c>
      <c r="B17" s="6">
        <v>974</v>
      </c>
      <c r="C17" s="6">
        <v>2557</v>
      </c>
      <c r="D17" s="6">
        <v>3916</v>
      </c>
      <c r="E17" s="6">
        <v>-173</v>
      </c>
      <c r="F17" s="6">
        <v>-1043</v>
      </c>
      <c r="G17" s="6">
        <v>-2438</v>
      </c>
      <c r="H17" s="6">
        <v>13481</v>
      </c>
      <c r="I17" s="6">
        <v>-19611</v>
      </c>
      <c r="J17" s="6">
        <v>-20886</v>
      </c>
      <c r="K17" s="6">
        <v>-11541</v>
      </c>
      <c r="L17" s="6">
        <v>-6898</v>
      </c>
      <c r="M17" s="1"/>
      <c r="N17" s="1"/>
    </row>
    <row r="18" spans="1:14" x14ac:dyDescent="0.2">
      <c r="A18" s="7" t="s">
        <v>72</v>
      </c>
      <c r="B18" s="19">
        <v>-1039</v>
      </c>
      <c r="C18" s="19">
        <v>-1755</v>
      </c>
      <c r="D18" s="19">
        <v>-3367</v>
      </c>
      <c r="E18" s="19">
        <v>-4786</v>
      </c>
      <c r="F18" s="19">
        <v>-4615</v>
      </c>
      <c r="G18" s="19">
        <v>-7681</v>
      </c>
      <c r="H18" s="19">
        <v>-8169</v>
      </c>
      <c r="I18" s="19">
        <v>-18163</v>
      </c>
      <c r="J18" s="19">
        <v>-21897</v>
      </c>
      <c r="K18" s="19">
        <v>-8348</v>
      </c>
      <c r="L18" s="19">
        <v>-3227</v>
      </c>
      <c r="M18" s="1"/>
      <c r="N18" s="1"/>
    </row>
    <row r="19" spans="1:14" x14ac:dyDescent="0.2">
      <c r="A19" s="15" t="s">
        <v>73</v>
      </c>
      <c r="B19" s="16">
        <v>-1193</v>
      </c>
      <c r="C19" s="16">
        <v>-2187</v>
      </c>
      <c r="D19" s="16">
        <v>-1426</v>
      </c>
      <c r="E19" s="16">
        <v>-3583</v>
      </c>
      <c r="F19" s="16">
        <v>-1314</v>
      </c>
      <c r="G19" s="16">
        <v>-3278</v>
      </c>
      <c r="H19" s="16">
        <v>-2849</v>
      </c>
      <c r="I19" s="16">
        <v>-9487</v>
      </c>
      <c r="J19" s="16">
        <v>-2592</v>
      </c>
      <c r="K19" s="13">
        <v>1449</v>
      </c>
      <c r="L19" s="13">
        <v>2142</v>
      </c>
      <c r="M19" s="1"/>
      <c r="N19" s="1"/>
    </row>
    <row r="20" spans="1:14" x14ac:dyDescent="0.2">
      <c r="A20" s="7" t="s">
        <v>74</v>
      </c>
      <c r="B20" s="8">
        <v>1759</v>
      </c>
      <c r="C20" s="8">
        <v>4294</v>
      </c>
      <c r="D20" s="8">
        <v>5030</v>
      </c>
      <c r="E20" s="8">
        <v>7175</v>
      </c>
      <c r="F20" s="8">
        <v>3263</v>
      </c>
      <c r="G20" s="8">
        <v>8193</v>
      </c>
      <c r="H20" s="8">
        <v>17480</v>
      </c>
      <c r="I20" s="8">
        <v>3602</v>
      </c>
      <c r="J20" s="8">
        <v>2945</v>
      </c>
      <c r="K20" s="8">
        <v>5473</v>
      </c>
      <c r="L20" s="8">
        <v>8431</v>
      </c>
      <c r="M20" s="1"/>
      <c r="N20" s="1"/>
    </row>
    <row r="21" spans="1:14" x14ac:dyDescent="0.2">
      <c r="A21" s="15" t="s">
        <v>75</v>
      </c>
      <c r="B21" s="13">
        <v>706</v>
      </c>
      <c r="C21" s="13">
        <v>913</v>
      </c>
      <c r="D21" s="13">
        <v>1724</v>
      </c>
      <c r="E21" s="13">
        <v>283</v>
      </c>
      <c r="F21" s="13">
        <v>472</v>
      </c>
      <c r="G21" s="16">
        <v>-1383</v>
      </c>
      <c r="H21" s="13">
        <v>5754</v>
      </c>
      <c r="I21" s="13">
        <v>2123</v>
      </c>
      <c r="J21" s="16">
        <v>-1558</v>
      </c>
      <c r="K21" s="16">
        <v>-2428</v>
      </c>
      <c r="L21" s="16">
        <v>-1802</v>
      </c>
      <c r="M21" s="1"/>
      <c r="N21" s="1"/>
    </row>
    <row r="22" spans="1:14" x14ac:dyDescent="0.2">
      <c r="A22" s="7" t="s">
        <v>76</v>
      </c>
      <c r="B22" s="8">
        <v>741</v>
      </c>
      <c r="C22" s="8">
        <v>1292</v>
      </c>
      <c r="D22" s="8">
        <v>1955</v>
      </c>
      <c r="E22" s="8">
        <v>738</v>
      </c>
      <c r="F22" s="8">
        <v>1151</v>
      </c>
      <c r="G22" s="8">
        <v>1711</v>
      </c>
      <c r="H22" s="8">
        <v>1265</v>
      </c>
      <c r="I22" s="8">
        <v>2314</v>
      </c>
      <c r="J22" s="8">
        <v>2216</v>
      </c>
      <c r="K22" s="19">
        <v>-7687</v>
      </c>
      <c r="L22" s="19">
        <v>-12442</v>
      </c>
      <c r="M22" s="1"/>
      <c r="N22" s="1"/>
    </row>
    <row r="23" spans="1:14" x14ac:dyDescent="0.2">
      <c r="A23" s="21" t="s">
        <v>77</v>
      </c>
      <c r="B23" s="13">
        <v>6842</v>
      </c>
      <c r="C23" s="13">
        <v>11920</v>
      </c>
      <c r="D23" s="13">
        <v>16443</v>
      </c>
      <c r="E23" s="13">
        <v>18434</v>
      </c>
      <c r="F23" s="13">
        <v>30723</v>
      </c>
      <c r="G23" s="13">
        <v>38514</v>
      </c>
      <c r="H23" s="13">
        <v>66064</v>
      </c>
      <c r="I23" s="13">
        <v>46327</v>
      </c>
      <c r="J23" s="13">
        <v>46752</v>
      </c>
      <c r="K23" s="13">
        <v>84946</v>
      </c>
      <c r="L23" s="13">
        <v>107952</v>
      </c>
      <c r="M23" s="1"/>
      <c r="N23" s="1"/>
    </row>
    <row r="24" spans="1:14" x14ac:dyDescent="0.2">
      <c r="A24" s="3" t="s">
        <v>78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</row>
    <row r="25" spans="1:14" x14ac:dyDescent="0.2">
      <c r="A25" s="5" t="s">
        <v>79</v>
      </c>
      <c r="B25" s="6">
        <v>-4893</v>
      </c>
      <c r="C25" s="6">
        <v>-4589</v>
      </c>
      <c r="D25" s="6">
        <v>-6737</v>
      </c>
      <c r="E25" s="6">
        <v>-11955</v>
      </c>
      <c r="F25" s="6">
        <v>-13427</v>
      </c>
      <c r="G25" s="6">
        <v>-16861</v>
      </c>
      <c r="H25" s="6">
        <v>-40140</v>
      </c>
      <c r="I25" s="6">
        <v>-61053</v>
      </c>
      <c r="J25" s="6">
        <v>-63645</v>
      </c>
      <c r="K25" s="6">
        <v>-52729</v>
      </c>
      <c r="L25" s="6">
        <v>-59612</v>
      </c>
      <c r="M25" s="1"/>
      <c r="N25" s="1"/>
    </row>
    <row r="26" spans="1:14" x14ac:dyDescent="0.2">
      <c r="A26" s="7" t="s">
        <v>80</v>
      </c>
      <c r="B26" s="19">
        <v>-4893</v>
      </c>
      <c r="C26" s="19">
        <v>-4589</v>
      </c>
      <c r="D26" s="19">
        <v>-6737</v>
      </c>
      <c r="E26" s="19">
        <v>-11955</v>
      </c>
      <c r="F26" s="19">
        <v>-13427</v>
      </c>
      <c r="G26" s="19">
        <v>-16861</v>
      </c>
      <c r="H26" s="19">
        <v>-40140</v>
      </c>
      <c r="I26" s="19">
        <v>-61053</v>
      </c>
      <c r="J26" s="19">
        <v>-63645</v>
      </c>
      <c r="K26" s="19">
        <v>-52729</v>
      </c>
      <c r="L26" s="19">
        <v>-59612</v>
      </c>
      <c r="M26" s="1"/>
      <c r="N26" s="1"/>
    </row>
    <row r="27" spans="1:14" x14ac:dyDescent="0.2">
      <c r="A27" s="21" t="s">
        <v>81</v>
      </c>
      <c r="B27" s="16">
        <v>-979</v>
      </c>
      <c r="C27" s="16">
        <v>-795</v>
      </c>
      <c r="D27" s="16">
        <v>-116</v>
      </c>
      <c r="E27" s="16">
        <v>-13972</v>
      </c>
      <c r="F27" s="16">
        <v>-2186</v>
      </c>
      <c r="G27" s="16">
        <v>-2461</v>
      </c>
      <c r="H27" s="16">
        <v>-2325</v>
      </c>
      <c r="I27" s="16">
        <v>-1985</v>
      </c>
      <c r="J27" s="16">
        <v>-8316</v>
      </c>
      <c r="K27" s="16">
        <v>-5839</v>
      </c>
      <c r="L27" s="16">
        <v>-5935</v>
      </c>
      <c r="M27" s="1"/>
      <c r="N27" s="1"/>
    </row>
    <row r="28" spans="1:14" x14ac:dyDescent="0.2">
      <c r="A28" s="20" t="s">
        <v>82</v>
      </c>
      <c r="B28" s="8">
        <v>0</v>
      </c>
      <c r="C28" s="8">
        <v>0</v>
      </c>
      <c r="D28" s="8">
        <v>0</v>
      </c>
      <c r="E28" s="8">
        <v>1897</v>
      </c>
      <c r="F28" s="8">
        <v>2104</v>
      </c>
      <c r="G28" s="8">
        <v>4172</v>
      </c>
      <c r="H28" s="8">
        <v>5096</v>
      </c>
      <c r="I28" s="8">
        <v>5657</v>
      </c>
      <c r="J28" s="8">
        <v>5324</v>
      </c>
      <c r="K28" s="8">
        <v>4596</v>
      </c>
      <c r="L28" s="8">
        <v>4633</v>
      </c>
      <c r="M28" s="1"/>
      <c r="N28" s="1"/>
    </row>
    <row r="29" spans="1:14" x14ac:dyDescent="0.2">
      <c r="A29" s="5" t="s">
        <v>83</v>
      </c>
      <c r="B29" s="6">
        <v>807</v>
      </c>
      <c r="C29" s="6">
        <v>-1066</v>
      </c>
      <c r="D29" s="6">
        <v>-3023</v>
      </c>
      <c r="E29" s="6">
        <v>-3789</v>
      </c>
      <c r="F29" s="6">
        <v>1140</v>
      </c>
      <c r="G29" s="6">
        <v>-9131</v>
      </c>
      <c r="H29" s="6">
        <v>-22242</v>
      </c>
      <c r="I29" s="6">
        <v>-773</v>
      </c>
      <c r="J29" s="6">
        <v>29036</v>
      </c>
      <c r="K29" s="6">
        <v>4139</v>
      </c>
      <c r="L29" s="6">
        <v>-3440</v>
      </c>
      <c r="M29" s="1"/>
      <c r="N29" s="1"/>
    </row>
    <row r="30" spans="1:14" x14ac:dyDescent="0.2">
      <c r="A30" s="7" t="s">
        <v>84</v>
      </c>
      <c r="B30" s="8">
        <v>2542</v>
      </c>
      <c r="C30" s="8">
        <v>4091</v>
      </c>
      <c r="D30" s="8">
        <v>7756</v>
      </c>
      <c r="E30" s="8">
        <v>13777</v>
      </c>
      <c r="F30" s="8">
        <v>7100</v>
      </c>
      <c r="G30" s="8">
        <v>31812</v>
      </c>
      <c r="H30" s="8">
        <v>72479</v>
      </c>
      <c r="I30" s="8">
        <v>60157</v>
      </c>
      <c r="J30" s="8">
        <v>2565</v>
      </c>
      <c r="K30" s="8">
        <v>1488</v>
      </c>
      <c r="L30" s="8">
        <v>11058</v>
      </c>
      <c r="M30" s="1"/>
      <c r="N30" s="1"/>
    </row>
    <row r="31" spans="1:14" x14ac:dyDescent="0.2">
      <c r="A31" s="15" t="s">
        <v>85</v>
      </c>
      <c r="B31" s="13">
        <v>3349</v>
      </c>
      <c r="C31" s="13">
        <v>3025</v>
      </c>
      <c r="D31" s="13">
        <v>4733</v>
      </c>
      <c r="E31" s="13">
        <v>9988</v>
      </c>
      <c r="F31" s="13">
        <v>8240</v>
      </c>
      <c r="G31" s="13">
        <v>22681</v>
      </c>
      <c r="H31" s="13">
        <v>50237</v>
      </c>
      <c r="I31" s="13">
        <v>59384</v>
      </c>
      <c r="J31" s="13">
        <v>31601</v>
      </c>
      <c r="K31" s="13">
        <v>5627</v>
      </c>
      <c r="L31" s="13">
        <v>7618</v>
      </c>
      <c r="M31" s="1"/>
      <c r="N31" s="1"/>
    </row>
    <row r="32" spans="1:14" x14ac:dyDescent="0.2">
      <c r="A32" s="20" t="s">
        <v>86</v>
      </c>
      <c r="B32" s="19">
        <v>-5065</v>
      </c>
      <c r="C32" s="19">
        <v>-6450</v>
      </c>
      <c r="D32" s="19">
        <v>-9876</v>
      </c>
      <c r="E32" s="19">
        <v>-27819</v>
      </c>
      <c r="F32" s="19">
        <v>-12369</v>
      </c>
      <c r="G32" s="19">
        <v>-24281</v>
      </c>
      <c r="H32" s="19">
        <v>-59611</v>
      </c>
      <c r="I32" s="19">
        <v>-58154</v>
      </c>
      <c r="J32" s="19">
        <v>-37601</v>
      </c>
      <c r="K32" s="19">
        <v>-49833</v>
      </c>
      <c r="L32" s="19">
        <v>-64354</v>
      </c>
      <c r="M32" s="1"/>
      <c r="N32" s="1"/>
    </row>
    <row r="33" spans="1:14" x14ac:dyDescent="0.2">
      <c r="A33" s="18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"/>
      <c r="N33" s="1"/>
    </row>
    <row r="34" spans="1:14" x14ac:dyDescent="0.2">
      <c r="A34" s="17" t="s">
        <v>88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-6000</v>
      </c>
      <c r="K34" s="4">
        <v>0</v>
      </c>
      <c r="L34" s="4">
        <v>0</v>
      </c>
      <c r="M34" s="1"/>
      <c r="N34" s="1"/>
    </row>
    <row r="35" spans="1:14" x14ac:dyDescent="0.2">
      <c r="A35" s="15" t="s">
        <v>89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6">
        <v>-6000</v>
      </c>
      <c r="K35" s="13">
        <v>0</v>
      </c>
      <c r="L35" s="13">
        <v>0</v>
      </c>
      <c r="M35" s="1"/>
      <c r="N35" s="1"/>
    </row>
    <row r="36" spans="1:14" x14ac:dyDescent="0.2">
      <c r="A36" s="17" t="s">
        <v>90</v>
      </c>
      <c r="B36" s="4">
        <v>4426</v>
      </c>
      <c r="C36" s="4">
        <v>-3882</v>
      </c>
      <c r="D36" s="4">
        <v>-3740</v>
      </c>
      <c r="E36" s="4">
        <v>9860</v>
      </c>
      <c r="F36" s="4">
        <v>-7686</v>
      </c>
      <c r="G36" s="4">
        <v>-10066</v>
      </c>
      <c r="H36" s="4">
        <v>-1104</v>
      </c>
      <c r="I36" s="4">
        <v>6291</v>
      </c>
      <c r="J36" s="4">
        <v>15718</v>
      </c>
      <c r="K36" s="4">
        <v>-15879</v>
      </c>
      <c r="L36" s="4">
        <v>-21440</v>
      </c>
      <c r="M36" s="1"/>
      <c r="N36" s="1"/>
    </row>
    <row r="37" spans="1:14" x14ac:dyDescent="0.2">
      <c r="A37" s="15" t="s">
        <v>91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619</v>
      </c>
      <c r="I37" s="13">
        <v>203</v>
      </c>
      <c r="J37" s="13">
        <v>3999</v>
      </c>
      <c r="K37" s="16">
        <v>-7548</v>
      </c>
      <c r="L37" s="16">
        <v>-13253</v>
      </c>
      <c r="M37" s="1"/>
      <c r="N37" s="1"/>
    </row>
    <row r="38" spans="1:14" x14ac:dyDescent="0.2">
      <c r="A38" s="29" t="s">
        <v>92</v>
      </c>
      <c r="B38" s="4">
        <v>4426</v>
      </c>
      <c r="C38" s="4">
        <v>-3882</v>
      </c>
      <c r="D38" s="4">
        <v>-3740</v>
      </c>
      <c r="E38" s="4">
        <v>9860</v>
      </c>
      <c r="F38" s="4">
        <v>-7686</v>
      </c>
      <c r="G38" s="4">
        <v>-10066</v>
      </c>
      <c r="H38" s="4">
        <v>-1723</v>
      </c>
      <c r="I38" s="4">
        <v>6088</v>
      </c>
      <c r="J38" s="4">
        <v>11719</v>
      </c>
      <c r="K38" s="4">
        <v>-8331</v>
      </c>
      <c r="L38" s="4">
        <v>-8187</v>
      </c>
      <c r="M38" s="1"/>
      <c r="N38" s="1"/>
    </row>
    <row r="39" spans="1:14" x14ac:dyDescent="0.2">
      <c r="A39" s="12" t="s">
        <v>93</v>
      </c>
      <c r="B39" s="13">
        <v>6359</v>
      </c>
      <c r="C39" s="13">
        <v>353</v>
      </c>
      <c r="D39" s="13">
        <v>621</v>
      </c>
      <c r="E39" s="13">
        <v>16231</v>
      </c>
      <c r="F39" s="13">
        <v>768</v>
      </c>
      <c r="G39" s="13">
        <v>2273</v>
      </c>
      <c r="H39" s="13">
        <v>10525</v>
      </c>
      <c r="I39" s="13">
        <v>19003</v>
      </c>
      <c r="J39" s="13">
        <v>21166</v>
      </c>
      <c r="K39" s="13">
        <v>0</v>
      </c>
      <c r="L39" s="13">
        <v>0</v>
      </c>
      <c r="M39" s="1"/>
      <c r="N39" s="1"/>
    </row>
    <row r="40" spans="1:14" x14ac:dyDescent="0.2">
      <c r="A40" s="10" t="s">
        <v>94</v>
      </c>
      <c r="B40" s="19">
        <v>-1933</v>
      </c>
      <c r="C40" s="19">
        <v>-4235</v>
      </c>
      <c r="D40" s="19">
        <v>-4361</v>
      </c>
      <c r="E40" s="19">
        <v>-6371</v>
      </c>
      <c r="F40" s="19">
        <v>-8454</v>
      </c>
      <c r="G40" s="19">
        <v>-12339</v>
      </c>
      <c r="H40" s="19">
        <v>-12248</v>
      </c>
      <c r="I40" s="19">
        <v>-12915</v>
      </c>
      <c r="J40" s="19">
        <v>-9447</v>
      </c>
      <c r="K40" s="19">
        <v>-8331</v>
      </c>
      <c r="L40" s="19">
        <v>-8187</v>
      </c>
      <c r="M40" s="1"/>
      <c r="N40" s="1"/>
    </row>
    <row r="41" spans="1:14" x14ac:dyDescent="0.2">
      <c r="A41" s="5" t="s">
        <v>69</v>
      </c>
      <c r="B41" s="6">
        <v>6</v>
      </c>
      <c r="C41" s="6">
        <v>119</v>
      </c>
      <c r="D41" s="6">
        <v>829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1"/>
      <c r="N41" s="1"/>
    </row>
    <row r="42" spans="1:14" x14ac:dyDescent="0.2">
      <c r="A42" s="7" t="s">
        <v>95</v>
      </c>
      <c r="B42" s="8">
        <v>6</v>
      </c>
      <c r="C42" s="8">
        <v>119</v>
      </c>
      <c r="D42" s="8">
        <v>829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1"/>
      <c r="N42" s="1"/>
    </row>
    <row r="43" spans="1:14" x14ac:dyDescent="0.2">
      <c r="A43" s="21" t="s">
        <v>96</v>
      </c>
      <c r="B43" s="13">
        <v>4432</v>
      </c>
      <c r="C43" s="16">
        <v>-3763</v>
      </c>
      <c r="D43" s="16">
        <v>-2911</v>
      </c>
      <c r="E43" s="13">
        <v>9860</v>
      </c>
      <c r="F43" s="16">
        <v>-7686</v>
      </c>
      <c r="G43" s="16">
        <v>-10066</v>
      </c>
      <c r="H43" s="16">
        <v>-1104</v>
      </c>
      <c r="I43" s="13">
        <v>6291</v>
      </c>
      <c r="J43" s="13">
        <v>9718</v>
      </c>
      <c r="K43" s="16">
        <v>-15879</v>
      </c>
      <c r="L43" s="16">
        <v>-21440</v>
      </c>
      <c r="M43" s="1"/>
      <c r="N43" s="1"/>
    </row>
    <row r="44" spans="1:14" x14ac:dyDescent="0.2">
      <c r="A44" s="3" t="s">
        <v>97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</row>
    <row r="45" spans="1:14" x14ac:dyDescent="0.2">
      <c r="A45" s="21" t="s">
        <v>98</v>
      </c>
      <c r="B45" s="16">
        <v>-310</v>
      </c>
      <c r="C45" s="16">
        <v>-374</v>
      </c>
      <c r="D45" s="16">
        <v>-212</v>
      </c>
      <c r="E45" s="13">
        <v>713</v>
      </c>
      <c r="F45" s="16">
        <v>-351</v>
      </c>
      <c r="G45" s="13">
        <v>70</v>
      </c>
      <c r="H45" s="13">
        <v>618</v>
      </c>
      <c r="I45" s="16">
        <v>-364</v>
      </c>
      <c r="J45" s="16">
        <v>-1093</v>
      </c>
      <c r="K45" s="13">
        <v>403</v>
      </c>
      <c r="L45" s="16">
        <v>-552</v>
      </c>
      <c r="M45" s="1"/>
      <c r="N45" s="1"/>
    </row>
    <row r="46" spans="1:14" x14ac:dyDescent="0.2">
      <c r="A46" s="20" t="s">
        <v>99</v>
      </c>
      <c r="B46" s="8">
        <v>5899</v>
      </c>
      <c r="C46" s="8">
        <v>1333</v>
      </c>
      <c r="D46" s="8">
        <v>3444</v>
      </c>
      <c r="E46" s="8">
        <v>1188</v>
      </c>
      <c r="F46" s="8">
        <v>10317</v>
      </c>
      <c r="G46" s="8">
        <v>4237</v>
      </c>
      <c r="H46" s="8">
        <v>5967</v>
      </c>
      <c r="I46" s="19">
        <v>-5900</v>
      </c>
      <c r="J46" s="8">
        <v>17776</v>
      </c>
      <c r="K46" s="8">
        <v>19637</v>
      </c>
      <c r="L46" s="8">
        <v>21606</v>
      </c>
      <c r="M46" s="1"/>
      <c r="N46" s="1"/>
    </row>
    <row r="47" spans="1:14" x14ac:dyDescent="0.2">
      <c r="A47" s="5" t="s">
        <v>100</v>
      </c>
      <c r="B47" s="6">
        <v>1949</v>
      </c>
      <c r="C47" s="6">
        <v>7331</v>
      </c>
      <c r="D47" s="6">
        <v>9706</v>
      </c>
      <c r="E47" s="6">
        <v>6479</v>
      </c>
      <c r="F47" s="6">
        <v>17296</v>
      </c>
      <c r="G47" s="6">
        <v>21653</v>
      </c>
      <c r="H47" s="6">
        <v>25924</v>
      </c>
      <c r="I47" s="6">
        <v>-14726</v>
      </c>
      <c r="J47" s="6">
        <v>-16893</v>
      </c>
      <c r="K47" s="6">
        <v>32217</v>
      </c>
      <c r="L47" s="6">
        <v>48340</v>
      </c>
      <c r="M47" s="1"/>
      <c r="N47" s="1"/>
    </row>
    <row r="48" spans="1:14" x14ac:dyDescent="0.2">
      <c r="A48" s="7" t="s">
        <v>101</v>
      </c>
      <c r="B48" s="8">
        <v>0.21093100000000001</v>
      </c>
      <c r="C48" s="8">
        <v>0.76844900000000005</v>
      </c>
      <c r="D48" s="8">
        <v>1.002686</v>
      </c>
      <c r="E48" s="8">
        <v>0.65709899999999999</v>
      </c>
      <c r="F48" s="8">
        <v>1.7296</v>
      </c>
      <c r="G48" s="8">
        <v>2.1481150000000002</v>
      </c>
      <c r="H48" s="8">
        <v>2.541569</v>
      </c>
      <c r="I48" s="19">
        <v>-1.4297089999999999</v>
      </c>
      <c r="J48" s="19">
        <v>-1.657964</v>
      </c>
      <c r="K48" s="8">
        <v>3.0706250000000002</v>
      </c>
      <c r="L48" s="8">
        <v>4.5143820000000003</v>
      </c>
      <c r="M48" s="1"/>
      <c r="N48" s="1"/>
    </row>
    <row r="49" spans="1:17" x14ac:dyDescent="0.2">
      <c r="A49" s="15" t="s">
        <v>102</v>
      </c>
      <c r="B49" s="23">
        <v>1.3593090000000001</v>
      </c>
      <c r="C49" s="23">
        <v>2.2738870000000002</v>
      </c>
      <c r="D49" s="23">
        <v>2.674293</v>
      </c>
      <c r="E49" s="23">
        <v>1.123756</v>
      </c>
      <c r="F49" s="23">
        <v>2.3031079999999999</v>
      </c>
      <c r="G49" s="23">
        <v>2.3250009999999999</v>
      </c>
      <c r="H49" s="23">
        <v>1.5607139999999999</v>
      </c>
      <c r="I49" s="22">
        <v>-0.85756600000000005</v>
      </c>
      <c r="J49" s="22">
        <v>-1.973767</v>
      </c>
      <c r="K49" s="23">
        <v>2.0209459999999999</v>
      </c>
      <c r="L49" s="23">
        <v>2.3360319999999999</v>
      </c>
      <c r="M49" s="1"/>
      <c r="N49" s="1"/>
    </row>
    <row r="50" spans="1:17" x14ac:dyDescent="0.2">
      <c r="A50" s="27" t="s">
        <v>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7" x14ac:dyDescent="0.2">
      <c r="A54" s="30" t="s">
        <v>103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 t="s">
        <v>104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2"/>
      <c r="B56" s="2" t="s">
        <v>105</v>
      </c>
      <c r="C56" s="2" t="s">
        <v>106</v>
      </c>
      <c r="D56" s="2" t="s">
        <v>107</v>
      </c>
      <c r="E56" s="2" t="s">
        <v>108</v>
      </c>
      <c r="F56" s="2" t="s">
        <v>109</v>
      </c>
      <c r="G56" s="2" t="s">
        <v>110</v>
      </c>
      <c r="H56" s="2" t="s">
        <v>111</v>
      </c>
      <c r="I56" s="2" t="s">
        <v>112</v>
      </c>
      <c r="J56" s="2" t="s">
        <v>113</v>
      </c>
      <c r="K56" s="2" t="s">
        <v>114</v>
      </c>
      <c r="L56" s="2" t="s">
        <v>115</v>
      </c>
      <c r="M56" s="2" t="s">
        <v>116</v>
      </c>
      <c r="N56" s="2" t="s">
        <v>117</v>
      </c>
      <c r="O56" s="2" t="s">
        <v>118</v>
      </c>
      <c r="P56" s="2" t="s">
        <v>119</v>
      </c>
      <c r="Q56" s="2" t="s">
        <v>120</v>
      </c>
    </row>
    <row r="57" spans="1:17" x14ac:dyDescent="0.2">
      <c r="A57" s="2"/>
      <c r="B57" s="2" t="s">
        <v>121</v>
      </c>
      <c r="C57" s="2" t="s">
        <v>122</v>
      </c>
      <c r="D57" s="2" t="s">
        <v>123</v>
      </c>
      <c r="E57" s="2" t="s">
        <v>124</v>
      </c>
      <c r="F57" s="2" t="s">
        <v>125</v>
      </c>
      <c r="G57" s="2" t="s">
        <v>126</v>
      </c>
      <c r="H57" s="2" t="s">
        <v>127</v>
      </c>
      <c r="I57" s="2" t="s">
        <v>128</v>
      </c>
      <c r="J57" s="2" t="s">
        <v>129</v>
      </c>
      <c r="K57" s="2" t="s">
        <v>130</v>
      </c>
      <c r="L57" s="2" t="s">
        <v>131</v>
      </c>
      <c r="M57" s="2" t="s">
        <v>132</v>
      </c>
      <c r="N57" s="2" t="s">
        <v>133</v>
      </c>
      <c r="O57" s="2" t="s">
        <v>134</v>
      </c>
      <c r="P57" s="2" t="s">
        <v>135</v>
      </c>
      <c r="Q57" s="2" t="s">
        <v>136</v>
      </c>
    </row>
    <row r="58" spans="1:17" x14ac:dyDescent="0.2">
      <c r="A58" s="14" t="s">
        <v>79</v>
      </c>
      <c r="B58" s="13">
        <v>4892</v>
      </c>
      <c r="C58" s="13">
        <v>4588</v>
      </c>
      <c r="D58" s="13">
        <v>6736</v>
      </c>
      <c r="E58" s="13">
        <v>10058</v>
      </c>
      <c r="F58" s="13">
        <v>11322</v>
      </c>
      <c r="G58" s="13">
        <v>12690</v>
      </c>
      <c r="H58" s="13">
        <v>35046</v>
      </c>
      <c r="I58" s="13">
        <v>55396</v>
      </c>
      <c r="J58" s="13">
        <v>58321</v>
      </c>
      <c r="K58" s="13">
        <v>52729</v>
      </c>
      <c r="L58" s="13">
        <v>65971.5</v>
      </c>
      <c r="M58" s="13">
        <v>71754.7</v>
      </c>
      <c r="N58" s="13">
        <v>71087</v>
      </c>
      <c r="O58" s="13">
        <v>80757.5</v>
      </c>
      <c r="P58" s="13">
        <v>84731.5</v>
      </c>
      <c r="Q58" s="13">
        <v>89516</v>
      </c>
    </row>
    <row r="59" spans="1:17" x14ac:dyDescent="0.2">
      <c r="A59" s="11" t="s">
        <v>100</v>
      </c>
      <c r="B59" s="8">
        <v>1949</v>
      </c>
      <c r="C59" s="8">
        <v>7331</v>
      </c>
      <c r="D59" s="8">
        <v>9706</v>
      </c>
      <c r="E59" s="8">
        <v>8377</v>
      </c>
      <c r="F59" s="8">
        <v>19402</v>
      </c>
      <c r="G59" s="8">
        <v>25825</v>
      </c>
      <c r="H59" s="8">
        <v>31018</v>
      </c>
      <c r="I59" s="19">
        <v>-9069</v>
      </c>
      <c r="J59" s="19">
        <v>-11569</v>
      </c>
      <c r="K59" s="8">
        <v>36658</v>
      </c>
      <c r="L59" s="8">
        <v>55427.3</v>
      </c>
      <c r="M59" s="8">
        <v>69788.899999999994</v>
      </c>
      <c r="N59" s="8">
        <v>98528.1</v>
      </c>
      <c r="O59" s="8">
        <v>126711</v>
      </c>
      <c r="P59" s="8">
        <v>149789</v>
      </c>
      <c r="Q59" s="8">
        <v>177525</v>
      </c>
    </row>
    <row r="60" spans="1:17" x14ac:dyDescent="0.2">
      <c r="A60" s="14" t="s">
        <v>137</v>
      </c>
      <c r="B60" s="13">
        <v>449</v>
      </c>
      <c r="C60" s="14" t="s">
        <v>138</v>
      </c>
      <c r="D60" s="14" t="s">
        <v>138</v>
      </c>
      <c r="E60" s="14" t="s">
        <v>138</v>
      </c>
      <c r="F60" s="14" t="s">
        <v>138</v>
      </c>
      <c r="G60" s="14" t="s">
        <v>138</v>
      </c>
      <c r="H60" s="14" t="s">
        <v>138</v>
      </c>
      <c r="I60" s="14" t="s">
        <v>138</v>
      </c>
      <c r="J60" s="14" t="s">
        <v>138</v>
      </c>
      <c r="K60" s="14" t="s">
        <v>138</v>
      </c>
      <c r="L60" s="14" t="s">
        <v>138</v>
      </c>
      <c r="M60" s="14" t="s">
        <v>138</v>
      </c>
      <c r="N60" s="14" t="s">
        <v>138</v>
      </c>
      <c r="O60" s="14" t="s">
        <v>138</v>
      </c>
      <c r="P60" s="14" t="s">
        <v>138</v>
      </c>
      <c r="Q60" s="14" t="s">
        <v>138</v>
      </c>
    </row>
    <row r="61" spans="1:17" x14ac:dyDescent="0.2">
      <c r="A61" s="11" t="s">
        <v>139</v>
      </c>
      <c r="B61" s="8">
        <v>6841</v>
      </c>
      <c r="C61" s="8">
        <v>11920</v>
      </c>
      <c r="D61" s="8">
        <v>16442</v>
      </c>
      <c r="E61" s="8">
        <v>18434</v>
      </c>
      <c r="F61" s="8">
        <v>30724</v>
      </c>
      <c r="G61" s="8">
        <v>38515</v>
      </c>
      <c r="H61" s="8">
        <v>66064</v>
      </c>
      <c r="I61" s="8">
        <v>46327</v>
      </c>
      <c r="J61" s="8">
        <v>46752</v>
      </c>
      <c r="K61" s="8">
        <v>84946</v>
      </c>
      <c r="L61" s="8">
        <v>114364</v>
      </c>
      <c r="M61" s="8">
        <v>142436</v>
      </c>
      <c r="N61" s="8">
        <v>172056</v>
      </c>
      <c r="O61" s="8">
        <v>210079</v>
      </c>
      <c r="P61" s="8">
        <v>244061</v>
      </c>
      <c r="Q61" s="8">
        <v>279962</v>
      </c>
    </row>
    <row r="62" spans="1:17" x14ac:dyDescent="0.2">
      <c r="A62" s="14" t="s">
        <v>140</v>
      </c>
      <c r="B62" s="16">
        <v>-5066</v>
      </c>
      <c r="C62" s="16">
        <v>-6450</v>
      </c>
      <c r="D62" s="16">
        <v>-9876</v>
      </c>
      <c r="E62" s="16">
        <v>-27819</v>
      </c>
      <c r="F62" s="16">
        <v>-12369</v>
      </c>
      <c r="G62" s="16">
        <v>-24282</v>
      </c>
      <c r="H62" s="16">
        <v>-59612</v>
      </c>
      <c r="I62" s="16">
        <v>-58154</v>
      </c>
      <c r="J62" s="16">
        <v>-37601</v>
      </c>
      <c r="K62" s="16">
        <v>-49833</v>
      </c>
      <c r="L62" s="16">
        <v>-70567.5</v>
      </c>
      <c r="M62" s="16">
        <v>-71130.600000000006</v>
      </c>
      <c r="N62" s="16">
        <v>-74942</v>
      </c>
      <c r="O62" s="16">
        <v>-79012.800000000003</v>
      </c>
      <c r="P62" s="16">
        <v>-81779.3</v>
      </c>
      <c r="Q62" s="16">
        <v>-85077.6</v>
      </c>
    </row>
    <row r="63" spans="1:17" x14ac:dyDescent="0.2">
      <c r="A63" s="11" t="s">
        <v>141</v>
      </c>
      <c r="B63" s="8">
        <v>4433</v>
      </c>
      <c r="C63" s="19">
        <v>-3763</v>
      </c>
      <c r="D63" s="19">
        <v>-2911</v>
      </c>
      <c r="E63" s="8">
        <v>9861</v>
      </c>
      <c r="F63" s="19">
        <v>-7687</v>
      </c>
      <c r="G63" s="19">
        <v>-10066</v>
      </c>
      <c r="H63" s="19">
        <v>-1104</v>
      </c>
      <c r="I63" s="8">
        <v>6291</v>
      </c>
      <c r="J63" s="8">
        <v>9718</v>
      </c>
      <c r="K63" s="19">
        <v>-15879</v>
      </c>
      <c r="L63" s="19">
        <v>-7287.05</v>
      </c>
      <c r="M63" s="19">
        <v>-4106.33</v>
      </c>
      <c r="N63" s="19">
        <v>-3515.48</v>
      </c>
      <c r="O63" s="19">
        <v>-4625</v>
      </c>
      <c r="P63" s="19">
        <v>-1125</v>
      </c>
      <c r="Q63" s="8">
        <v>0</v>
      </c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DCF</vt:lpstr>
      <vt:lpstr>Income Statement</vt:lpstr>
      <vt:lpstr>Shares</vt:lpstr>
      <vt:lpstr>WACC</vt:lpstr>
      <vt:lpstr>Cashflow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2024-12-26T13:17:03Z</dcterms:created>
  <dcterms:modified xsi:type="dcterms:W3CDTF">2025-01-05T13:04:28Z</dcterms:modified>
</cp:coreProperties>
</file>