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Github Data Upload/"/>
    </mc:Choice>
  </mc:AlternateContent>
  <xr:revisionPtr revIDLastSave="0" documentId="13_ncr:1_{30378F9A-1F6D-C841-8F45-3B8797895A60}" xr6:coauthVersionLast="47" xr6:coauthVersionMax="47" xr10:uidLastSave="{00000000-0000-0000-0000-000000000000}"/>
  <bookViews>
    <workbookView xWindow="1020" yWindow="1040" windowWidth="28240" windowHeight="16840" xr2:uid="{2469BB41-2FC0-1D41-A224-C564F02AA19F}"/>
  </bookViews>
  <sheets>
    <sheet name="DCF" sheetId="1" r:id="rId1"/>
    <sheet name="Income Statement" sheetId="2" r:id="rId2"/>
    <sheet name="Cashflow Statement" sheetId="3" r:id="rId3"/>
    <sheet name="WACC" sheetId="5" r:id="rId4"/>
  </sheets>
  <externalReferences>
    <externalReference r:id="rId5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F13" i="5"/>
  <c r="F10" i="5"/>
  <c r="F15" i="5" s="1"/>
  <c r="F5" i="5"/>
  <c r="F4" i="5"/>
  <c r="S73" i="1"/>
  <c r="R73" i="1"/>
  <c r="Q73" i="1"/>
  <c r="P73" i="1"/>
  <c r="O73" i="1"/>
  <c r="O72" i="1"/>
  <c r="S67" i="1"/>
  <c r="R67" i="1"/>
  <c r="Q67" i="1"/>
  <c r="P67" i="1"/>
  <c r="S64" i="1"/>
  <c r="R64" i="1"/>
  <c r="Q64" i="1"/>
  <c r="P64" i="1"/>
  <c r="S61" i="1"/>
  <c r="R61" i="1"/>
  <c r="Q61" i="1"/>
  <c r="P61" i="1"/>
  <c r="O67" i="1"/>
  <c r="O64" i="1"/>
  <c r="O61" i="1"/>
  <c r="N64" i="1"/>
  <c r="M64" i="1"/>
  <c r="L64" i="1"/>
  <c r="K64" i="1"/>
  <c r="J64" i="1"/>
  <c r="I64" i="1"/>
  <c r="H64" i="1"/>
  <c r="G64" i="1"/>
  <c r="F64" i="1"/>
  <c r="N63" i="1"/>
  <c r="M63" i="1"/>
  <c r="L63" i="1"/>
  <c r="K63" i="1"/>
  <c r="J63" i="1"/>
  <c r="I63" i="1"/>
  <c r="H63" i="1"/>
  <c r="G63" i="1"/>
  <c r="F63" i="1"/>
  <c r="N67" i="1"/>
  <c r="M67" i="1"/>
  <c r="L67" i="1"/>
  <c r="K67" i="1"/>
  <c r="J67" i="1"/>
  <c r="I67" i="1"/>
  <c r="H67" i="1"/>
  <c r="G67" i="1"/>
  <c r="F67" i="1"/>
  <c r="N66" i="1"/>
  <c r="M66" i="1"/>
  <c r="L66" i="1"/>
  <c r="K66" i="1"/>
  <c r="J66" i="1"/>
  <c r="I66" i="1"/>
  <c r="H66" i="1"/>
  <c r="G66" i="1"/>
  <c r="F66" i="1"/>
  <c r="E67" i="1"/>
  <c r="E66" i="1"/>
  <c r="E64" i="1"/>
  <c r="E63" i="1"/>
  <c r="F60" i="1"/>
  <c r="G60" i="1"/>
  <c r="H60" i="1"/>
  <c r="I60" i="1"/>
  <c r="J60" i="1"/>
  <c r="K60" i="1"/>
  <c r="L60" i="1"/>
  <c r="M60" i="1"/>
  <c r="N60" i="1"/>
  <c r="F61" i="1"/>
  <c r="G61" i="1"/>
  <c r="H61" i="1"/>
  <c r="I61" i="1"/>
  <c r="J61" i="1"/>
  <c r="K61" i="1"/>
  <c r="L61" i="1"/>
  <c r="M61" i="1"/>
  <c r="N61" i="1"/>
  <c r="E61" i="1"/>
  <c r="E60" i="1"/>
  <c r="S56" i="1"/>
  <c r="R56" i="1"/>
  <c r="Q56" i="1"/>
  <c r="P56" i="1"/>
  <c r="Q51" i="1"/>
  <c r="R51" i="1"/>
  <c r="R50" i="1" s="1"/>
  <c r="P51" i="1"/>
  <c r="P53" i="1"/>
  <c r="Q53" i="1"/>
  <c r="R53" i="1" s="1"/>
  <c r="P50" i="1"/>
  <c r="Q50" i="1"/>
  <c r="S50" i="1"/>
  <c r="O50" i="1"/>
  <c r="O44" i="1"/>
  <c r="S53" i="1"/>
  <c r="Q52" i="1"/>
  <c r="R52" i="1"/>
  <c r="S52" i="1"/>
  <c r="P52" i="1"/>
  <c r="S51" i="1"/>
  <c r="P46" i="1"/>
  <c r="O53" i="1"/>
  <c r="O52" i="1"/>
  <c r="O51" i="1"/>
  <c r="Q47" i="1"/>
  <c r="R47" i="1"/>
  <c r="S47" i="1"/>
  <c r="P47" i="1"/>
  <c r="P45" i="1"/>
  <c r="Q46" i="1"/>
  <c r="R46" i="1"/>
  <c r="S46" i="1"/>
  <c r="Q45" i="1"/>
  <c r="R45" i="1"/>
  <c r="S45" i="1"/>
  <c r="O47" i="1"/>
  <c r="O46" i="1"/>
  <c r="O45" i="1"/>
  <c r="F55" i="1"/>
  <c r="G55" i="1"/>
  <c r="H55" i="1"/>
  <c r="I55" i="1"/>
  <c r="J55" i="1"/>
  <c r="K55" i="1"/>
  <c r="L55" i="1"/>
  <c r="M55" i="1"/>
  <c r="N55" i="1"/>
  <c r="F56" i="1"/>
  <c r="G56" i="1"/>
  <c r="H56" i="1"/>
  <c r="I56" i="1"/>
  <c r="J56" i="1"/>
  <c r="K56" i="1"/>
  <c r="L56" i="1"/>
  <c r="M56" i="1"/>
  <c r="N56" i="1"/>
  <c r="E56" i="1"/>
  <c r="E55" i="1"/>
  <c r="F49" i="1"/>
  <c r="G49" i="1"/>
  <c r="H49" i="1"/>
  <c r="I49" i="1"/>
  <c r="J49" i="1"/>
  <c r="K49" i="1"/>
  <c r="L49" i="1"/>
  <c r="M49" i="1"/>
  <c r="N49" i="1"/>
  <c r="F50" i="1"/>
  <c r="G50" i="1"/>
  <c r="H50" i="1"/>
  <c r="I50" i="1"/>
  <c r="J50" i="1"/>
  <c r="K50" i="1"/>
  <c r="L50" i="1"/>
  <c r="M50" i="1"/>
  <c r="N50" i="1"/>
  <c r="E50" i="1"/>
  <c r="E49" i="1"/>
  <c r="F43" i="1"/>
  <c r="G43" i="1"/>
  <c r="H43" i="1"/>
  <c r="I43" i="1"/>
  <c r="J43" i="1"/>
  <c r="K43" i="1"/>
  <c r="L43" i="1"/>
  <c r="M43" i="1"/>
  <c r="N43" i="1"/>
  <c r="F44" i="1"/>
  <c r="G44" i="1"/>
  <c r="H44" i="1"/>
  <c r="I44" i="1"/>
  <c r="J44" i="1"/>
  <c r="K44" i="1"/>
  <c r="L44" i="1"/>
  <c r="M44" i="1"/>
  <c r="N44" i="1"/>
  <c r="E44" i="1"/>
  <c r="E43" i="1"/>
  <c r="G40" i="1"/>
  <c r="H40" i="1"/>
  <c r="I40" i="1"/>
  <c r="J40" i="1"/>
  <c r="K40" i="1"/>
  <c r="L40" i="1"/>
  <c r="M40" i="1"/>
  <c r="N40" i="1"/>
  <c r="F40" i="1"/>
  <c r="N39" i="1"/>
  <c r="M39" i="1"/>
  <c r="L39" i="1"/>
  <c r="K39" i="1"/>
  <c r="J39" i="1"/>
  <c r="I39" i="1"/>
  <c r="H39" i="1"/>
  <c r="G39" i="1"/>
  <c r="F39" i="1"/>
  <c r="E39" i="1"/>
  <c r="N38" i="1"/>
  <c r="M38" i="1"/>
  <c r="L38" i="1"/>
  <c r="K38" i="1"/>
  <c r="J38" i="1"/>
  <c r="I38" i="1"/>
  <c r="H38" i="1"/>
  <c r="G38" i="1"/>
  <c r="F38" i="1"/>
  <c r="E38" i="1"/>
  <c r="Q41" i="1"/>
  <c r="R41" i="1" s="1"/>
  <c r="S41" i="1" s="1"/>
  <c r="P41" i="1"/>
  <c r="N36" i="1"/>
  <c r="M36" i="1"/>
  <c r="L36" i="1"/>
  <c r="K36" i="1"/>
  <c r="J36" i="1"/>
  <c r="I36" i="1"/>
  <c r="H36" i="1"/>
  <c r="G36" i="1"/>
  <c r="F36" i="1"/>
  <c r="E36" i="1"/>
  <c r="N35" i="1"/>
  <c r="M35" i="1"/>
  <c r="L35" i="1"/>
  <c r="K35" i="1"/>
  <c r="J35" i="1"/>
  <c r="I35" i="1"/>
  <c r="H35" i="1"/>
  <c r="G35" i="1"/>
  <c r="F35" i="1"/>
  <c r="E35" i="1"/>
  <c r="N33" i="1"/>
  <c r="M33" i="1"/>
  <c r="L33" i="1"/>
  <c r="K33" i="1"/>
  <c r="J33" i="1"/>
  <c r="I33" i="1"/>
  <c r="H33" i="1"/>
  <c r="G33" i="1"/>
  <c r="F33" i="1"/>
  <c r="E33" i="1"/>
  <c r="N32" i="1"/>
  <c r="M32" i="1"/>
  <c r="L32" i="1"/>
  <c r="K32" i="1"/>
  <c r="J32" i="1"/>
  <c r="I32" i="1"/>
  <c r="H32" i="1"/>
  <c r="G32" i="1"/>
  <c r="F32" i="1"/>
  <c r="E32" i="1"/>
  <c r="N29" i="1"/>
  <c r="M29" i="1"/>
  <c r="L29" i="1"/>
  <c r="K29" i="1"/>
  <c r="J29" i="1"/>
  <c r="I29" i="1"/>
  <c r="H29" i="1"/>
  <c r="G29" i="1"/>
  <c r="F29" i="1"/>
  <c r="E29" i="1"/>
  <c r="N28" i="1"/>
  <c r="M28" i="1"/>
  <c r="L28" i="1"/>
  <c r="K28" i="1"/>
  <c r="J28" i="1"/>
  <c r="I28" i="1"/>
  <c r="H28" i="1"/>
  <c r="G28" i="1"/>
  <c r="F28" i="1"/>
  <c r="E28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P25" i="1"/>
  <c r="Q25" i="1"/>
  <c r="R25" i="1"/>
  <c r="S25" i="1"/>
  <c r="O25" i="1"/>
  <c r="N25" i="1"/>
  <c r="M25" i="1"/>
  <c r="L25" i="1"/>
  <c r="K25" i="1"/>
  <c r="J25" i="1"/>
  <c r="I25" i="1"/>
  <c r="H25" i="1"/>
  <c r="G25" i="1"/>
  <c r="F25" i="1"/>
  <c r="E25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G31" i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F31" i="1"/>
  <c r="F21" i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E19" i="1"/>
  <c r="F17" i="5" l="1"/>
  <c r="F11" i="5"/>
  <c r="S44" i="1" l="1"/>
  <c r="Q44" i="1"/>
  <c r="O43" i="1"/>
  <c r="O66" i="1" s="1"/>
  <c r="R44" i="1"/>
  <c r="P44" i="1"/>
  <c r="O60" i="1" l="1"/>
  <c r="O63" i="1"/>
  <c r="O49" i="1"/>
  <c r="O55" i="1" s="1"/>
  <c r="P43" i="1"/>
  <c r="P66" i="1" s="1"/>
  <c r="P60" i="1" l="1"/>
  <c r="P63" i="1"/>
  <c r="O58" i="1"/>
  <c r="O69" i="1" s="1"/>
  <c r="O70" i="1" s="1"/>
  <c r="Q43" i="1"/>
  <c r="Q66" i="1" s="1"/>
  <c r="P49" i="1"/>
  <c r="Q60" i="1" l="1"/>
  <c r="Q63" i="1"/>
  <c r="P55" i="1"/>
  <c r="P58" i="1" s="1"/>
  <c r="P69" i="1" s="1"/>
  <c r="P70" i="1" s="1"/>
  <c r="R43" i="1"/>
  <c r="R66" i="1" s="1"/>
  <c r="Q49" i="1"/>
  <c r="R60" i="1" l="1"/>
  <c r="R63" i="1"/>
  <c r="Q55" i="1"/>
  <c r="Q58" i="1" s="1"/>
  <c r="Q69" i="1" s="1"/>
  <c r="Q70" i="1" s="1"/>
  <c r="S43" i="1"/>
  <c r="R49" i="1"/>
  <c r="S63" i="1" l="1"/>
  <c r="S66" i="1"/>
  <c r="S49" i="1"/>
  <c r="S55" i="1" s="1"/>
  <c r="S58" i="1" s="1"/>
  <c r="S60" i="1"/>
  <c r="R55" i="1"/>
  <c r="R58" i="1" s="1"/>
  <c r="R69" i="1" s="1"/>
  <c r="R70" i="1" s="1"/>
  <c r="S69" i="1" l="1"/>
  <c r="S75" i="1" s="1"/>
  <c r="S76" i="1" s="1"/>
  <c r="S70" i="1" l="1"/>
  <c r="S77" i="1" s="1"/>
  <c r="S80" i="1" l="1"/>
  <c r="S83" i="1" s="1"/>
  <c r="J4" i="1" l="1"/>
  <c r="J6" i="1" s="1"/>
</calcChain>
</file>

<file path=xl/sharedStrings.xml><?xml version="1.0" encoding="utf-8"?>
<sst xmlns="http://schemas.openxmlformats.org/spreadsheetml/2006/main" count="259" uniqueCount="180">
  <si>
    <t>DEC '14</t>
  </si>
  <si>
    <t>DEC '15</t>
  </si>
  <si>
    <t>DEC '16</t>
  </si>
  <si>
    <t>DEC '17</t>
  </si>
  <si>
    <t>DEC '18</t>
  </si>
  <si>
    <t>DEC '19</t>
  </si>
  <si>
    <t>DEC '20</t>
  </si>
  <si>
    <t>DEC '21</t>
  </si>
  <si>
    <t>DEC '22</t>
  </si>
  <si>
    <t>DEC '23</t>
  </si>
  <si>
    <t>Sales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</si>
  <si>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</si>
  <si>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</si>
  <si>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</si>
  <si>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</si>
  <si>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</si>
  <si>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Gross Income</t>
  </si>
  <si>
    <t>SG&amp;A Expense</t>
  </si>
  <si>
    <t>Research &amp; Development</t>
  </si>
  <si>
    <t>Other SG&amp;A</t>
  </si>
  <si>
    <t>Other Operating Expense</t>
  </si>
  <si>
    <t>EBIT (Operating Income)</t>
  </si>
  <si>
    <t>Nonoperating Income - Net</t>
  </si>
  <si>
    <t>Nonoperating Interest Income</t>
  </si>
  <si>
    <t>Other Income (Expense)</t>
  </si>
  <si>
    <t>Interest Expense</t>
  </si>
  <si>
    <t>Gross Interest Expense</t>
  </si>
  <si>
    <t>Unusual Expense - Net</t>
  </si>
  <si>
    <t>Restructuring Expense</t>
  </si>
  <si>
    <t>Unrealized Valuation Gain/Loss</t>
  </si>
  <si>
    <t>Investments</t>
  </si>
  <si>
    <t>Pretax Income</t>
  </si>
  <si>
    <t>Income Taxes</t>
  </si>
  <si>
    <t>Consolidated Net Income</t>
  </si>
  <si>
    <t>Net Income</t>
  </si>
  <si>
    <t>Net Income available to Common</t>
  </si>
  <si>
    <t>Per Share</t>
  </si>
  <si>
    <t>EPS (recurring)</t>
  </si>
  <si>
    <t>EPS (basic)</t>
  </si>
  <si>
    <t>Basic Shares Outstanding</t>
  </si>
  <si>
    <t>Total Shares Outstanding</t>
  </si>
  <si>
    <t>EPS (diluted)</t>
  </si>
  <si>
    <t>Diluted Shares Outstanding</t>
  </si>
  <si>
    <t>Earnings Persistence</t>
  </si>
  <si>
    <t>Dividends per Share</t>
  </si>
  <si>
    <t>Payout Ratio</t>
  </si>
  <si>
    <t>EBITDA</t>
  </si>
  <si>
    <t>EBIT</t>
  </si>
  <si>
    <t>All figures in millions of U.S. Dollar except per share items.</t>
  </si>
  <si>
    <t>Operating Activities</t>
  </si>
  <si>
    <t>Net Income / Starting Line</t>
  </si>
  <si>
    <t>Depreciation, Depletion &amp; Amortization</t>
  </si>
  <si>
    <t>Depreciation and Depletion</t>
  </si>
  <si>
    <t>Amortization of Intangible Assets</t>
  </si>
  <si>
    <t>Deferred Taxes &amp; Investment Tax Credit</t>
  </si>
  <si>
    <t>Deferred Taxes</t>
  </si>
  <si>
    <t>Other Funds</t>
  </si>
  <si>
    <t>Funds from Operations</t>
  </si>
  <si>
    <t>Changes in Working Capital</t>
  </si>
  <si>
    <t>Receivables</t>
  </si>
  <si>
    <t>Inventories</t>
  </si>
  <si>
    <t>Accounts Payable</t>
  </si>
  <si>
    <t>Other Accruals</t>
  </si>
  <si>
    <t>Other Assets/Liabilities</t>
  </si>
  <si>
    <t>Net Operating Cash Flow</t>
  </si>
  <si>
    <t>Investing Activities</t>
  </si>
  <si>
    <t>Capital Expenditures</t>
  </si>
  <si>
    <t>Capital Expenditures (Fixed Assets)</t>
  </si>
  <si>
    <t>Net Assets from Acquisitions</t>
  </si>
  <si>
    <t>Sale of Fixed Assets &amp; Businesses</t>
  </si>
  <si>
    <t>Purchase/Sale of Investments</t>
  </si>
  <si>
    <t>Purchase of Investments</t>
  </si>
  <si>
    <t>Sale/Maturity of Investments</t>
  </si>
  <si>
    <t>Other Uses</t>
  </si>
  <si>
    <t>Other Sources</t>
  </si>
  <si>
    <t>Net Investing Cash Flow</t>
  </si>
  <si>
    <t>Financing Activities</t>
  </si>
  <si>
    <t>Cash Dividends Paid</t>
  </si>
  <si>
    <t>Common Dividends</t>
  </si>
  <si>
    <t>Change in Capital Stock</t>
  </si>
  <si>
    <t>Repurchase of Common &amp; Preferred Stk.</t>
  </si>
  <si>
    <t>Sale of Common &amp; Preferred Stock</t>
  </si>
  <si>
    <t>Proceeds from Sale of Stock</t>
  </si>
  <si>
    <t>Proceeds from Stock Options</t>
  </si>
  <si>
    <t>Issuance/Reduction of Debt, Net</t>
  </si>
  <si>
    <t>Change in Long-Term Debt</t>
  </si>
  <si>
    <t>Issuance of Long-Term Debt</t>
  </si>
  <si>
    <t>Reduction in Long-Term Debt</t>
  </si>
  <si>
    <t>Net Financing Cash Flow</t>
  </si>
  <si>
    <t>All Activities</t>
  </si>
  <si>
    <t>Net Change in Cash</t>
  </si>
  <si>
    <t>Free Cash Flow</t>
  </si>
  <si>
    <t>Free Cash Flow per Share</t>
  </si>
  <si>
    <t>Free Cash Flow Yield (%)</t>
  </si>
  <si>
    <t>Dec '14</t>
  </si>
  <si>
    <t>Dec '15</t>
  </si>
  <si>
    <t>Dec '16</t>
  </si>
  <si>
    <t>Dec '17</t>
  </si>
  <si>
    <t>Dec '18</t>
  </si>
  <si>
    <t>Dec '19</t>
  </si>
  <si>
    <t>Dec '20</t>
  </si>
  <si>
    <t>Dec '21</t>
  </si>
  <si>
    <t>Dec '22</t>
  </si>
  <si>
    <t>Dec '23</t>
  </si>
  <si>
    <t>Dec '24E</t>
  </si>
  <si>
    <t>Dec '25E</t>
  </si>
  <si>
    <t>Dec '26E</t>
  </si>
  <si>
    <t>Dec '27E</t>
  </si>
  <si>
    <t>Dec '28E</t>
  </si>
  <si>
    <t>Dec '29E</t>
  </si>
  <si>
    <t>Cost of Sales</t>
  </si>
  <si>
    <t>-</t>
  </si>
  <si>
    <t>Tax Expense</t>
  </si>
  <si>
    <t>Estimates</t>
  </si>
  <si>
    <t>NVIDIA DCF</t>
  </si>
  <si>
    <t>Ticker</t>
  </si>
  <si>
    <t>Date</t>
  </si>
  <si>
    <t>Year end</t>
  </si>
  <si>
    <t>Assumptions</t>
  </si>
  <si>
    <t>Switches</t>
  </si>
  <si>
    <t>Revenue</t>
  </si>
  <si>
    <t>WACC</t>
  </si>
  <si>
    <t>TGR</t>
  </si>
  <si>
    <t>Valuation</t>
  </si>
  <si>
    <t>Income Statement (12/31 CYE)</t>
  </si>
  <si>
    <t>% growth</t>
  </si>
  <si>
    <t>% of sales</t>
  </si>
  <si>
    <t>Taxes</t>
  </si>
  <si>
    <t>Tax rate</t>
  </si>
  <si>
    <t>Cash Flow Items (12/31 CYE)</t>
  </si>
  <si>
    <t>D&amp;A</t>
  </si>
  <si>
    <t>CapEx</t>
  </si>
  <si>
    <t>Change in NWC</t>
  </si>
  <si>
    <t>% of change in sales</t>
  </si>
  <si>
    <t>DCF</t>
  </si>
  <si>
    <t>Conservative Case</t>
  </si>
  <si>
    <t>Street Case</t>
  </si>
  <si>
    <t>Optimistic Case</t>
  </si>
  <si>
    <t>EBIAT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</si>
  <si>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</si>
  <si>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</si>
  <si>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</si>
  <si>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</si>
  <si>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</si>
  <si>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</si>
  <si>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</si>
  <si>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</si>
  <si>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</si>
  <si>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</si>
  <si>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</si>
  <si>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Implied Stock Price</t>
  </si>
  <si>
    <t>Conservative</t>
  </si>
  <si>
    <t>Optimistic</t>
  </si>
  <si>
    <t>Year</t>
  </si>
  <si>
    <t>Metric</t>
  </si>
  <si>
    <t>'24</t>
  </si>
  <si>
    <t>'25-'28</t>
  </si>
  <si>
    <t>'28</t>
  </si>
  <si>
    <t>Implied Price Per Share</t>
  </si>
  <si>
    <t>Current Share Price</t>
  </si>
  <si>
    <t>Implied Upside / (Downside)</t>
  </si>
  <si>
    <t>Operating Income (EBIT)</t>
  </si>
  <si>
    <t>Based Q1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</si>
  <si>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</si>
  <si>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</si>
  <si>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</si>
  <si>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</si>
  <si>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</si>
  <si>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</si>
  <si>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</si>
  <si>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</si>
  <si>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</si>
  <si>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</si>
  <si>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</si>
  <si>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Financen.net</t>
  </si>
  <si>
    <t xml:space="preserve">Diff. zum MSCI W. </t>
  </si>
  <si>
    <t xml:space="preserve">10y Bonds </t>
  </si>
  <si>
    <t xml:space="preserve">&lt;- Blance Sheet </t>
  </si>
  <si>
    <t xml:space="preserve">Base </t>
  </si>
  <si>
    <t>TGR (Terminal Growth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</si>
</sst>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;\(0.0%\)"/>
    <numFmt numFmtId="165" formatCode="0.0%"/>
    <numFmt numFmtId="166" formatCode="&quot;$&quot;#,##0.00"/>
    <numFmt numFmtId="167" formatCode="0%;\(0%\)"/>
    <numFmt numFmtId="168" formatCode="General\A"/>
    <numFmt numFmtId="169" formatCode="General\E"/>
  </numFmts>
  <fonts count="1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3366"/>
      <name val="Arial"/>
      <family val="2"/>
    </font>
    <font>
      <sz val="10"/>
      <color rgb="FFFF0000"/>
      <name val="Arial"/>
      <family val="2"/>
    </font>
    <font>
      <sz val="10"/>
      <color rgb="FF646464"/>
      <name val="Arial"/>
      <family val="2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scheme val="minor"/>
    </font>
    <font>
      <b/>
      <sz val="12"/>
      <color theme="0"/>
      <name val="Aptos Narrow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7">
    <xf numFmtId="0" fontId="0" fillId="0" borderId="0" xfId="0"/>
    <xf numFmtId="0" fontId="3" fillId="2" borderId="0" xfId="2" applyFont="1" applyFill="1" applyAlignment="1">
      <alignment horizontal="left"/>
    </xf>
    <xf numFmtId="0" fontId="4" fillId="0" borderId="0" xfId="2" applyFont="1" applyAlignment="1">
      <alignment horizontal="left"/>
    </xf>
    <xf numFmtId="3" fontId="4" fillId="0" borderId="0" xfId="2" applyNumberFormat="1" applyFont="1" applyAlignment="1">
      <alignment horizontal="right"/>
    </xf>
    <xf numFmtId="0" fontId="4" fillId="3" borderId="0" xfId="2" applyFont="1" applyFill="1" applyAlignment="1">
      <alignment horizontal="left" indent="3"/>
    </xf>
    <xf numFmtId="3" fontId="4" fillId="3" borderId="0" xfId="2" applyNumberFormat="1" applyFont="1" applyFill="1" applyAlignment="1">
      <alignment horizontal="right"/>
    </xf>
    <xf numFmtId="0" fontId="2" fillId="0" borderId="0" xfId="2" applyAlignment="1">
      <alignment horizontal="left" indent="4"/>
    </xf>
    <xf numFmtId="3" fontId="2" fillId="0" borderId="0" xfId="2" applyNumberFormat="1" applyAlignment="1">
      <alignment horizontal="right"/>
    </xf>
    <xf numFmtId="0" fontId="4" fillId="3" borderId="0" xfId="2" applyFont="1" applyFill="1" applyAlignment="1">
      <alignment horizontal="left" indent="6"/>
    </xf>
    <xf numFmtId="0" fontId="2" fillId="0" borderId="0" xfId="2" applyAlignment="1">
      <alignment horizontal="left" indent="7"/>
    </xf>
    <xf numFmtId="0" fontId="2" fillId="3" borderId="0" xfId="2" applyFill="1" applyAlignment="1">
      <alignment horizontal="left" indent="7"/>
    </xf>
    <xf numFmtId="3" fontId="2" fillId="3" borderId="0" xfId="2" applyNumberFormat="1" applyFill="1" applyAlignment="1">
      <alignment horizontal="right"/>
    </xf>
    <xf numFmtId="0" fontId="2" fillId="3" borderId="0" xfId="2" applyFill="1" applyAlignment="1">
      <alignment horizontal="left" indent="4"/>
    </xf>
    <xf numFmtId="0" fontId="2" fillId="0" borderId="0" xfId="2" applyAlignment="1">
      <alignment horizontal="left" indent="1"/>
    </xf>
    <xf numFmtId="0" fontId="4" fillId="3" borderId="0" xfId="2" applyFont="1" applyFill="1" applyAlignment="1">
      <alignment horizontal="left"/>
    </xf>
    <xf numFmtId="0" fontId="4" fillId="0" borderId="0" xfId="2" applyFont="1" applyAlignment="1">
      <alignment horizontal="left" indent="3"/>
    </xf>
    <xf numFmtId="3" fontId="5" fillId="0" borderId="0" xfId="2" applyNumberFormat="1" applyFont="1" applyAlignment="1">
      <alignment horizontal="right"/>
    </xf>
    <xf numFmtId="0" fontId="2" fillId="0" borderId="0" xfId="2" applyAlignment="1">
      <alignment horizontal="left"/>
    </xf>
    <xf numFmtId="0" fontId="2" fillId="3" borderId="0" xfId="2" applyFill="1" applyAlignment="1">
      <alignment horizontal="left"/>
    </xf>
    <xf numFmtId="0" fontId="2" fillId="3" borderId="0" xfId="2" applyFill="1" applyAlignment="1">
      <alignment horizontal="left" indent="1"/>
    </xf>
    <xf numFmtId="4" fontId="2" fillId="3" borderId="0" xfId="2" applyNumberFormat="1" applyFill="1" applyAlignment="1">
      <alignment horizontal="right"/>
    </xf>
    <xf numFmtId="4" fontId="4" fillId="0" borderId="0" xfId="2" applyNumberFormat="1" applyFont="1" applyAlignment="1">
      <alignment horizontal="right"/>
    </xf>
    <xf numFmtId="4" fontId="2" fillId="0" borderId="0" xfId="2" applyNumberFormat="1" applyAlignment="1">
      <alignment horizontal="right"/>
    </xf>
    <xf numFmtId="4" fontId="4" fillId="3" borderId="0" xfId="2" applyNumberFormat="1" applyFont="1" applyFill="1" applyAlignment="1">
      <alignment horizontal="right"/>
    </xf>
    <xf numFmtId="0" fontId="6" fillId="0" borderId="0" xfId="2" applyFont="1" applyAlignment="1">
      <alignment horizontal="left"/>
    </xf>
    <xf numFmtId="0" fontId="2" fillId="0" borderId="0" xfId="2"/>
    <xf numFmtId="3" fontId="5" fillId="3" borderId="0" xfId="2" applyNumberFormat="1" applyFont="1" applyFill="1" applyAlignment="1">
      <alignment horizontal="right"/>
    </xf>
    <xf numFmtId="0" fontId="7" fillId="0" borderId="1" xfId="0" applyFont="1" applyBorder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166" fontId="0" fillId="0" borderId="0" xfId="0" applyNumberFormat="1"/>
    <xf numFmtId="167" fontId="0" fillId="0" borderId="0" xfId="0" applyNumberFormat="1"/>
    <xf numFmtId="0" fontId="0" fillId="5" borderId="0" xfId="0" applyFill="1"/>
    <xf numFmtId="0" fontId="14" fillId="4" borderId="0" xfId="0" applyFont="1" applyFill="1"/>
    <xf numFmtId="168" fontId="15" fillId="5" borderId="0" xfId="0" applyNumberFormat="1" applyFont="1" applyFill="1"/>
    <xf numFmtId="169" fontId="15" fillId="5" borderId="0" xfId="0" applyNumberFormat="1" applyFont="1" applyFill="1"/>
    <xf numFmtId="0" fontId="0" fillId="0" borderId="6" xfId="0" applyBorder="1"/>
    <xf numFmtId="0" fontId="0" fillId="0" borderId="8" xfId="0" applyBorder="1"/>
    <xf numFmtId="0" fontId="8" fillId="5" borderId="0" xfId="0" applyFont="1" applyFill="1"/>
    <xf numFmtId="0" fontId="11" fillId="6" borderId="0" xfId="0" applyFont="1" applyFill="1"/>
    <xf numFmtId="0" fontId="16" fillId="6" borderId="0" xfId="0" applyFont="1" applyFill="1"/>
    <xf numFmtId="0" fontId="13" fillId="6" borderId="0" xfId="0" applyFont="1" applyFill="1"/>
    <xf numFmtId="3" fontId="2" fillId="6" borderId="0" xfId="2" applyNumberFormat="1" applyFill="1" applyAlignment="1">
      <alignment horizontal="right"/>
    </xf>
    <xf numFmtId="3" fontId="4" fillId="6" borderId="0" xfId="2" applyNumberFormat="1" applyFont="1" applyFill="1" applyAlignment="1">
      <alignment horizontal="right"/>
    </xf>
    <xf numFmtId="3" fontId="0" fillId="0" borderId="0" xfId="0" applyNumberFormat="1"/>
    <xf numFmtId="10" fontId="0" fillId="0" borderId="0" xfId="0" applyNumberFormat="1"/>
    <xf numFmtId="3" fontId="5" fillId="6" borderId="0" xfId="2" applyNumberFormat="1" applyFont="1" applyFill="1" applyAlignment="1">
      <alignment horizontal="right"/>
    </xf>
    <xf numFmtId="9" fontId="0" fillId="0" borderId="0" xfId="1" applyFont="1"/>
    <xf numFmtId="9" fontId="0" fillId="0" borderId="0" xfId="0" applyNumberFormat="1"/>
    <xf numFmtId="10" fontId="0" fillId="6" borderId="0" xfId="0" applyNumberFormat="1" applyFill="1"/>
    <xf numFmtId="164" fontId="0" fillId="6" borderId="0" xfId="0" applyNumberFormat="1" applyFill="1"/>
    <xf numFmtId="3" fontId="0" fillId="0" borderId="6" xfId="0" applyNumberFormat="1" applyBorder="1"/>
    <xf numFmtId="9" fontId="0" fillId="6" borderId="0" xfId="0" applyNumberFormat="1" applyFill="1"/>
    <xf numFmtId="3" fontId="0" fillId="0" borderId="8" xfId="0" applyNumberFormat="1" applyBorder="1"/>
    <xf numFmtId="14" fontId="0" fillId="0" borderId="0" xfId="0" applyNumberFormat="1"/>
    <xf numFmtId="3" fontId="0" fillId="0" borderId="7" xfId="0" applyNumberFormat="1" applyBorder="1"/>
    <xf numFmtId="3" fontId="0" fillId="0" borderId="9" xfId="0" applyNumberFormat="1" applyBorder="1"/>
    <xf numFmtId="165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3" fontId="0" fillId="0" borderId="1" xfId="0" applyNumberFormat="1" applyBorder="1"/>
    <xf numFmtId="3" fontId="0" fillId="0" borderId="10" xfId="0" applyNumberFormat="1" applyBorder="1"/>
    <xf numFmtId="0" fontId="12" fillId="0" borderId="0" xfId="0" applyFont="1"/>
    <xf numFmtId="0" fontId="9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6" borderId="0" xfId="0" applyNumberFormat="1" applyFill="1" applyAlignment="1">
      <alignment horizontal="center"/>
    </xf>
    <xf numFmtId="165" fontId="0" fillId="6" borderId="0" xfId="1" applyNumberFormat="1" applyFont="1" applyFill="1" applyBorder="1" applyAlignment="1">
      <alignment horizontal="center"/>
    </xf>
    <xf numFmtId="3" fontId="0" fillId="6" borderId="0" xfId="0" applyNumberFormat="1" applyFill="1"/>
    <xf numFmtId="10" fontId="0" fillId="6" borderId="5" xfId="0" applyNumberFormat="1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1" fontId="0" fillId="6" borderId="5" xfId="0" applyNumberFormat="1" applyFill="1" applyBorder="1" applyAlignment="1">
      <alignment horizontal="right"/>
    </xf>
  </cellXfs>
  <cellStyles count="3">
    <cellStyle name="Normal 2" xfId="2" xr:uid="{2A46313D-4369-C044-93B8-DD7D8ADD1551}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2024.05.23-NVIDIA-DCF.xlsx" TargetMode="External"/><Relationship Id="rId1" Type="http://schemas.openxmlformats.org/officeDocument/2006/relationships/externalLinkPath" Target="/Users/oliverschuurmann/Desktop/2024.05.23-NVIDIA-DC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genda"/>
      <sheetName val="DCF"/>
      <sheetName val="WACC"/>
      <sheetName val="IS"/>
      <sheetName val="CFS"/>
      <sheetName val="Estimates"/>
    </sheetNames>
    <sheetDataSet>
      <sheetData sheetId="0"/>
      <sheetData sheetId="1">
        <row r="51">
          <cell r="O51">
            <v>0.64009987190777351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CD3B-E3F2-D641-9BB0-E525BF0DD067}">
  <dimension ref="B2:T83"/>
  <sheetViews>
    <sheetView showGridLines="0" tabSelected="1" topLeftCell="A62" workbookViewId="0">
      <pane xSplit="2" topLeftCell="C1" activePane="topRight" state="frozen"/>
      <selection pane="topRight" activeCell="S78" sqref="S78"/>
    </sheetView>
  </sheetViews>
  <sheetFormatPr baseColWidth="10" defaultRowHeight="16" x14ac:dyDescent="0.2"/>
  <cols>
    <col min="1" max="1" width="5.6640625" customWidth="1"/>
    <col min="2" max="2" width="26.6640625" bestFit="1" customWidth="1"/>
    <col min="3" max="3" width="8.1640625" customWidth="1"/>
    <col min="4" max="4" width="4.6640625" customWidth="1"/>
    <col min="19" max="19" width="13.1640625" bestFit="1" customWidth="1"/>
  </cols>
  <sheetData>
    <row r="2" spans="2:20" s="34" customFormat="1" ht="22" x14ac:dyDescent="0.3">
      <c r="B2" s="27" t="s">
        <v>114</v>
      </c>
    </row>
    <row r="4" spans="2:20" x14ac:dyDescent="0.2">
      <c r="B4" t="s">
        <v>115</v>
      </c>
      <c r="F4" t="s">
        <v>158</v>
      </c>
      <c r="J4" s="35">
        <f ca="1">S83</f>
        <v>560.01008979952792</v>
      </c>
      <c r="N4" s="35"/>
    </row>
    <row r="5" spans="2:20" x14ac:dyDescent="0.2">
      <c r="B5" t="s">
        <v>116</v>
      </c>
      <c r="C5" s="59">
        <v>45435</v>
      </c>
      <c r="F5" t="s">
        <v>159</v>
      </c>
      <c r="J5" s="35">
        <v>1042.31</v>
      </c>
      <c r="N5" s="35"/>
    </row>
    <row r="6" spans="2:20" x14ac:dyDescent="0.2">
      <c r="B6" t="s">
        <v>117</v>
      </c>
      <c r="C6" s="59">
        <v>45657</v>
      </c>
      <c r="F6" t="s">
        <v>160</v>
      </c>
      <c r="J6" s="36">
        <f ca="1">J4/J5-1</f>
        <v>-0.46272213660088846</v>
      </c>
      <c r="N6" s="35"/>
    </row>
    <row r="8" spans="2:20" x14ac:dyDescent="0.2">
      <c r="B8" s="43" t="s">
        <v>118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</row>
    <row r="10" spans="2:20" x14ac:dyDescent="0.2">
      <c r="B10" s="45" t="s">
        <v>119</v>
      </c>
      <c r="C10" s="46"/>
      <c r="D10" s="46"/>
      <c r="E10" s="46"/>
      <c r="G10" s="45" t="s">
        <v>151</v>
      </c>
      <c r="H10" s="46"/>
      <c r="I10" s="46"/>
      <c r="J10" s="46"/>
      <c r="L10" s="45" t="s">
        <v>178</v>
      </c>
      <c r="M10" s="46"/>
      <c r="N10" s="46"/>
      <c r="O10" s="46"/>
      <c r="Q10" s="45" t="s">
        <v>152</v>
      </c>
      <c r="R10" s="46"/>
      <c r="S10" s="44"/>
      <c r="T10" s="44"/>
    </row>
    <row r="11" spans="2:20" x14ac:dyDescent="0.2">
      <c r="B11" s="29" t="s">
        <v>118</v>
      </c>
      <c r="G11" s="29" t="s">
        <v>118</v>
      </c>
      <c r="H11" s="66"/>
      <c r="I11" s="67" t="s">
        <v>153</v>
      </c>
      <c r="J11" s="67" t="s">
        <v>154</v>
      </c>
      <c r="L11" s="29" t="s">
        <v>118</v>
      </c>
      <c r="M11" s="66"/>
      <c r="N11" s="67" t="s">
        <v>153</v>
      </c>
      <c r="O11" s="67" t="s">
        <v>154</v>
      </c>
      <c r="Q11" s="29" t="s">
        <v>118</v>
      </c>
      <c r="R11" s="66"/>
      <c r="S11" s="67" t="s">
        <v>153</v>
      </c>
      <c r="T11" s="67" t="s">
        <v>154</v>
      </c>
    </row>
    <row r="12" spans="2:20" x14ac:dyDescent="0.2">
      <c r="B12" t="s">
        <v>120</v>
      </c>
      <c r="E12" s="68">
        <v>1</v>
      </c>
      <c r="F12" s="69"/>
      <c r="G12" s="70"/>
      <c r="I12" s="70"/>
      <c r="J12" s="70"/>
      <c r="L12" t="s">
        <v>120</v>
      </c>
      <c r="N12" s="70" t="s">
        <v>155</v>
      </c>
      <c r="O12" s="71">
        <v>7.4999999999999997E-2</v>
      </c>
      <c r="Q12" t="s">
        <v>120</v>
      </c>
      <c r="S12" s="70" t="s">
        <v>155</v>
      </c>
      <c r="T12" s="71">
        <v>0.15</v>
      </c>
    </row>
    <row r="13" spans="2:20" x14ac:dyDescent="0.2">
      <c r="B13" t="s">
        <v>47</v>
      </c>
      <c r="E13" s="68">
        <v>1</v>
      </c>
      <c r="F13" s="69"/>
      <c r="G13" t="s">
        <v>120</v>
      </c>
      <c r="I13" s="70" t="s">
        <v>156</v>
      </c>
      <c r="J13" s="71">
        <v>-0.55000000000000004</v>
      </c>
      <c r="L13" t="s">
        <v>120</v>
      </c>
      <c r="N13" s="70" t="s">
        <v>156</v>
      </c>
      <c r="O13" s="71">
        <v>-0.5</v>
      </c>
      <c r="Q13" t="s">
        <v>120</v>
      </c>
      <c r="S13" s="70" t="s">
        <v>156</v>
      </c>
      <c r="T13" s="71">
        <v>-0.45</v>
      </c>
    </row>
    <row r="14" spans="2:20" x14ac:dyDescent="0.2">
      <c r="B14" t="s">
        <v>121</v>
      </c>
      <c r="E14" s="68">
        <v>1</v>
      </c>
      <c r="F14" s="69"/>
      <c r="G14" t="s">
        <v>47</v>
      </c>
      <c r="I14" s="70" t="s">
        <v>155</v>
      </c>
      <c r="J14" s="71">
        <v>-2.5000000000000001E-2</v>
      </c>
      <c r="Q14" t="s">
        <v>47</v>
      </c>
      <c r="S14" s="70" t="s">
        <v>155</v>
      </c>
      <c r="T14" s="71">
        <v>2.5000000000000001E-2</v>
      </c>
    </row>
    <row r="15" spans="2:20" x14ac:dyDescent="0.2">
      <c r="B15" t="s">
        <v>122</v>
      </c>
      <c r="E15" s="68">
        <v>1</v>
      </c>
      <c r="F15" s="69"/>
      <c r="G15" t="s">
        <v>47</v>
      </c>
      <c r="I15" s="70" t="s">
        <v>157</v>
      </c>
      <c r="J15" s="71">
        <v>0.6</v>
      </c>
      <c r="Q15" t="s">
        <v>47</v>
      </c>
      <c r="S15" s="70" t="s">
        <v>157</v>
      </c>
      <c r="T15" s="71">
        <v>0.68</v>
      </c>
    </row>
    <row r="16" spans="2:20" x14ac:dyDescent="0.2">
      <c r="F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</row>
    <row r="17" spans="2:20" x14ac:dyDescent="0.2">
      <c r="B17" s="29" t="s">
        <v>123</v>
      </c>
      <c r="F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</row>
    <row r="18" spans="2:20" x14ac:dyDescent="0.2">
      <c r="B18" t="s">
        <v>121</v>
      </c>
      <c r="E18" s="72">
        <f>CHOOSE(E14,J18,O18,T18)</f>
        <v>0.09</v>
      </c>
      <c r="F18" s="69"/>
      <c r="G18" t="s">
        <v>121</v>
      </c>
      <c r="J18" s="72">
        <v>0.09</v>
      </c>
      <c r="K18" s="69"/>
      <c r="L18" t="s">
        <v>121</v>
      </c>
      <c r="O18" s="72">
        <v>8.5000000000000006E-2</v>
      </c>
      <c r="P18" s="69"/>
      <c r="Q18" t="s">
        <v>121</v>
      </c>
      <c r="T18" s="72">
        <v>0.08</v>
      </c>
    </row>
    <row r="19" spans="2:20" x14ac:dyDescent="0.2">
      <c r="B19" t="s">
        <v>179</v>
      </c>
      <c r="E19" s="72">
        <f>CHOOSE(E15,J19,O19,T19)</f>
        <v>0.02</v>
      </c>
      <c r="G19" t="s">
        <v>122</v>
      </c>
      <c r="J19" s="72">
        <v>0.02</v>
      </c>
      <c r="K19" s="69"/>
      <c r="L19" t="s">
        <v>122</v>
      </c>
      <c r="O19" s="72">
        <v>2.5000000000000001E-2</v>
      </c>
      <c r="P19" s="69"/>
      <c r="Q19" t="s">
        <v>122</v>
      </c>
      <c r="T19" s="72">
        <v>0.03</v>
      </c>
    </row>
    <row r="21" spans="2:20" x14ac:dyDescent="0.2">
      <c r="B21" s="38" t="s">
        <v>124</v>
      </c>
      <c r="C21" s="39"/>
      <c r="D21" s="39"/>
      <c r="E21" s="39">
        <v>2014</v>
      </c>
      <c r="F21" s="39">
        <f>E21+1</f>
        <v>2015</v>
      </c>
      <c r="G21" s="39">
        <f t="shared" ref="G21:S21" si="0">F21+1</f>
        <v>2016</v>
      </c>
      <c r="H21" s="39">
        <f t="shared" si="0"/>
        <v>2017</v>
      </c>
      <c r="I21" s="39">
        <f t="shared" si="0"/>
        <v>2018</v>
      </c>
      <c r="J21" s="39">
        <f t="shared" si="0"/>
        <v>2019</v>
      </c>
      <c r="K21" s="39">
        <f t="shared" si="0"/>
        <v>2020</v>
      </c>
      <c r="L21" s="39">
        <f t="shared" si="0"/>
        <v>2021</v>
      </c>
      <c r="M21" s="39">
        <f t="shared" si="0"/>
        <v>2022</v>
      </c>
      <c r="N21" s="39">
        <f t="shared" si="0"/>
        <v>2023</v>
      </c>
      <c r="O21" s="40">
        <f t="shared" si="0"/>
        <v>2024</v>
      </c>
      <c r="P21" s="40">
        <f t="shared" si="0"/>
        <v>2025</v>
      </c>
      <c r="Q21" s="40">
        <f t="shared" si="0"/>
        <v>2026</v>
      </c>
      <c r="R21" s="40">
        <f t="shared" si="0"/>
        <v>2027</v>
      </c>
      <c r="S21" s="40">
        <f t="shared" si="0"/>
        <v>2028</v>
      </c>
    </row>
    <row r="22" spans="2:20" x14ac:dyDescent="0.2">
      <c r="B22" t="s">
        <v>120</v>
      </c>
      <c r="E22" s="49">
        <f>'Income Statement'!B2</f>
        <v>4646.0749999999998</v>
      </c>
      <c r="F22" s="49">
        <f>'Income Statement'!C2</f>
        <v>4959.8379999999997</v>
      </c>
      <c r="G22" s="49">
        <f>'Income Statement'!D2</f>
        <v>6652.6666670000004</v>
      </c>
      <c r="H22" s="49">
        <f>'Income Statement'!E2</f>
        <v>9468</v>
      </c>
      <c r="I22" s="49">
        <f>'Income Statement'!F2</f>
        <v>11951.333333</v>
      </c>
      <c r="J22" s="49">
        <f>'Income Statement'!G2</f>
        <v>10618</v>
      </c>
      <c r="K22" s="49">
        <f>'Income Statement'!H2</f>
        <v>16042.333333</v>
      </c>
      <c r="L22" s="49">
        <f>'Income Statement'!I2</f>
        <v>26034</v>
      </c>
      <c r="M22" s="49">
        <f>'Income Statement'!J2</f>
        <v>27504.666667000001</v>
      </c>
      <c r="N22" s="49">
        <f>'Income Statement'!K2</f>
        <v>55571.333333000002</v>
      </c>
      <c r="O22" s="49">
        <f>'Income Statement'!L50</f>
        <v>112419</v>
      </c>
      <c r="P22" s="49">
        <f>'Income Statement'!M50</f>
        <v>149445</v>
      </c>
      <c r="Q22" s="49">
        <f>'Income Statement'!N50</f>
        <v>171006</v>
      </c>
      <c r="R22" s="49">
        <f>'Income Statement'!O50</f>
        <v>205932</v>
      </c>
      <c r="S22" s="49">
        <f>'Income Statement'!P50</f>
        <v>202741</v>
      </c>
    </row>
    <row r="23" spans="2:20" x14ac:dyDescent="0.2">
      <c r="B23" s="30" t="s">
        <v>125</v>
      </c>
      <c r="F23" s="50">
        <f>F22/E22-1</f>
        <v>6.7532917570207074E-2</v>
      </c>
      <c r="G23" s="50">
        <f t="shared" ref="G23:S23" si="1">G22/F22-1</f>
        <v>0.34130724975291549</v>
      </c>
      <c r="H23" s="50">
        <f t="shared" si="1"/>
        <v>0.42318869619084132</v>
      </c>
      <c r="I23" s="50">
        <f t="shared" si="1"/>
        <v>0.26228700179552189</v>
      </c>
      <c r="J23" s="50">
        <f t="shared" si="1"/>
        <v>-0.11156356331543382</v>
      </c>
      <c r="K23" s="50">
        <f t="shared" si="1"/>
        <v>0.51086205810887186</v>
      </c>
      <c r="L23" s="50">
        <f t="shared" si="1"/>
        <v>0.62283125899438629</v>
      </c>
      <c r="M23" s="50">
        <f t="shared" si="1"/>
        <v>5.6490230736728986E-2</v>
      </c>
      <c r="N23" s="50">
        <f t="shared" si="1"/>
        <v>1.0204328961991851</v>
      </c>
      <c r="O23" s="50">
        <f t="shared" si="1"/>
        <v>1.0229674772485993</v>
      </c>
      <c r="P23" s="50">
        <f t="shared" si="1"/>
        <v>0.32935713713873982</v>
      </c>
      <c r="Q23" s="50">
        <f t="shared" si="1"/>
        <v>0.14427381310850151</v>
      </c>
      <c r="R23" s="50">
        <f t="shared" si="1"/>
        <v>0.20423844777376243</v>
      </c>
      <c r="S23" s="50">
        <f t="shared" si="1"/>
        <v>-1.5495406250606969E-2</v>
      </c>
    </row>
    <row r="25" spans="2:20" x14ac:dyDescent="0.2">
      <c r="B25" t="s">
        <v>47</v>
      </c>
      <c r="E25" s="49">
        <f>'Income Statement'!B13</f>
        <v>771.88367000000005</v>
      </c>
      <c r="F25" s="49">
        <f>'Income Statement'!C13</f>
        <v>916.43499999999995</v>
      </c>
      <c r="G25" s="49">
        <f>'Income Statement'!D13</f>
        <v>1829.3333299999999</v>
      </c>
      <c r="H25" s="49">
        <f>'Income Statement'!E13</f>
        <v>3094.6666700000001</v>
      </c>
      <c r="I25" s="49">
        <f>'Income Statement'!F13</f>
        <v>4063.6666700000001</v>
      </c>
      <c r="J25" s="49">
        <f>'Income Statement'!G13</f>
        <v>2614</v>
      </c>
      <c r="K25" s="49">
        <f>'Income Statement'!H13</f>
        <v>4437.3333300000004</v>
      </c>
      <c r="L25" s="49">
        <f>'Income Statement'!I13</f>
        <v>9569.6666700000005</v>
      </c>
      <c r="M25" s="49">
        <f>'Income Statement'!J13</f>
        <v>6149</v>
      </c>
      <c r="N25" s="49">
        <f>'Income Statement'!K13</f>
        <v>28852</v>
      </c>
      <c r="O25" s="49">
        <f>'Income Statement'!L54</f>
        <v>73804.5</v>
      </c>
      <c r="P25" s="49">
        <f>'Income Statement'!M54</f>
        <v>97919.3</v>
      </c>
      <c r="Q25" s="49">
        <f>'Income Statement'!N54</f>
        <v>109887</v>
      </c>
      <c r="R25" s="49">
        <f>'Income Statement'!O54</f>
        <v>127482</v>
      </c>
      <c r="S25" s="49">
        <f>'Income Statement'!P54</f>
        <v>131694</v>
      </c>
    </row>
    <row r="26" spans="2:20" x14ac:dyDescent="0.2">
      <c r="B26" s="30" t="s">
        <v>126</v>
      </c>
      <c r="E26" s="50">
        <f>E25/E22</f>
        <v>0.16613672185662093</v>
      </c>
      <c r="F26" s="50">
        <f t="shared" ref="F26:S26" si="2">F25/F22</f>
        <v>0.18477115583210579</v>
      </c>
      <c r="G26" s="50">
        <f t="shared" si="2"/>
        <v>0.27497745213573616</v>
      </c>
      <c r="H26" s="50">
        <f t="shared" si="2"/>
        <v>0.32685537283481203</v>
      </c>
      <c r="I26" s="50">
        <f t="shared" si="2"/>
        <v>0.34001785045852673</v>
      </c>
      <c r="J26" s="50">
        <f t="shared" si="2"/>
        <v>0.24618572235825956</v>
      </c>
      <c r="K26" s="50">
        <f t="shared" si="2"/>
        <v>0.27660149168401527</v>
      </c>
      <c r="L26" s="50">
        <f t="shared" si="2"/>
        <v>0.36758341668587236</v>
      </c>
      <c r="M26" s="50">
        <f t="shared" si="2"/>
        <v>0.22356206219279681</v>
      </c>
      <c r="N26" s="50">
        <f t="shared" si="2"/>
        <v>0.51918855045478596</v>
      </c>
      <c r="O26" s="50">
        <f t="shared" si="2"/>
        <v>0.656512689136178</v>
      </c>
      <c r="P26" s="50">
        <f t="shared" si="2"/>
        <v>0.65521964602362071</v>
      </c>
      <c r="Q26" s="50">
        <f t="shared" si="2"/>
        <v>0.64259148801796429</v>
      </c>
      <c r="R26" s="50">
        <f t="shared" si="2"/>
        <v>0.61904900646815453</v>
      </c>
      <c r="S26" s="50">
        <f t="shared" si="2"/>
        <v>0.64956767501393409</v>
      </c>
    </row>
    <row r="28" spans="2:20" x14ac:dyDescent="0.2">
      <c r="B28" t="s">
        <v>127</v>
      </c>
      <c r="E28" s="49">
        <f>'Income Statement'!B24</f>
        <v>119.995667</v>
      </c>
      <c r="F28" s="49">
        <f>'Income Statement'!C24</f>
        <v>125.243667</v>
      </c>
      <c r="G28" s="49">
        <f>'Income Statement'!D24</f>
        <v>250.66666599999999</v>
      </c>
      <c r="H28" s="49">
        <f>'Income Statement'!E24</f>
        <v>185</v>
      </c>
      <c r="I28" s="49">
        <f>'Income Statement'!F24</f>
        <v>-178.33333300000001</v>
      </c>
      <c r="J28" s="49">
        <f>'Income Statement'!G24</f>
        <v>72</v>
      </c>
      <c r="K28" s="49">
        <f>'Income Statement'!H24</f>
        <v>93.666667000000004</v>
      </c>
      <c r="L28" s="49">
        <f>'Income Statement'!I24</f>
        <v>238.33333300000001</v>
      </c>
      <c r="M28" s="49">
        <f>'Income Statement'!J24</f>
        <v>-190.33333300000001</v>
      </c>
      <c r="N28" s="49">
        <f>'Income Statement'!K24</f>
        <v>3410.333333</v>
      </c>
    </row>
    <row r="29" spans="2:20" x14ac:dyDescent="0.2">
      <c r="B29" s="30" t="s">
        <v>128</v>
      </c>
      <c r="E29" s="52">
        <f>E28/'Income Statement'!B23</f>
        <v>0.16321966079009331</v>
      </c>
      <c r="F29" s="52">
        <f>F28/'Income Statement'!C23</f>
        <v>0.17072016009625324</v>
      </c>
      <c r="G29" s="52">
        <f>G28/'Income Statement'!D23</f>
        <v>0.14345669556342172</v>
      </c>
      <c r="H29" s="52">
        <f>H28/'Income Statement'!E23</f>
        <v>6.0130010827721563E-2</v>
      </c>
      <c r="I29" s="52">
        <f>I28/'Income Statement'!F23</f>
        <v>-4.2999517685500692E-2</v>
      </c>
      <c r="J29" s="52">
        <f>J28/'Income Statement'!G23</f>
        <v>2.6283767343183714E-2</v>
      </c>
      <c r="K29" s="52">
        <f>K28/'Income Statement'!H23</f>
        <v>2.2004698588723202E-2</v>
      </c>
      <c r="L29" s="52">
        <f>L28/'Income Statement'!I23</f>
        <v>2.5151259286618828E-2</v>
      </c>
      <c r="M29" s="52">
        <f>M28/'Income Statement'!J23</f>
        <v>-4.0433366310751555E-2</v>
      </c>
      <c r="N29" s="52">
        <f>N28/'Income Statement'!K23</f>
        <v>0.11542583795575859</v>
      </c>
    </row>
    <row r="31" spans="2:20" x14ac:dyDescent="0.2">
      <c r="B31" s="28" t="s">
        <v>129</v>
      </c>
      <c r="C31" s="39"/>
      <c r="D31" s="39"/>
      <c r="E31" s="39">
        <v>2014</v>
      </c>
      <c r="F31" s="39">
        <f>E31+1</f>
        <v>2015</v>
      </c>
      <c r="G31" s="39">
        <f t="shared" ref="G31:S31" si="3">F31+1</f>
        <v>2016</v>
      </c>
      <c r="H31" s="39">
        <f t="shared" si="3"/>
        <v>2017</v>
      </c>
      <c r="I31" s="39">
        <f t="shared" si="3"/>
        <v>2018</v>
      </c>
      <c r="J31" s="39">
        <f t="shared" si="3"/>
        <v>2019</v>
      </c>
      <c r="K31" s="39">
        <f t="shared" si="3"/>
        <v>2020</v>
      </c>
      <c r="L31" s="39">
        <f t="shared" si="3"/>
        <v>2021</v>
      </c>
      <c r="M31" s="39">
        <f t="shared" si="3"/>
        <v>2022</v>
      </c>
      <c r="N31" s="39">
        <f t="shared" si="3"/>
        <v>2023</v>
      </c>
      <c r="O31" s="40">
        <f t="shared" si="3"/>
        <v>2024</v>
      </c>
      <c r="P31" s="40">
        <f t="shared" si="3"/>
        <v>2025</v>
      </c>
      <c r="Q31" s="40">
        <f t="shared" si="3"/>
        <v>2026</v>
      </c>
      <c r="R31" s="40">
        <f t="shared" si="3"/>
        <v>2027</v>
      </c>
      <c r="S31" s="40">
        <f t="shared" si="3"/>
        <v>2028</v>
      </c>
    </row>
    <row r="32" spans="2:20" x14ac:dyDescent="0.2">
      <c r="B32" t="s">
        <v>130</v>
      </c>
      <c r="E32" s="49">
        <f>'Cashflow Statement'!B4</f>
        <v>220.41933299999999</v>
      </c>
      <c r="F32" s="49">
        <f>'Cashflow Statement'!C4</f>
        <v>199.651667</v>
      </c>
      <c r="G32" s="49">
        <f>'Cashflow Statement'!D4</f>
        <v>186.66666599999999</v>
      </c>
      <c r="H32" s="49">
        <f>'Cashflow Statement'!E4</f>
        <v>196.66666699999999</v>
      </c>
      <c r="I32" s="49">
        <f>'Cashflow Statement'!F4</f>
        <v>254</v>
      </c>
      <c r="J32" s="49">
        <f>'Cashflow Statement'!G4</f>
        <v>371.66666700000002</v>
      </c>
      <c r="K32" s="49">
        <f>'Cashflow Statement'!H4</f>
        <v>1037.333333</v>
      </c>
      <c r="L32" s="49">
        <f>'Cashflow Statement'!I4</f>
        <v>1167</v>
      </c>
      <c r="M32" s="49">
        <f>'Cashflow Statement'!J4</f>
        <v>1505</v>
      </c>
      <c r="N32" s="49">
        <f>'Cashflow Statement'!K4</f>
        <v>1521</v>
      </c>
    </row>
    <row r="33" spans="2:19" x14ac:dyDescent="0.2">
      <c r="B33" t="s">
        <v>126</v>
      </c>
      <c r="E33" s="50">
        <f>E32/E22</f>
        <v>4.7442052269926767E-2</v>
      </c>
      <c r="F33" s="50">
        <f t="shared" ref="F33:N33" si="4">F32/F22</f>
        <v>4.0253666954444885E-2</v>
      </c>
      <c r="G33" s="50">
        <f t="shared" si="4"/>
        <v>2.8058923638237348E-2</v>
      </c>
      <c r="H33" s="50">
        <f t="shared" si="4"/>
        <v>2.0771722327841149E-2</v>
      </c>
      <c r="I33" s="50">
        <f t="shared" si="4"/>
        <v>2.1252858816903353E-2</v>
      </c>
      <c r="J33" s="50">
        <f t="shared" si="4"/>
        <v>3.500345328687135E-2</v>
      </c>
      <c r="K33" s="50">
        <f t="shared" si="4"/>
        <v>6.466224778325394E-2</v>
      </c>
      <c r="L33" s="50">
        <f t="shared" si="4"/>
        <v>4.4825996773450102E-2</v>
      </c>
      <c r="M33" s="50">
        <f t="shared" si="4"/>
        <v>5.4717987249985237E-2</v>
      </c>
      <c r="N33" s="50">
        <f t="shared" si="4"/>
        <v>2.737022685573719E-2</v>
      </c>
    </row>
    <row r="35" spans="2:19" x14ac:dyDescent="0.2">
      <c r="B35" t="s">
        <v>131</v>
      </c>
      <c r="E35" s="49">
        <f>-'Cashflow Statement'!B19</f>
        <v>134.15733399999999</v>
      </c>
      <c r="F35" s="49">
        <f>-'Cashflow Statement'!C19</f>
        <v>91.348332999999997</v>
      </c>
      <c r="G35" s="49">
        <f>-'Cashflow Statement'!D19</f>
        <v>164</v>
      </c>
      <c r="H35" s="49">
        <f>-'Cashflow Statement'!E19</f>
        <v>471.33333299999998</v>
      </c>
      <c r="I35" s="49">
        <f>-'Cashflow Statement'!F19</f>
        <v>671</v>
      </c>
      <c r="J35" s="49">
        <f>-'Cashflow Statement'!G19</f>
        <v>508.33333399999998</v>
      </c>
      <c r="K35" s="49">
        <f>-'Cashflow Statement'!H19</f>
        <v>1082</v>
      </c>
      <c r="L35" s="49">
        <f>-'Cashflow Statement'!I19</f>
        <v>979.33333300000004</v>
      </c>
      <c r="M35" s="49">
        <f>-'Cashflow Statement'!J19</f>
        <v>1754.333333</v>
      </c>
      <c r="N35" s="49">
        <f>-'Cashflow Statement'!K19</f>
        <v>1154</v>
      </c>
    </row>
    <row r="36" spans="2:19" x14ac:dyDescent="0.2">
      <c r="B36" s="30" t="s">
        <v>126</v>
      </c>
      <c r="E36" s="50">
        <f>E35/E22</f>
        <v>2.887541290228849E-2</v>
      </c>
      <c r="F36" s="50">
        <f t="shared" ref="F36:N36" si="5">F35/F22</f>
        <v>1.8417604163684379E-2</v>
      </c>
      <c r="G36" s="50">
        <f t="shared" si="5"/>
        <v>2.4651768713064848E-2</v>
      </c>
      <c r="H36" s="50">
        <f t="shared" si="5"/>
        <v>4.9781720849176168E-2</v>
      </c>
      <c r="I36" s="50">
        <f t="shared" si="5"/>
        <v>5.6144363252528147E-2</v>
      </c>
      <c r="J36" s="50">
        <f t="shared" si="5"/>
        <v>4.7874678282162367E-2</v>
      </c>
      <c r="K36" s="50">
        <f t="shared" si="5"/>
        <v>6.7446547677342164E-2</v>
      </c>
      <c r="L36" s="50">
        <f t="shared" si="5"/>
        <v>3.7617474571713917E-2</v>
      </c>
      <c r="M36" s="50">
        <f t="shared" si="5"/>
        <v>6.3783115579613359E-2</v>
      </c>
      <c r="N36" s="50">
        <f t="shared" si="5"/>
        <v>2.0766102427035318E-2</v>
      </c>
    </row>
    <row r="38" spans="2:19" x14ac:dyDescent="0.2">
      <c r="B38" t="s">
        <v>132</v>
      </c>
      <c r="E38" s="49">
        <f>-'Cashflow Statement'!B11</f>
        <v>194.42599999999999</v>
      </c>
      <c r="F38" s="49">
        <f>-'Cashflow Statement'!C11</f>
        <v>61.181333000000002</v>
      </c>
      <c r="G38" s="49">
        <f>-'Cashflow Statement'!D11</f>
        <v>588.33333400000004</v>
      </c>
      <c r="H38" s="49">
        <f>-'Cashflow Statement'!E11</f>
        <v>43.666665999999999</v>
      </c>
      <c r="I38" s="49">
        <f>-'Cashflow Statement'!F11</f>
        <v>817.33333400000004</v>
      </c>
      <c r="J38" s="49">
        <f>-'Cashflow Statement'!G11</f>
        <v>-812.66666699999996</v>
      </c>
      <c r="K38" s="49">
        <f>-'Cashflow Statement'!H11</f>
        <v>677.66666699999996</v>
      </c>
      <c r="L38" s="49">
        <f>-'Cashflow Statement'!I11</f>
        <v>3106.6666660000001</v>
      </c>
      <c r="M38" s="49">
        <f>-'Cashflow Statement'!J11</f>
        <v>2529.3333339999999</v>
      </c>
      <c r="N38" s="49">
        <f>-'Cashflow Statement'!K11</f>
        <v>3053.333333</v>
      </c>
    </row>
    <row r="39" spans="2:19" x14ac:dyDescent="0.2">
      <c r="B39" s="30" t="s">
        <v>126</v>
      </c>
      <c r="E39" s="50">
        <f>E38/E22</f>
        <v>4.1847365787250526E-2</v>
      </c>
      <c r="F39" s="50">
        <f t="shared" ref="F39:N39" si="6">F38/F22</f>
        <v>1.2335349057771646E-2</v>
      </c>
      <c r="G39" s="50">
        <f t="shared" si="6"/>
        <v>8.8435715097282513E-2</v>
      </c>
      <c r="H39" s="50">
        <f t="shared" si="6"/>
        <v>4.6120264047317281E-3</v>
      </c>
      <c r="I39" s="50">
        <f t="shared" si="6"/>
        <v>6.8388464385239822E-2</v>
      </c>
      <c r="J39" s="50">
        <f t="shared" si="6"/>
        <v>-7.6536698719156152E-2</v>
      </c>
      <c r="K39" s="50">
        <f t="shared" si="6"/>
        <v>4.2242400337487114E-2</v>
      </c>
      <c r="L39" s="50">
        <f t="shared" si="6"/>
        <v>0.11933113105938388</v>
      </c>
      <c r="M39" s="50">
        <f t="shared" si="6"/>
        <v>9.1960152239717374E-2</v>
      </c>
      <c r="N39" s="50">
        <f t="shared" si="6"/>
        <v>5.4944395785926463E-2</v>
      </c>
    </row>
    <row r="40" spans="2:19" x14ac:dyDescent="0.2">
      <c r="B40" s="30" t="s">
        <v>133</v>
      </c>
      <c r="F40" s="50">
        <f>F38/(F22-E22)</f>
        <v>0.19499218518435896</v>
      </c>
      <c r="G40" s="50">
        <f t="shared" ref="G40:N40" si="7">G38/(G22-F22)</f>
        <v>0.34754452442173805</v>
      </c>
      <c r="H40" s="50">
        <f t="shared" si="7"/>
        <v>1.5510300499113228E-2</v>
      </c>
      <c r="I40" s="50">
        <f t="shared" si="7"/>
        <v>0.32912751709115801</v>
      </c>
      <c r="J40" s="50">
        <f t="shared" si="7"/>
        <v>0.60950000040237473</v>
      </c>
      <c r="K40" s="50">
        <f t="shared" si="7"/>
        <v>0.12493086714956865</v>
      </c>
      <c r="L40" s="50">
        <f t="shared" si="7"/>
        <v>0.31092577139913513</v>
      </c>
      <c r="M40" s="50">
        <f t="shared" si="7"/>
        <v>1.7198549411333042</v>
      </c>
      <c r="N40" s="50">
        <f t="shared" si="7"/>
        <v>0.10878859856552942</v>
      </c>
    </row>
    <row r="41" spans="2:19" x14ac:dyDescent="0.2">
      <c r="O41">
        <v>1</v>
      </c>
      <c r="P41">
        <f>O41+1</f>
        <v>2</v>
      </c>
      <c r="Q41">
        <f t="shared" ref="Q41:S41" si="8">P41+1</f>
        <v>3</v>
      </c>
      <c r="R41">
        <f t="shared" si="8"/>
        <v>4</v>
      </c>
      <c r="S41">
        <f t="shared" si="8"/>
        <v>5</v>
      </c>
    </row>
    <row r="42" spans="2:19" x14ac:dyDescent="0.2">
      <c r="B42" s="28" t="s">
        <v>134</v>
      </c>
      <c r="C42" s="39"/>
      <c r="D42" s="39"/>
      <c r="E42" s="39">
        <v>2014</v>
      </c>
      <c r="F42" s="39">
        <f>E42+1</f>
        <v>2015</v>
      </c>
      <c r="G42" s="39">
        <f t="shared" ref="G42:S42" si="9">F42+1</f>
        <v>2016</v>
      </c>
      <c r="H42" s="39">
        <f t="shared" si="9"/>
        <v>2017</v>
      </c>
      <c r="I42" s="39">
        <f t="shared" si="9"/>
        <v>2018</v>
      </c>
      <c r="J42" s="39">
        <f t="shared" si="9"/>
        <v>2019</v>
      </c>
      <c r="K42" s="39">
        <f t="shared" si="9"/>
        <v>2020</v>
      </c>
      <c r="L42" s="39">
        <f t="shared" si="9"/>
        <v>2021</v>
      </c>
      <c r="M42" s="39">
        <f t="shared" si="9"/>
        <v>2022</v>
      </c>
      <c r="N42" s="39">
        <f t="shared" si="9"/>
        <v>2023</v>
      </c>
      <c r="O42" s="40">
        <f t="shared" si="9"/>
        <v>2024</v>
      </c>
      <c r="P42" s="40">
        <f t="shared" si="9"/>
        <v>2025</v>
      </c>
      <c r="Q42" s="40">
        <f t="shared" si="9"/>
        <v>2026</v>
      </c>
      <c r="R42" s="40">
        <f t="shared" si="9"/>
        <v>2027</v>
      </c>
      <c r="S42" s="40">
        <f t="shared" si="9"/>
        <v>2028</v>
      </c>
    </row>
    <row r="43" spans="2:19" x14ac:dyDescent="0.2">
      <c r="B43" t="s">
        <v>120</v>
      </c>
      <c r="E43" s="49">
        <f>E22</f>
        <v>4646.0749999999998</v>
      </c>
      <c r="F43" s="49">
        <f t="shared" ref="F43:N43" si="10">F22</f>
        <v>4959.8379999999997</v>
      </c>
      <c r="G43" s="49">
        <f t="shared" si="10"/>
        <v>6652.6666670000004</v>
      </c>
      <c r="H43" s="49">
        <f t="shared" si="10"/>
        <v>9468</v>
      </c>
      <c r="I43" s="49">
        <f t="shared" si="10"/>
        <v>11951.333333</v>
      </c>
      <c r="J43" s="49">
        <f t="shared" si="10"/>
        <v>10618</v>
      </c>
      <c r="K43" s="49">
        <f t="shared" si="10"/>
        <v>16042.333333</v>
      </c>
      <c r="L43" s="49">
        <f t="shared" si="10"/>
        <v>26034</v>
      </c>
      <c r="M43" s="49">
        <f t="shared" si="10"/>
        <v>27504.666667000001</v>
      </c>
      <c r="N43" s="49">
        <f t="shared" si="10"/>
        <v>55571.333333000002</v>
      </c>
      <c r="O43" s="49">
        <f ca="1">N43*(1+O44)</f>
        <v>112419.00000000001</v>
      </c>
      <c r="P43" s="49">
        <f t="shared" ref="P43:S43" ca="1" si="11">O43*(1+P44)</f>
        <v>164169.44137116466</v>
      </c>
      <c r="Q43" s="49">
        <f t="shared" ca="1" si="11"/>
        <v>198177.29122552101</v>
      </c>
      <c r="R43" s="49">
        <f t="shared" ca="1" si="11"/>
        <v>216650.96439339445</v>
      </c>
      <c r="S43" s="49">
        <f t="shared" ca="1" si="11"/>
        <v>225739.05207150843</v>
      </c>
    </row>
    <row r="44" spans="2:19" x14ac:dyDescent="0.2">
      <c r="B44" s="30" t="s">
        <v>125</v>
      </c>
      <c r="E44" s="50">
        <f>E23</f>
        <v>0</v>
      </c>
      <c r="F44" s="50">
        <f t="shared" ref="F44:N44" si="12">F23</f>
        <v>6.7532917570207074E-2</v>
      </c>
      <c r="G44" s="50">
        <f t="shared" si="12"/>
        <v>0.34130724975291549</v>
      </c>
      <c r="H44" s="50">
        <f t="shared" si="12"/>
        <v>0.42318869619084132</v>
      </c>
      <c r="I44" s="50">
        <f t="shared" si="12"/>
        <v>0.26228700179552189</v>
      </c>
      <c r="J44" s="50">
        <f t="shared" si="12"/>
        <v>-0.11156356331543382</v>
      </c>
      <c r="K44" s="50">
        <f t="shared" si="12"/>
        <v>0.51086205810887186</v>
      </c>
      <c r="L44" s="50">
        <f t="shared" si="12"/>
        <v>0.62283125899438629</v>
      </c>
      <c r="M44" s="50">
        <f t="shared" si="12"/>
        <v>5.6490230736728986E-2</v>
      </c>
      <c r="N44" s="50">
        <f t="shared" si="12"/>
        <v>1.0204328961991851</v>
      </c>
      <c r="O44" s="50">
        <f ca="1">OFFSET(O44,$E$12,0)</f>
        <v>1.0229674772485993</v>
      </c>
      <c r="P44" s="50">
        <f ca="1">OFFSET(P44,$E$12,0)</f>
        <v>0.46033536476186965</v>
      </c>
      <c r="Q44" s="50">
        <f ca="1">OFFSET(Q44,$E$12,0)</f>
        <v>0.20715091414284131</v>
      </c>
      <c r="R44" s="50">
        <f ca="1">OFFSET(R44,$E$12,0)</f>
        <v>9.321791136427858E-2</v>
      </c>
      <c r="S44" s="50">
        <f ca="1">OFFSET(S44,$E$12,0)</f>
        <v>4.1948060113925358E-2</v>
      </c>
    </row>
    <row r="45" spans="2:19" x14ac:dyDescent="0.2">
      <c r="B45" t="s">
        <v>135</v>
      </c>
      <c r="O45" s="54">
        <f>O23</f>
        <v>1.0229674772485993</v>
      </c>
      <c r="P45" s="54">
        <f>O45*(1+$J13)</f>
        <v>0.46033536476186965</v>
      </c>
      <c r="Q45" s="54">
        <f t="shared" ref="Q45:S45" si="13">P45*(1+$J13)</f>
        <v>0.20715091414284131</v>
      </c>
      <c r="R45" s="54">
        <f t="shared" si="13"/>
        <v>9.321791136427858E-2</v>
      </c>
      <c r="S45" s="54">
        <f t="shared" si="13"/>
        <v>4.1948060113925358E-2</v>
      </c>
    </row>
    <row r="46" spans="2:19" x14ac:dyDescent="0.2">
      <c r="B46" t="s">
        <v>136</v>
      </c>
      <c r="O46" s="54">
        <f>O45*(1+O12)</f>
        <v>1.0996900380422441</v>
      </c>
      <c r="P46" s="54">
        <f>O46*(1+$O13)</f>
        <v>0.54984501902112204</v>
      </c>
      <c r="Q46" s="54">
        <f t="shared" ref="Q46:S46" si="14">P46*(1+$O13)</f>
        <v>0.27492250951056102</v>
      </c>
      <c r="R46" s="54">
        <f t="shared" si="14"/>
        <v>0.13746125475528051</v>
      </c>
      <c r="S46" s="54">
        <f t="shared" si="14"/>
        <v>6.8730627377640255E-2</v>
      </c>
    </row>
    <row r="47" spans="2:19" x14ac:dyDescent="0.2">
      <c r="B47" t="s">
        <v>137</v>
      </c>
      <c r="O47" s="54">
        <f>O45*(1+T12)</f>
        <v>1.1764125988358891</v>
      </c>
      <c r="P47" s="54">
        <f>O47*(1+$T13)</f>
        <v>0.64702692935973904</v>
      </c>
      <c r="Q47" s="54">
        <f t="shared" ref="Q47:S47" si="15">P47*(1+$T13)</f>
        <v>0.35586481114785651</v>
      </c>
      <c r="R47" s="54">
        <f t="shared" si="15"/>
        <v>0.1957256461313211</v>
      </c>
      <c r="S47" s="54">
        <f t="shared" si="15"/>
        <v>0.10764910537222661</v>
      </c>
    </row>
    <row r="49" spans="2:20" x14ac:dyDescent="0.2">
      <c r="B49" t="s">
        <v>47</v>
      </c>
      <c r="E49" s="49">
        <f>E25</f>
        <v>771.88367000000005</v>
      </c>
      <c r="F49" s="49">
        <f t="shared" ref="F49:N49" si="16">F25</f>
        <v>916.43499999999995</v>
      </c>
      <c r="G49" s="49">
        <f t="shared" si="16"/>
        <v>1829.3333299999999</v>
      </c>
      <c r="H49" s="49">
        <f t="shared" si="16"/>
        <v>3094.6666700000001</v>
      </c>
      <c r="I49" s="49">
        <f t="shared" si="16"/>
        <v>4063.6666700000001</v>
      </c>
      <c r="J49" s="49">
        <f t="shared" si="16"/>
        <v>2614</v>
      </c>
      <c r="K49" s="49">
        <f t="shared" si="16"/>
        <v>4437.3333300000004</v>
      </c>
      <c r="L49" s="49">
        <f t="shared" si="16"/>
        <v>9569.6666700000005</v>
      </c>
      <c r="M49" s="49">
        <f t="shared" si="16"/>
        <v>6149</v>
      </c>
      <c r="N49" s="49">
        <f t="shared" si="16"/>
        <v>28852</v>
      </c>
      <c r="O49" s="49">
        <f ca="1">O43*O50</f>
        <v>71959.387499999997</v>
      </c>
      <c r="P49" s="49">
        <f t="shared" ref="P49:S49" ca="1" si="17">P43*P50</f>
        <v>103439.04500031463</v>
      </c>
      <c r="Q49" s="49">
        <f t="shared" ca="1" si="17"/>
        <v>122879.81673189906</v>
      </c>
      <c r="R49" s="49">
        <f t="shared" ca="1" si="17"/>
        <v>132162.49761625432</v>
      </c>
      <c r="S49" s="49">
        <f t="shared" ca="1" si="17"/>
        <v>135443.43124290506</v>
      </c>
    </row>
    <row r="50" spans="2:20" x14ac:dyDescent="0.2">
      <c r="B50" s="30" t="s">
        <v>126</v>
      </c>
      <c r="E50" s="50">
        <f>E26</f>
        <v>0.16613672185662093</v>
      </c>
      <c r="F50" s="50">
        <f t="shared" ref="F50:N50" si="18">F26</f>
        <v>0.18477115583210579</v>
      </c>
      <c r="G50" s="50">
        <f t="shared" si="18"/>
        <v>0.27497745213573616</v>
      </c>
      <c r="H50" s="50">
        <f t="shared" si="18"/>
        <v>0.32685537283481203</v>
      </c>
      <c r="I50" s="50">
        <f t="shared" si="18"/>
        <v>0.34001785045852673</v>
      </c>
      <c r="J50" s="50">
        <f t="shared" si="18"/>
        <v>0.24618572235825956</v>
      </c>
      <c r="K50" s="50">
        <f t="shared" si="18"/>
        <v>0.27660149168401527</v>
      </c>
      <c r="L50" s="50">
        <f t="shared" si="18"/>
        <v>0.36758341668587236</v>
      </c>
      <c r="M50" s="50">
        <f t="shared" si="18"/>
        <v>0.22356206219279681</v>
      </c>
      <c r="N50" s="50">
        <f t="shared" si="18"/>
        <v>0.51918855045478596</v>
      </c>
      <c r="O50" s="50">
        <f ca="1">OFFSET(O50,$E$13,0)</f>
        <v>0.64009987190777351</v>
      </c>
      <c r="P50" s="50">
        <f t="shared" ref="P50:S50" ca="1" si="19">OFFSET(P50,$E$13,0)</f>
        <v>0.6300749039308301</v>
      </c>
      <c r="Q50" s="50">
        <f t="shared" ca="1" si="19"/>
        <v>0.62004993595388669</v>
      </c>
      <c r="R50" s="50">
        <f t="shared" ca="1" si="19"/>
        <v>0.61002496797694328</v>
      </c>
      <c r="S50" s="50">
        <f t="shared" ca="1" si="19"/>
        <v>0.6</v>
      </c>
    </row>
    <row r="51" spans="2:20" x14ac:dyDescent="0.2">
      <c r="B51" t="s">
        <v>135</v>
      </c>
      <c r="O51" s="54">
        <f>O52*(1+J14)</f>
        <v>0.64009987190777351</v>
      </c>
      <c r="P51" s="54">
        <f>O51+($S$51-$O$51)/($S$42-$O$42)</f>
        <v>0.6300749039308301</v>
      </c>
      <c r="Q51" s="54">
        <f t="shared" ref="Q51:R51" si="20">P51+($S$51-$O$51)/($S$42-$O$42)</f>
        <v>0.62004993595388669</v>
      </c>
      <c r="R51" s="54">
        <f t="shared" si="20"/>
        <v>0.61002496797694328</v>
      </c>
      <c r="S51" s="55">
        <f>J15</f>
        <v>0.6</v>
      </c>
    </row>
    <row r="52" spans="2:20" x14ac:dyDescent="0.2">
      <c r="B52" t="s">
        <v>136</v>
      </c>
      <c r="O52" s="54">
        <f>O26</f>
        <v>0.656512689136178</v>
      </c>
      <c r="P52" s="54">
        <f>P26</f>
        <v>0.65521964602362071</v>
      </c>
      <c r="Q52" s="54">
        <f t="shared" ref="Q52:S52" si="21">Q26</f>
        <v>0.64259148801796429</v>
      </c>
      <c r="R52" s="54">
        <f t="shared" si="21"/>
        <v>0.61904900646815453</v>
      </c>
      <c r="S52" s="54">
        <f t="shared" si="21"/>
        <v>0.64956767501393409</v>
      </c>
    </row>
    <row r="53" spans="2:20" x14ac:dyDescent="0.2">
      <c r="B53" t="s">
        <v>137</v>
      </c>
      <c r="O53" s="54">
        <f>O52*(1+T14)</f>
        <v>0.67292550636458237</v>
      </c>
      <c r="P53" s="54">
        <f>O53+($S$53-$O$53)/($S$42-$O$42)</f>
        <v>0.67469412977343679</v>
      </c>
      <c r="Q53" s="54">
        <f t="shared" ref="Q53:R53" si="22">P53+($S$53-$O$53)/($S$42-$O$42)</f>
        <v>0.67646275318229121</v>
      </c>
      <c r="R53" s="54">
        <f t="shared" si="22"/>
        <v>0.67823137659114563</v>
      </c>
      <c r="S53" s="54">
        <f>T15</f>
        <v>0.68</v>
      </c>
    </row>
    <row r="55" spans="2:20" x14ac:dyDescent="0.2">
      <c r="B55" t="s">
        <v>127</v>
      </c>
      <c r="E55" s="49">
        <f>E28</f>
        <v>119.995667</v>
      </c>
      <c r="F55" s="49">
        <f t="shared" ref="F55:N55" si="23">F28</f>
        <v>125.243667</v>
      </c>
      <c r="G55" s="49">
        <f t="shared" si="23"/>
        <v>250.66666599999999</v>
      </c>
      <c r="H55" s="49">
        <f t="shared" si="23"/>
        <v>185</v>
      </c>
      <c r="I55" s="49">
        <f t="shared" si="23"/>
        <v>-178.33333300000001</v>
      </c>
      <c r="J55" s="49">
        <f t="shared" si="23"/>
        <v>72</v>
      </c>
      <c r="K55" s="49">
        <f t="shared" si="23"/>
        <v>93.666667000000004</v>
      </c>
      <c r="L55" s="49">
        <f t="shared" si="23"/>
        <v>238.33333300000001</v>
      </c>
      <c r="M55" s="49">
        <f t="shared" si="23"/>
        <v>-190.33333300000001</v>
      </c>
      <c r="N55" s="49">
        <f t="shared" si="23"/>
        <v>3410.333333</v>
      </c>
      <c r="O55" s="49">
        <f ca="1">O56*O49</f>
        <v>10074.314250000001</v>
      </c>
      <c r="P55" s="49">
        <f t="shared" ref="P55:S55" ca="1" si="24">P56*P49</f>
        <v>14481.466300044049</v>
      </c>
      <c r="Q55" s="49">
        <f t="shared" ca="1" si="24"/>
        <v>17203.174342465871</v>
      </c>
      <c r="R55" s="49">
        <f t="shared" ca="1" si="24"/>
        <v>18502.749666275606</v>
      </c>
      <c r="S55" s="49">
        <f t="shared" ca="1" si="24"/>
        <v>18962.080374006709</v>
      </c>
    </row>
    <row r="56" spans="2:20" x14ac:dyDescent="0.2">
      <c r="B56" s="30" t="s">
        <v>128</v>
      </c>
      <c r="E56" s="53">
        <f>E29</f>
        <v>0.16321966079009331</v>
      </c>
      <c r="F56" s="53">
        <f t="shared" ref="F56:N56" si="25">F29</f>
        <v>0.17072016009625324</v>
      </c>
      <c r="G56" s="53">
        <f t="shared" si="25"/>
        <v>0.14345669556342172</v>
      </c>
      <c r="H56" s="53">
        <f t="shared" si="25"/>
        <v>6.0130010827721563E-2</v>
      </c>
      <c r="I56" s="53">
        <f t="shared" si="25"/>
        <v>-4.2999517685500692E-2</v>
      </c>
      <c r="J56" s="53">
        <f t="shared" si="25"/>
        <v>2.6283767343183714E-2</v>
      </c>
      <c r="K56" s="53">
        <f t="shared" si="25"/>
        <v>2.2004698588723202E-2</v>
      </c>
      <c r="L56" s="53">
        <f t="shared" si="25"/>
        <v>2.5151259286618828E-2</v>
      </c>
      <c r="M56" s="53">
        <f t="shared" si="25"/>
        <v>-4.0433366310751555E-2</v>
      </c>
      <c r="N56" s="53">
        <f t="shared" si="25"/>
        <v>0.11542583795575859</v>
      </c>
      <c r="O56" s="57">
        <v>0.14000000000000001</v>
      </c>
      <c r="P56" s="57">
        <f>O56</f>
        <v>0.14000000000000001</v>
      </c>
      <c r="Q56" s="57">
        <f>P56</f>
        <v>0.14000000000000001</v>
      </c>
      <c r="R56" s="57">
        <f>Q56</f>
        <v>0.14000000000000001</v>
      </c>
      <c r="S56" s="57">
        <f>R56</f>
        <v>0.14000000000000001</v>
      </c>
      <c r="T56" t="s">
        <v>162</v>
      </c>
    </row>
    <row r="58" spans="2:20" x14ac:dyDescent="0.2">
      <c r="B58" s="31" t="s">
        <v>138</v>
      </c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56">
        <f ca="1">O49-O55</f>
        <v>61885.073249999994</v>
      </c>
      <c r="P58" s="56">
        <f t="shared" ref="P58:S58" ca="1" si="26">P49-P55</f>
        <v>88957.578700270577</v>
      </c>
      <c r="Q58" s="56">
        <f t="shared" ca="1" si="26"/>
        <v>105676.6423894332</v>
      </c>
      <c r="R58" s="56">
        <f t="shared" ca="1" si="26"/>
        <v>113659.74794997872</v>
      </c>
      <c r="S58" s="60">
        <f t="shared" ca="1" si="26"/>
        <v>116481.35086889836</v>
      </c>
    </row>
    <row r="60" spans="2:20" x14ac:dyDescent="0.2">
      <c r="B60" t="s">
        <v>130</v>
      </c>
      <c r="E60" s="49">
        <f>E32</f>
        <v>220.41933299999999</v>
      </c>
      <c r="F60" s="49">
        <f t="shared" ref="F60:N60" si="27">F32</f>
        <v>199.651667</v>
      </c>
      <c r="G60" s="49">
        <f t="shared" si="27"/>
        <v>186.66666599999999</v>
      </c>
      <c r="H60" s="49">
        <f t="shared" si="27"/>
        <v>196.66666699999999</v>
      </c>
      <c r="I60" s="49">
        <f t="shared" si="27"/>
        <v>254</v>
      </c>
      <c r="J60" s="49">
        <f t="shared" si="27"/>
        <v>371.66666700000002</v>
      </c>
      <c r="K60" s="49">
        <f t="shared" si="27"/>
        <v>1037.333333</v>
      </c>
      <c r="L60" s="49">
        <f t="shared" si="27"/>
        <v>1167</v>
      </c>
      <c r="M60" s="49">
        <f t="shared" si="27"/>
        <v>1505</v>
      </c>
      <c r="N60" s="49">
        <f t="shared" si="27"/>
        <v>1521</v>
      </c>
      <c r="O60" s="49">
        <f ca="1">O61*O43</f>
        <v>4320.9269705110792</v>
      </c>
      <c r="P60" s="49">
        <f t="shared" ref="P60:S60" ca="1" si="28">P61*P43</f>
        <v>6310.0024635906975</v>
      </c>
      <c r="Q60" s="49">
        <f t="shared" ca="1" si="28"/>
        <v>7617.1252421670906</v>
      </c>
      <c r="R60" s="49">
        <f t="shared" ca="1" si="28"/>
        <v>8327.1777478420317</v>
      </c>
      <c r="S60" s="49">
        <f t="shared" ca="1" si="28"/>
        <v>8676.4867005878496</v>
      </c>
    </row>
    <row r="61" spans="2:20" x14ac:dyDescent="0.2">
      <c r="B61" t="s">
        <v>126</v>
      </c>
      <c r="E61" s="50">
        <f>E33</f>
        <v>4.7442052269926767E-2</v>
      </c>
      <c r="F61" s="50">
        <f t="shared" ref="F61:N61" si="29">F33</f>
        <v>4.0253666954444885E-2</v>
      </c>
      <c r="G61" s="50">
        <f t="shared" si="29"/>
        <v>2.8058923638237348E-2</v>
      </c>
      <c r="H61" s="50">
        <f t="shared" si="29"/>
        <v>2.0771722327841149E-2</v>
      </c>
      <c r="I61" s="50">
        <f t="shared" si="29"/>
        <v>2.1252858816903353E-2</v>
      </c>
      <c r="J61" s="50">
        <f t="shared" si="29"/>
        <v>3.500345328687135E-2</v>
      </c>
      <c r="K61" s="50">
        <f t="shared" si="29"/>
        <v>6.466224778325394E-2</v>
      </c>
      <c r="L61" s="50">
        <f t="shared" si="29"/>
        <v>4.4825996773450102E-2</v>
      </c>
      <c r="M61" s="50">
        <f t="shared" si="29"/>
        <v>5.4717987249985237E-2</v>
      </c>
      <c r="N61" s="50">
        <f t="shared" si="29"/>
        <v>2.737022685573719E-2</v>
      </c>
      <c r="O61" s="54">
        <f>AVERAGE(E61:N61)</f>
        <v>3.843591359566513E-2</v>
      </c>
      <c r="P61" s="54">
        <f>O61</f>
        <v>3.843591359566513E-2</v>
      </c>
      <c r="Q61" s="54">
        <f>P61</f>
        <v>3.843591359566513E-2</v>
      </c>
      <c r="R61" s="54">
        <f>Q61</f>
        <v>3.843591359566513E-2</v>
      </c>
      <c r="S61" s="54">
        <f>R61</f>
        <v>3.843591359566513E-2</v>
      </c>
    </row>
    <row r="63" spans="2:20" x14ac:dyDescent="0.2">
      <c r="B63" t="s">
        <v>131</v>
      </c>
      <c r="E63" s="49">
        <f>E35</f>
        <v>134.15733399999999</v>
      </c>
      <c r="F63" s="49">
        <f t="shared" ref="F63:N63" si="30">F35</f>
        <v>91.348332999999997</v>
      </c>
      <c r="G63" s="49">
        <f t="shared" si="30"/>
        <v>164</v>
      </c>
      <c r="H63" s="49">
        <f t="shared" si="30"/>
        <v>471.33333299999998</v>
      </c>
      <c r="I63" s="49">
        <f t="shared" si="30"/>
        <v>671</v>
      </c>
      <c r="J63" s="49">
        <f t="shared" si="30"/>
        <v>508.33333399999998</v>
      </c>
      <c r="K63" s="49">
        <f t="shared" si="30"/>
        <v>1082</v>
      </c>
      <c r="L63" s="49">
        <f t="shared" si="30"/>
        <v>979.33333300000004</v>
      </c>
      <c r="M63" s="49">
        <f t="shared" si="30"/>
        <v>1754.333333</v>
      </c>
      <c r="N63" s="49">
        <f t="shared" si="30"/>
        <v>1154</v>
      </c>
      <c r="O63" s="49">
        <f ca="1">O64*O43</f>
        <v>4669.421963523163</v>
      </c>
      <c r="P63" s="49">
        <f t="shared" ref="P63:S63" ca="1" si="31">P64*P43</f>
        <v>6818.9220263286843</v>
      </c>
      <c r="Q63" s="49">
        <f t="shared" ca="1" si="31"/>
        <v>8231.4679575514256</v>
      </c>
      <c r="R63" s="49">
        <f t="shared" ca="1" si="31"/>
        <v>8998.7882080163545</v>
      </c>
      <c r="S63" s="49">
        <f t="shared" ca="1" si="31"/>
        <v>9376.2699167187056</v>
      </c>
    </row>
    <row r="64" spans="2:20" x14ac:dyDescent="0.2">
      <c r="B64" s="30" t="s">
        <v>126</v>
      </c>
      <c r="E64" s="50">
        <f>E36</f>
        <v>2.887541290228849E-2</v>
      </c>
      <c r="F64" s="50">
        <f t="shared" ref="F64:N64" si="32">F36</f>
        <v>1.8417604163684379E-2</v>
      </c>
      <c r="G64" s="50">
        <f t="shared" si="32"/>
        <v>2.4651768713064848E-2</v>
      </c>
      <c r="H64" s="50">
        <f t="shared" si="32"/>
        <v>4.9781720849176168E-2</v>
      </c>
      <c r="I64" s="50">
        <f t="shared" si="32"/>
        <v>5.6144363252528147E-2</v>
      </c>
      <c r="J64" s="50">
        <f t="shared" si="32"/>
        <v>4.7874678282162367E-2</v>
      </c>
      <c r="K64" s="50">
        <f t="shared" si="32"/>
        <v>6.7446547677342164E-2</v>
      </c>
      <c r="L64" s="50">
        <f t="shared" si="32"/>
        <v>3.7617474571713917E-2</v>
      </c>
      <c r="M64" s="50">
        <f t="shared" si="32"/>
        <v>6.3783115579613359E-2</v>
      </c>
      <c r="N64" s="50">
        <f t="shared" si="32"/>
        <v>2.0766102427035318E-2</v>
      </c>
      <c r="O64" s="54">
        <f>AVERAGE(E64:N64)</f>
        <v>4.1535878841860913E-2</v>
      </c>
      <c r="P64" s="54">
        <f>O64</f>
        <v>4.1535878841860913E-2</v>
      </c>
      <c r="Q64" s="54">
        <f>P64</f>
        <v>4.1535878841860913E-2</v>
      </c>
      <c r="R64" s="54">
        <f>Q64</f>
        <v>4.1535878841860913E-2</v>
      </c>
      <c r="S64" s="54">
        <f>R64</f>
        <v>4.1535878841860913E-2</v>
      </c>
    </row>
    <row r="66" spans="2:19" x14ac:dyDescent="0.2">
      <c r="B66" t="s">
        <v>132</v>
      </c>
      <c r="E66" s="49">
        <f>E38</f>
        <v>194.42599999999999</v>
      </c>
      <c r="F66" s="49">
        <f t="shared" ref="F66:N66" si="33">F38</f>
        <v>61.181333000000002</v>
      </c>
      <c r="G66" s="49">
        <f t="shared" si="33"/>
        <v>588.33333400000004</v>
      </c>
      <c r="H66" s="49">
        <f t="shared" si="33"/>
        <v>43.666665999999999</v>
      </c>
      <c r="I66" s="49">
        <f t="shared" si="33"/>
        <v>817.33333400000004</v>
      </c>
      <c r="J66" s="49">
        <f t="shared" si="33"/>
        <v>-812.66666699999996</v>
      </c>
      <c r="K66" s="49">
        <f t="shared" si="33"/>
        <v>677.66666699999996</v>
      </c>
      <c r="L66" s="49">
        <f t="shared" si="33"/>
        <v>3106.6666660000001</v>
      </c>
      <c r="M66" s="49">
        <f t="shared" si="33"/>
        <v>2529.3333339999999</v>
      </c>
      <c r="N66" s="49">
        <f t="shared" si="33"/>
        <v>3053.333333</v>
      </c>
      <c r="O66" s="49">
        <f ca="1">O67*O43</f>
        <v>5031.4281527092644</v>
      </c>
      <c r="P66" s="49">
        <f t="shared" ref="P66:S66" ca="1" si="34">P67*P43</f>
        <v>7347.5724666598244</v>
      </c>
      <c r="Q66" s="49">
        <f t="shared" ca="1" si="34"/>
        <v>8869.6288198591792</v>
      </c>
      <c r="R66" s="49">
        <f t="shared" ca="1" si="34"/>
        <v>9696.4370930228615</v>
      </c>
      <c r="S66" s="49">
        <f t="shared" ca="1" si="34"/>
        <v>10103.183819091879</v>
      </c>
    </row>
    <row r="67" spans="2:19" x14ac:dyDescent="0.2">
      <c r="B67" s="30" t="s">
        <v>126</v>
      </c>
      <c r="E67" s="50">
        <f>E39</f>
        <v>4.1847365787250526E-2</v>
      </c>
      <c r="F67" s="50">
        <f t="shared" ref="F67:N67" si="35">F39</f>
        <v>1.2335349057771646E-2</v>
      </c>
      <c r="G67" s="50">
        <f t="shared" si="35"/>
        <v>8.8435715097282513E-2</v>
      </c>
      <c r="H67" s="50">
        <f t="shared" si="35"/>
        <v>4.6120264047317281E-3</v>
      </c>
      <c r="I67" s="50">
        <f t="shared" si="35"/>
        <v>6.8388464385239822E-2</v>
      </c>
      <c r="J67" s="50">
        <f t="shared" si="35"/>
        <v>-7.6536698719156152E-2</v>
      </c>
      <c r="K67" s="50">
        <f t="shared" si="35"/>
        <v>4.2242400337487114E-2</v>
      </c>
      <c r="L67" s="50">
        <f t="shared" si="35"/>
        <v>0.11933113105938388</v>
      </c>
      <c r="M67" s="50">
        <f t="shared" si="35"/>
        <v>9.1960152239717374E-2</v>
      </c>
      <c r="N67" s="50">
        <f t="shared" si="35"/>
        <v>5.4944395785926463E-2</v>
      </c>
      <c r="O67" s="54">
        <f>AVERAGE(E67:N67)</f>
        <v>4.475603014356349E-2</v>
      </c>
      <c r="P67" s="54">
        <f>O67</f>
        <v>4.475603014356349E-2</v>
      </c>
      <c r="Q67" s="54">
        <f>P67</f>
        <v>4.475603014356349E-2</v>
      </c>
      <c r="R67" s="54">
        <f>Q67</f>
        <v>4.475603014356349E-2</v>
      </c>
      <c r="S67" s="54">
        <f>R67</f>
        <v>4.475603014356349E-2</v>
      </c>
    </row>
    <row r="69" spans="2:19" x14ac:dyDescent="0.2">
      <c r="B69" s="32" t="s">
        <v>139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8">
        <f ca="1">O58+O60-O63-O66</f>
        <v>56505.150104278655</v>
      </c>
      <c r="P69" s="58">
        <f t="shared" ref="P69:S69" ca="1" si="36">P58+P60-P63-P66</f>
        <v>81101.08667087277</v>
      </c>
      <c r="Q69" s="58">
        <f t="shared" ca="1" si="36"/>
        <v>96192.670854189681</v>
      </c>
      <c r="R69" s="58">
        <f t="shared" ca="1" si="36"/>
        <v>103291.70039678153</v>
      </c>
      <c r="S69" s="61">
        <f t="shared" ca="1" si="36"/>
        <v>105678.38383367562</v>
      </c>
    </row>
    <row r="70" spans="2:19" x14ac:dyDescent="0.2">
      <c r="B70" s="33" t="s">
        <v>140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64">
        <f ca="1">O69/(1+$E18)^O73</f>
        <v>55049.847608369506</v>
      </c>
      <c r="P70" s="64">
        <f t="shared" ref="P70:R70" ca="1" si="37">P69/(1+$E18)^P73</f>
        <v>72488.358211684579</v>
      </c>
      <c r="Q70" s="64">
        <f t="shared" ca="1" si="37"/>
        <v>78878.21528794225</v>
      </c>
      <c r="R70" s="64">
        <f t="shared" ca="1" si="37"/>
        <v>77705.90470800914</v>
      </c>
      <c r="S70" s="65">
        <f ca="1">S69/(1+$E18)^S73</f>
        <v>72937.060968959326</v>
      </c>
    </row>
    <row r="72" spans="2:19" x14ac:dyDescent="0.2">
      <c r="B72" t="s">
        <v>141</v>
      </c>
      <c r="O72">
        <f>YEARFRAC(C5,C6)</f>
        <v>0.60555555555555551</v>
      </c>
    </row>
    <row r="73" spans="2:19" x14ac:dyDescent="0.2">
      <c r="B73" t="s">
        <v>142</v>
      </c>
      <c r="O73">
        <f>O72/2</f>
        <v>0.30277777777777776</v>
      </c>
      <c r="P73">
        <f>O73+1</f>
        <v>1.3027777777777778</v>
      </c>
      <c r="Q73">
        <f>P73+1</f>
        <v>2.302777777777778</v>
      </c>
      <c r="R73">
        <f>Q73+1</f>
        <v>3.302777777777778</v>
      </c>
      <c r="S73">
        <f>R73+1</f>
        <v>4.302777777777778</v>
      </c>
    </row>
    <row r="75" spans="2:19" x14ac:dyDescent="0.2">
      <c r="B75" t="s">
        <v>143</v>
      </c>
      <c r="S75" s="49">
        <f ca="1">(S69*1+E19)/(E18-E19)</f>
        <v>1509691.4833382233</v>
      </c>
    </row>
    <row r="76" spans="2:19" x14ac:dyDescent="0.2">
      <c r="B76" t="s">
        <v>144</v>
      </c>
      <c r="S76" s="49">
        <f ca="1">S75/(1+E18)^S73</f>
        <v>1041958.2110364375</v>
      </c>
    </row>
    <row r="77" spans="2:19" x14ac:dyDescent="0.2">
      <c r="B77" t="s">
        <v>145</v>
      </c>
      <c r="S77" s="49">
        <f ca="1">SUM(O70:S70,S76)</f>
        <v>1399017.5978214024</v>
      </c>
    </row>
    <row r="78" spans="2:19" x14ac:dyDescent="0.2">
      <c r="B78" t="s">
        <v>146</v>
      </c>
      <c r="S78" s="73">
        <v>31438</v>
      </c>
    </row>
    <row r="79" spans="2:19" x14ac:dyDescent="0.2">
      <c r="B79" t="s">
        <v>147</v>
      </c>
      <c r="S79" s="73">
        <v>9710</v>
      </c>
    </row>
    <row r="80" spans="2:19" x14ac:dyDescent="0.2">
      <c r="B80" t="s">
        <v>148</v>
      </c>
      <c r="S80" s="49">
        <f ca="1">S77+S78-S79</f>
        <v>1420745.5978214024</v>
      </c>
    </row>
    <row r="82" spans="2:19" x14ac:dyDescent="0.2">
      <c r="B82" t="s">
        <v>149</v>
      </c>
      <c r="S82" s="73">
        <v>2537</v>
      </c>
    </row>
    <row r="83" spans="2:19" x14ac:dyDescent="0.2">
      <c r="B83" t="s">
        <v>150</v>
      </c>
      <c r="S83">
        <f ca="1">S80/S82</f>
        <v>560.01008979952792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6F9D1-A4AE-B54C-9B15-B65F2E345289}">
  <dimension ref="A1:Q57"/>
  <sheetViews>
    <sheetView topLeftCell="A5" workbookViewId="0">
      <selection activeCell="B24" sqref="B24:K24"/>
    </sheetView>
  </sheetViews>
  <sheetFormatPr baseColWidth="10" defaultRowHeight="16" x14ac:dyDescent="0.2"/>
  <cols>
    <col min="1" max="1" width="46.6640625" bestFit="1" customWidth="1"/>
  </cols>
  <sheetData>
    <row r="1" spans="1:1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2" t="s">
        <v>10</v>
      </c>
      <c r="B2" s="48">
        <v>4646.0749999999998</v>
      </c>
      <c r="C2" s="48">
        <v>4959.8379999999997</v>
      </c>
      <c r="D2" s="48">
        <v>6652.6666670000004</v>
      </c>
      <c r="E2" s="48">
        <v>9468</v>
      </c>
      <c r="F2" s="48">
        <v>11951.333333</v>
      </c>
      <c r="G2" s="48">
        <v>10618</v>
      </c>
      <c r="H2" s="48">
        <v>16042.333333</v>
      </c>
      <c r="I2" s="48">
        <v>26034</v>
      </c>
      <c r="J2" s="48">
        <v>27504.666667000001</v>
      </c>
      <c r="K2" s="48">
        <v>55571.333333000002</v>
      </c>
    </row>
    <row r="3" spans="1:11" x14ac:dyDescent="0.2">
      <c r="A3" s="4" t="s">
        <v>11</v>
      </c>
      <c r="B3" s="5">
        <v>2073.3850000000002</v>
      </c>
      <c r="C3" s="5">
        <v>2178.3036670000001</v>
      </c>
      <c r="D3" s="5">
        <v>2749.333333</v>
      </c>
      <c r="E3" s="5">
        <v>3812</v>
      </c>
      <c r="F3" s="5">
        <v>4582.3333329999996</v>
      </c>
      <c r="G3" s="5">
        <v>4119.3333339999999</v>
      </c>
      <c r="H3" s="5">
        <v>6026.9999989999997</v>
      </c>
      <c r="I3" s="5">
        <v>9174.0000010000003</v>
      </c>
      <c r="J3" s="5">
        <v>11760</v>
      </c>
      <c r="K3" s="5">
        <v>15589.666665999999</v>
      </c>
    </row>
    <row r="4" spans="1:11" x14ac:dyDescent="0.2">
      <c r="A4" s="6" t="s">
        <v>12</v>
      </c>
      <c r="B4" s="7">
        <v>1852.935667</v>
      </c>
      <c r="C4" s="7">
        <v>1978.6369999999999</v>
      </c>
      <c r="D4" s="7">
        <v>2562.666667</v>
      </c>
      <c r="E4" s="7">
        <v>3615</v>
      </c>
      <c r="F4" s="7">
        <v>4329.6666660000001</v>
      </c>
      <c r="G4" s="7">
        <v>3747.666667</v>
      </c>
      <c r="H4" s="7">
        <v>4990.3333329999996</v>
      </c>
      <c r="I4" s="7">
        <v>8007.3333339999999</v>
      </c>
      <c r="J4" s="7">
        <v>10255</v>
      </c>
      <c r="K4" s="7">
        <v>14068.666665999999</v>
      </c>
    </row>
    <row r="5" spans="1:11" x14ac:dyDescent="0.2">
      <c r="A5" s="8" t="s">
        <v>13</v>
      </c>
      <c r="B5" s="5">
        <v>220.449333</v>
      </c>
      <c r="C5" s="5">
        <v>199.66666699999999</v>
      </c>
      <c r="D5" s="5">
        <v>186.66666599999999</v>
      </c>
      <c r="E5" s="5">
        <v>197</v>
      </c>
      <c r="F5" s="5">
        <v>252.66666699999999</v>
      </c>
      <c r="G5" s="5">
        <v>371.66666700000002</v>
      </c>
      <c r="H5" s="5">
        <v>1036.6666660000001</v>
      </c>
      <c r="I5" s="5">
        <v>1166.666667</v>
      </c>
      <c r="J5" s="5">
        <v>1505</v>
      </c>
      <c r="K5" s="5">
        <v>1521</v>
      </c>
    </row>
    <row r="6" spans="1:11" x14ac:dyDescent="0.2">
      <c r="A6" s="9" t="s">
        <v>14</v>
      </c>
      <c r="B6" s="7">
        <v>143.36666600000001</v>
      </c>
      <c r="C6" s="7">
        <v>125.9</v>
      </c>
      <c r="D6" s="7">
        <v>118</v>
      </c>
      <c r="E6" s="7">
        <v>141.33333400000001</v>
      </c>
      <c r="F6" s="7">
        <v>221</v>
      </c>
      <c r="G6" s="7">
        <v>347</v>
      </c>
      <c r="H6" s="7">
        <v>471.66666600000002</v>
      </c>
      <c r="I6" s="7">
        <v>603</v>
      </c>
      <c r="J6" s="7">
        <v>818</v>
      </c>
      <c r="K6" s="7">
        <v>894.33333400000004</v>
      </c>
    </row>
    <row r="7" spans="1:11" x14ac:dyDescent="0.2">
      <c r="A7" s="10" t="s">
        <v>15</v>
      </c>
      <c r="B7" s="11">
        <v>77.082667000000001</v>
      </c>
      <c r="C7" s="11">
        <v>73.766666000000001</v>
      </c>
      <c r="D7" s="11">
        <v>68.666667000000004</v>
      </c>
      <c r="E7" s="11">
        <v>55.666666999999997</v>
      </c>
      <c r="F7" s="11">
        <v>31.666665999999999</v>
      </c>
      <c r="G7" s="11">
        <v>24.666667</v>
      </c>
      <c r="H7" s="11">
        <v>565</v>
      </c>
      <c r="I7" s="11">
        <v>563.66666699999996</v>
      </c>
      <c r="J7" s="11">
        <v>687</v>
      </c>
      <c r="K7" s="11">
        <v>626.66666599999996</v>
      </c>
    </row>
    <row r="8" spans="1:11" x14ac:dyDescent="0.2">
      <c r="A8" s="2" t="s">
        <v>16</v>
      </c>
      <c r="B8" s="3">
        <v>2572.69</v>
      </c>
      <c r="C8" s="3">
        <v>2781.5343330000001</v>
      </c>
      <c r="D8" s="3">
        <v>3903.3333339999999</v>
      </c>
      <c r="E8" s="3">
        <v>5656</v>
      </c>
      <c r="F8" s="3">
        <v>7369</v>
      </c>
      <c r="G8" s="3">
        <v>6498.6666660000001</v>
      </c>
      <c r="H8" s="3">
        <v>10015.333334000001</v>
      </c>
      <c r="I8" s="3">
        <v>16859.999999</v>
      </c>
      <c r="J8" s="3">
        <v>15744.666667</v>
      </c>
      <c r="K8" s="3">
        <v>39981.666666999998</v>
      </c>
    </row>
    <row r="9" spans="1:11" x14ac:dyDescent="0.2">
      <c r="A9" s="4" t="s">
        <v>17</v>
      </c>
      <c r="B9" s="5">
        <v>1800.8063340000001</v>
      </c>
      <c r="C9" s="5">
        <v>1865.0993329999999</v>
      </c>
      <c r="D9" s="5">
        <v>2073</v>
      </c>
      <c r="E9" s="5">
        <v>2561.333333</v>
      </c>
      <c r="F9" s="5">
        <v>3305.3333339999999</v>
      </c>
      <c r="G9" s="5">
        <v>3884.6666660000001</v>
      </c>
      <c r="H9" s="5">
        <v>5578</v>
      </c>
      <c r="I9" s="5">
        <v>7290.3333339999999</v>
      </c>
      <c r="J9" s="5">
        <v>9595.6666659999992</v>
      </c>
      <c r="K9" s="5">
        <v>11129.666667</v>
      </c>
    </row>
    <row r="10" spans="1:11" x14ac:dyDescent="0.2">
      <c r="A10" s="6" t="s">
        <v>18</v>
      </c>
      <c r="B10" s="7">
        <v>1355.8543340000001</v>
      </c>
      <c r="C10" s="7">
        <v>1333.4176660000001</v>
      </c>
      <c r="D10" s="7">
        <v>1446.3333339999999</v>
      </c>
      <c r="E10" s="7">
        <v>1759</v>
      </c>
      <c r="F10" s="7">
        <v>2328.6666660000001</v>
      </c>
      <c r="G10" s="7">
        <v>2797.666667</v>
      </c>
      <c r="H10" s="7">
        <v>3789.666667</v>
      </c>
      <c r="I10" s="7">
        <v>5159.6666660000001</v>
      </c>
      <c r="J10" s="7">
        <v>7176.3333339999999</v>
      </c>
      <c r="K10" s="7">
        <v>8502.6666659999992</v>
      </c>
    </row>
    <row r="11" spans="1:11" x14ac:dyDescent="0.2">
      <c r="A11" s="12" t="s">
        <v>19</v>
      </c>
      <c r="B11" s="11">
        <v>444.952</v>
      </c>
      <c r="C11" s="11">
        <v>531.68166699999995</v>
      </c>
      <c r="D11" s="11">
        <v>626.66666599999996</v>
      </c>
      <c r="E11" s="11">
        <v>802.33333400000004</v>
      </c>
      <c r="F11" s="11">
        <v>976.66666599999996</v>
      </c>
      <c r="G11" s="11">
        <v>1087</v>
      </c>
      <c r="H11" s="11">
        <v>1788.3333339999999</v>
      </c>
      <c r="I11" s="11">
        <v>2130.6666660000001</v>
      </c>
      <c r="J11" s="11">
        <v>2419.3333339999999</v>
      </c>
      <c r="K11" s="11">
        <v>2627</v>
      </c>
    </row>
    <row r="12" spans="1:11" x14ac:dyDescent="0.2">
      <c r="A12" s="13" t="s">
        <v>20</v>
      </c>
      <c r="B12" s="7">
        <v>0</v>
      </c>
      <c r="C12" s="7">
        <v>0</v>
      </c>
      <c r="D12" s="7">
        <v>1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</row>
    <row r="13" spans="1:11" x14ac:dyDescent="0.2">
      <c r="A13" s="14" t="s">
        <v>21</v>
      </c>
      <c r="B13" s="48">
        <v>771.88367000000005</v>
      </c>
      <c r="C13" s="48">
        <v>916.43499999999995</v>
      </c>
      <c r="D13" s="48">
        <v>1829.3333299999999</v>
      </c>
      <c r="E13" s="48">
        <v>3094.6666700000001</v>
      </c>
      <c r="F13" s="48">
        <v>4063.6666700000001</v>
      </c>
      <c r="G13" s="48">
        <v>2614</v>
      </c>
      <c r="H13" s="48">
        <v>4437.3333300000004</v>
      </c>
      <c r="I13" s="48">
        <v>9569.6666700000005</v>
      </c>
      <c r="J13" s="48">
        <v>6149</v>
      </c>
      <c r="K13" s="48">
        <v>28852</v>
      </c>
    </row>
    <row r="14" spans="1:11" x14ac:dyDescent="0.2">
      <c r="A14" s="15" t="s">
        <v>22</v>
      </c>
      <c r="B14" s="3">
        <v>40.843336000000001</v>
      </c>
      <c r="C14" s="3">
        <v>39.439</v>
      </c>
      <c r="D14" s="3">
        <v>44.666670000000003</v>
      </c>
      <c r="E14" s="3">
        <v>42</v>
      </c>
      <c r="F14" s="3">
        <v>141.99999700000001</v>
      </c>
      <c r="G14" s="3">
        <v>177.00000299999999</v>
      </c>
      <c r="H14" s="3">
        <v>68.333337</v>
      </c>
      <c r="I14" s="3">
        <v>38.666670000000003</v>
      </c>
      <c r="J14" s="3">
        <v>242.66666699999999</v>
      </c>
      <c r="K14" s="3">
        <v>987.33333300000004</v>
      </c>
    </row>
    <row r="15" spans="1:11" x14ac:dyDescent="0.2">
      <c r="A15" s="12" t="s">
        <v>23</v>
      </c>
      <c r="B15" s="11">
        <v>26.765666</v>
      </c>
      <c r="C15" s="11">
        <v>37.042999999999999</v>
      </c>
      <c r="D15" s="11">
        <v>53</v>
      </c>
      <c r="E15" s="11">
        <v>67</v>
      </c>
      <c r="F15" s="11">
        <v>128.66666699999999</v>
      </c>
      <c r="G15" s="11">
        <v>177.33333300000001</v>
      </c>
      <c r="H15" s="11">
        <v>68.666667000000004</v>
      </c>
      <c r="I15" s="11">
        <v>27</v>
      </c>
      <c r="J15" s="11">
        <v>231.66666699999999</v>
      </c>
      <c r="K15" s="11">
        <v>805.33333300000004</v>
      </c>
    </row>
    <row r="16" spans="1:11" x14ac:dyDescent="0.2">
      <c r="A16" s="6" t="s">
        <v>24</v>
      </c>
      <c r="B16" s="7">
        <v>14.077669999999999</v>
      </c>
      <c r="C16" s="7">
        <v>2.3959999999999999</v>
      </c>
      <c r="D16" s="16">
        <v>-8.3333300000000001</v>
      </c>
      <c r="E16" s="16">
        <v>-25</v>
      </c>
      <c r="F16" s="7">
        <v>13.33333</v>
      </c>
      <c r="G16" s="16">
        <v>-0.33333000000000002</v>
      </c>
      <c r="H16" s="16">
        <v>-0.33333000000000002</v>
      </c>
      <c r="I16" s="7">
        <v>11.66667</v>
      </c>
      <c r="J16" s="7">
        <v>11</v>
      </c>
      <c r="K16" s="7">
        <v>182</v>
      </c>
    </row>
    <row r="17" spans="1:11" x14ac:dyDescent="0.2">
      <c r="A17" s="4" t="s">
        <v>25</v>
      </c>
      <c r="B17" s="5">
        <v>45.749333</v>
      </c>
      <c r="C17" s="5">
        <v>47.864666999999997</v>
      </c>
      <c r="D17" s="5">
        <v>56</v>
      </c>
      <c r="E17" s="5">
        <v>62</v>
      </c>
      <c r="F17" s="5">
        <v>58.333333000000003</v>
      </c>
      <c r="G17" s="5">
        <v>51.666666999999997</v>
      </c>
      <c r="H17" s="5">
        <v>171.33333300000001</v>
      </c>
      <c r="I17" s="5">
        <v>233.33333400000001</v>
      </c>
      <c r="J17" s="5">
        <v>261.66666600000002</v>
      </c>
      <c r="K17" s="5">
        <v>257.66666700000002</v>
      </c>
    </row>
    <row r="18" spans="1:11" x14ac:dyDescent="0.2">
      <c r="A18" s="6" t="s">
        <v>26</v>
      </c>
      <c r="B18" s="7">
        <v>45.749333</v>
      </c>
      <c r="C18" s="7">
        <v>47.864666999999997</v>
      </c>
      <c r="D18" s="7">
        <v>56</v>
      </c>
      <c r="E18" s="7">
        <v>62</v>
      </c>
      <c r="F18" s="7">
        <v>58.333333000000003</v>
      </c>
      <c r="G18" s="7">
        <v>51.666666999999997</v>
      </c>
      <c r="H18" s="7">
        <v>171.33333300000001</v>
      </c>
      <c r="I18" s="7">
        <v>233.33333400000001</v>
      </c>
      <c r="J18" s="7">
        <v>261.66666600000002</v>
      </c>
      <c r="K18" s="7">
        <v>257.66666700000002</v>
      </c>
    </row>
    <row r="19" spans="1:11" x14ac:dyDescent="0.2">
      <c r="A19" s="4" t="s">
        <v>27</v>
      </c>
      <c r="B19" s="14"/>
      <c r="C19" s="5">
        <v>174.38966600000001</v>
      </c>
      <c r="D19" s="5">
        <v>70.666667000000004</v>
      </c>
      <c r="E19" s="14"/>
      <c r="F19" s="14"/>
      <c r="G19" s="14"/>
      <c r="H19" s="14"/>
      <c r="I19" s="5">
        <v>-102</v>
      </c>
      <c r="J19" s="5">
        <v>1422.6666660000001</v>
      </c>
      <c r="K19" s="5">
        <v>36</v>
      </c>
    </row>
    <row r="20" spans="1:11" x14ac:dyDescent="0.2">
      <c r="A20" s="6" t="s">
        <v>28</v>
      </c>
      <c r="B20" s="7">
        <v>34.298667000000002</v>
      </c>
      <c r="C20" s="7">
        <v>174.38966600000001</v>
      </c>
      <c r="D20" s="7">
        <v>43.666666999999997</v>
      </c>
      <c r="E20" s="7">
        <v>0</v>
      </c>
      <c r="F20" s="7">
        <v>0</v>
      </c>
      <c r="G20" s="7">
        <v>0</v>
      </c>
      <c r="H20" s="7">
        <v>77.666667000000004</v>
      </c>
      <c r="I20" s="7">
        <v>15.333333</v>
      </c>
      <c r="J20" s="7">
        <v>1353</v>
      </c>
      <c r="K20" s="7">
        <v>0</v>
      </c>
    </row>
    <row r="21" spans="1:11" x14ac:dyDescent="0.2">
      <c r="A21" s="8" t="s">
        <v>29</v>
      </c>
      <c r="B21" s="14"/>
      <c r="C21" s="14"/>
      <c r="D21" s="14"/>
      <c r="E21" s="14"/>
      <c r="F21" s="14"/>
      <c r="G21" s="14"/>
      <c r="H21" s="14"/>
      <c r="I21" s="14"/>
      <c r="J21" s="5">
        <v>-69.666666000000006</v>
      </c>
      <c r="K21" s="14"/>
    </row>
    <row r="22" spans="1:11" x14ac:dyDescent="0.2">
      <c r="A22" s="9" t="s">
        <v>30</v>
      </c>
      <c r="B22" s="17"/>
      <c r="C22" s="17"/>
      <c r="D22" s="17"/>
      <c r="E22" s="17"/>
      <c r="F22" s="17"/>
      <c r="G22" s="17"/>
      <c r="H22" s="17"/>
      <c r="I22" s="17"/>
      <c r="J22" s="16">
        <v>-69.666666000000006</v>
      </c>
      <c r="K22" s="17"/>
    </row>
    <row r="23" spans="1:11" x14ac:dyDescent="0.2">
      <c r="A23" s="14" t="s">
        <v>31</v>
      </c>
      <c r="B23" s="5">
        <v>735.17899999999997</v>
      </c>
      <c r="C23" s="5">
        <v>733.61966700000005</v>
      </c>
      <c r="D23" s="5">
        <v>1747.333333</v>
      </c>
      <c r="E23" s="5">
        <v>3076.666667</v>
      </c>
      <c r="F23" s="5">
        <v>4147.3333329999996</v>
      </c>
      <c r="G23" s="5">
        <v>2739.333333</v>
      </c>
      <c r="H23" s="5">
        <v>4256.6666670000004</v>
      </c>
      <c r="I23" s="5">
        <v>9476</v>
      </c>
      <c r="J23" s="5">
        <v>4707.3333329999996</v>
      </c>
      <c r="K23" s="5">
        <v>29545.666667000001</v>
      </c>
    </row>
    <row r="24" spans="1:11" x14ac:dyDescent="0.2">
      <c r="A24" s="13" t="s">
        <v>32</v>
      </c>
      <c r="B24" s="47">
        <v>119.995667</v>
      </c>
      <c r="C24" s="47">
        <v>125.243667</v>
      </c>
      <c r="D24" s="47">
        <v>250.66666599999999</v>
      </c>
      <c r="E24" s="47">
        <v>185</v>
      </c>
      <c r="F24" s="51">
        <v>-178.33333300000001</v>
      </c>
      <c r="G24" s="47">
        <v>72</v>
      </c>
      <c r="H24" s="47">
        <v>93.666667000000004</v>
      </c>
      <c r="I24" s="47">
        <v>238.33333300000001</v>
      </c>
      <c r="J24" s="51">
        <v>-190.33333300000001</v>
      </c>
      <c r="K24" s="47">
        <v>3410.333333</v>
      </c>
    </row>
    <row r="25" spans="1:11" x14ac:dyDescent="0.2">
      <c r="A25" s="18" t="s">
        <v>33</v>
      </c>
      <c r="B25" s="11">
        <v>615.18333299999995</v>
      </c>
      <c r="C25" s="11">
        <v>608.37599999999998</v>
      </c>
      <c r="D25" s="11">
        <v>1496.666667</v>
      </c>
      <c r="E25" s="11">
        <v>2891.6666660000001</v>
      </c>
      <c r="F25" s="11">
        <v>4325.6666670000004</v>
      </c>
      <c r="G25" s="11">
        <v>2667.333333</v>
      </c>
      <c r="H25" s="11">
        <v>4163</v>
      </c>
      <c r="I25" s="11">
        <v>9237.6666669999995</v>
      </c>
      <c r="J25" s="11">
        <v>4897.6666670000004</v>
      </c>
      <c r="K25" s="11">
        <v>26135.333332999999</v>
      </c>
    </row>
    <row r="26" spans="1:11" x14ac:dyDescent="0.2">
      <c r="A26" s="2" t="s">
        <v>34</v>
      </c>
      <c r="B26" s="3">
        <v>615.18333299999995</v>
      </c>
      <c r="C26" s="3">
        <v>608.37599999999998</v>
      </c>
      <c r="D26" s="3">
        <v>1496.666667</v>
      </c>
      <c r="E26" s="3">
        <v>2891.6666660000001</v>
      </c>
      <c r="F26" s="3">
        <v>4325.6666670000004</v>
      </c>
      <c r="G26" s="3">
        <v>2667.333333</v>
      </c>
      <c r="H26" s="3">
        <v>4163</v>
      </c>
      <c r="I26" s="3">
        <v>9237.6666669999995</v>
      </c>
      <c r="J26" s="3">
        <v>4897.6666670000004</v>
      </c>
      <c r="K26" s="3">
        <v>26135.333332999999</v>
      </c>
    </row>
    <row r="27" spans="1:11" x14ac:dyDescent="0.2">
      <c r="A27" s="19" t="s">
        <v>35</v>
      </c>
      <c r="B27" s="11">
        <v>615.18333299999995</v>
      </c>
      <c r="C27" s="11">
        <v>608.37599999999998</v>
      </c>
      <c r="D27" s="11">
        <v>1496.666667</v>
      </c>
      <c r="E27" s="11">
        <v>2891.6666660000001</v>
      </c>
      <c r="F27" s="11">
        <v>4325.6666670000004</v>
      </c>
      <c r="G27" s="11">
        <v>2667.333333</v>
      </c>
      <c r="H27" s="11">
        <v>4163</v>
      </c>
      <c r="I27" s="11">
        <v>9237.6666669999995</v>
      </c>
      <c r="J27" s="11">
        <v>4897.6666670000004</v>
      </c>
      <c r="K27" s="11">
        <v>26135.333332999999</v>
      </c>
    </row>
    <row r="28" spans="1:11" x14ac:dyDescent="0.2">
      <c r="A28" s="2" t="s">
        <v>36</v>
      </c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">
      <c r="A29" s="19" t="s">
        <v>37</v>
      </c>
      <c r="B29" s="20">
        <v>0.276057</v>
      </c>
      <c r="C29" s="20">
        <v>0.31287100000000001</v>
      </c>
      <c r="D29" s="20">
        <v>0.58773399999999998</v>
      </c>
      <c r="E29" s="20">
        <v>1.151141</v>
      </c>
      <c r="F29" s="20">
        <v>1.741412</v>
      </c>
      <c r="G29" s="20">
        <v>1.0755380000000001</v>
      </c>
      <c r="H29" s="20">
        <v>1.6502380000000001</v>
      </c>
      <c r="I29" s="20">
        <v>3.6049820000000001</v>
      </c>
      <c r="J29" s="20">
        <v>2.3722799999999999</v>
      </c>
      <c r="K29" s="20">
        <v>10.500615</v>
      </c>
    </row>
    <row r="30" spans="1:11" x14ac:dyDescent="0.2">
      <c r="A30" s="15" t="s">
        <v>38</v>
      </c>
      <c r="B30" s="21">
        <v>0.27750000000000002</v>
      </c>
      <c r="C30" s="21">
        <v>0.27750000000000002</v>
      </c>
      <c r="D30" s="21">
        <v>0.68830000000000002</v>
      </c>
      <c r="E30" s="21">
        <v>1.2124999999999999</v>
      </c>
      <c r="F30" s="21">
        <v>1.7783</v>
      </c>
      <c r="G30" s="21">
        <v>1.0934999999999999</v>
      </c>
      <c r="H30" s="21">
        <v>1.6879</v>
      </c>
      <c r="I30" s="21">
        <v>3.7037</v>
      </c>
      <c r="J30" s="21">
        <v>1.9648000000000001</v>
      </c>
      <c r="K30" s="21">
        <v>10.5869</v>
      </c>
    </row>
    <row r="31" spans="1:11" x14ac:dyDescent="0.2">
      <c r="A31" s="12" t="s">
        <v>39</v>
      </c>
      <c r="B31" s="20">
        <v>2181.5053330000001</v>
      </c>
      <c r="C31" s="20">
        <v>2160</v>
      </c>
      <c r="D31" s="20">
        <v>2192</v>
      </c>
      <c r="E31" s="20">
        <v>2420</v>
      </c>
      <c r="F31" s="20">
        <v>2436</v>
      </c>
      <c r="G31" s="20">
        <v>2445.333333</v>
      </c>
      <c r="H31" s="20">
        <v>2474.666667</v>
      </c>
      <c r="I31" s="20">
        <v>2502.333333</v>
      </c>
      <c r="J31" s="20">
        <v>2470.3333339999999</v>
      </c>
      <c r="K31" s="20">
        <v>2466.666667</v>
      </c>
    </row>
    <row r="32" spans="1:11" x14ac:dyDescent="0.2">
      <c r="A32" s="6" t="s">
        <v>40</v>
      </c>
      <c r="B32" s="22">
        <v>2175.6546659999999</v>
      </c>
      <c r="C32" s="22">
        <v>2154.6666660000001</v>
      </c>
      <c r="D32" s="22">
        <v>2279.3271530000002</v>
      </c>
      <c r="E32" s="22">
        <v>2423.5297009999999</v>
      </c>
      <c r="F32" s="22">
        <v>2429.333333</v>
      </c>
      <c r="G32" s="22">
        <v>2448</v>
      </c>
      <c r="H32" s="22">
        <v>2478.6666660000001</v>
      </c>
      <c r="I32" s="22">
        <v>2504.666667</v>
      </c>
      <c r="J32" s="22">
        <v>2466.666667</v>
      </c>
      <c r="K32" s="22">
        <v>2464.666667</v>
      </c>
    </row>
    <row r="33" spans="1:11" x14ac:dyDescent="0.2">
      <c r="A33" s="4" t="s">
        <v>41</v>
      </c>
      <c r="B33" s="23">
        <v>0.2717</v>
      </c>
      <c r="C33" s="23">
        <v>0.27</v>
      </c>
      <c r="D33" s="23">
        <v>0.58420000000000005</v>
      </c>
      <c r="E33" s="23">
        <v>1.1392</v>
      </c>
      <c r="F33" s="23">
        <v>1.7292000000000001</v>
      </c>
      <c r="G33" s="23">
        <v>1.0791999999999999</v>
      </c>
      <c r="H33" s="23">
        <v>1.6595</v>
      </c>
      <c r="I33" s="23">
        <v>3.6438000000000001</v>
      </c>
      <c r="J33" s="23">
        <v>1.9444999999999999</v>
      </c>
      <c r="K33" s="23">
        <v>10.482200000000001</v>
      </c>
    </row>
    <row r="34" spans="1:11" x14ac:dyDescent="0.2">
      <c r="A34" s="6" t="s">
        <v>42</v>
      </c>
      <c r="B34" s="22">
        <v>2228.4626669999998</v>
      </c>
      <c r="C34" s="22">
        <v>2334.6666660000001</v>
      </c>
      <c r="D34" s="22">
        <v>2630.666667</v>
      </c>
      <c r="E34" s="22">
        <v>2512</v>
      </c>
      <c r="F34" s="22">
        <v>2484</v>
      </c>
      <c r="G34" s="22">
        <v>2480</v>
      </c>
      <c r="H34" s="22">
        <v>2522.666667</v>
      </c>
      <c r="I34" s="22">
        <v>2542.666667</v>
      </c>
      <c r="J34" s="22">
        <v>2484.333333</v>
      </c>
      <c r="K34" s="22">
        <v>2491.333333</v>
      </c>
    </row>
    <row r="35" spans="1:11" x14ac:dyDescent="0.2">
      <c r="A35" s="12" t="s">
        <v>40</v>
      </c>
      <c r="B35" s="20">
        <v>2175.6546659999999</v>
      </c>
      <c r="C35" s="20">
        <v>2154.6666660000001</v>
      </c>
      <c r="D35" s="20">
        <v>2279.3271530000002</v>
      </c>
      <c r="E35" s="20">
        <v>2423.5297009999999</v>
      </c>
      <c r="F35" s="20">
        <v>2429.333333</v>
      </c>
      <c r="G35" s="20">
        <v>2448</v>
      </c>
      <c r="H35" s="20">
        <v>2478.6666660000001</v>
      </c>
      <c r="I35" s="20">
        <v>2504.666667</v>
      </c>
      <c r="J35" s="20">
        <v>2466.666667</v>
      </c>
      <c r="K35" s="20">
        <v>2464.666667</v>
      </c>
    </row>
    <row r="36" spans="1:11" x14ac:dyDescent="0.2">
      <c r="A36" s="13" t="s">
        <v>43</v>
      </c>
      <c r="B36" s="22">
        <v>72.39</v>
      </c>
      <c r="C36" s="22">
        <v>80.534999999999997</v>
      </c>
      <c r="D36" s="22">
        <v>64.8</v>
      </c>
      <c r="E36" s="22">
        <v>64.239000000000004</v>
      </c>
      <c r="F36" s="22">
        <v>50.02</v>
      </c>
      <c r="G36" s="22">
        <v>49.12</v>
      </c>
      <c r="H36" s="22">
        <v>37.956000000000003</v>
      </c>
      <c r="I36" s="22">
        <v>65.072999999999993</v>
      </c>
      <c r="J36" s="22">
        <v>72.272000000000006</v>
      </c>
      <c r="K36" s="22">
        <v>70.584999999999994</v>
      </c>
    </row>
    <row r="37" spans="1:11" x14ac:dyDescent="0.2">
      <c r="A37" s="4" t="s">
        <v>44</v>
      </c>
      <c r="B37" s="23">
        <v>8.5000000000000006E-2</v>
      </c>
      <c r="C37" s="23">
        <v>9.6259999999999998E-2</v>
      </c>
      <c r="D37" s="23">
        <v>0.119167</v>
      </c>
      <c r="E37" s="23">
        <v>0.14166699999999999</v>
      </c>
      <c r="F37" s="23">
        <v>0.151667</v>
      </c>
      <c r="G37" s="23">
        <v>0.16</v>
      </c>
      <c r="H37" s="23">
        <v>0.16</v>
      </c>
      <c r="I37" s="23">
        <v>0.16</v>
      </c>
      <c r="J37" s="23">
        <v>0.16</v>
      </c>
      <c r="K37" s="23">
        <v>0.16</v>
      </c>
    </row>
    <row r="38" spans="1:11" x14ac:dyDescent="0.2">
      <c r="A38" s="6" t="s">
        <v>45</v>
      </c>
      <c r="B38" s="22">
        <v>31.284504999999999</v>
      </c>
      <c r="C38" s="22">
        <v>35.651851999999998</v>
      </c>
      <c r="D38" s="22">
        <v>20.398264999999999</v>
      </c>
      <c r="E38" s="22">
        <v>12.435627</v>
      </c>
      <c r="F38" s="22">
        <v>8.7709150000000005</v>
      </c>
      <c r="G38" s="22">
        <v>14.825797</v>
      </c>
      <c r="H38" s="22">
        <v>9.6414580000000001</v>
      </c>
      <c r="I38" s="22">
        <v>4.3910200000000001</v>
      </c>
      <c r="J38" s="22">
        <v>8.2283360000000005</v>
      </c>
      <c r="K38" s="22">
        <v>1.526397</v>
      </c>
    </row>
    <row r="39" spans="1:11" x14ac:dyDescent="0.2">
      <c r="A39" s="14" t="s">
        <v>46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x14ac:dyDescent="0.2">
      <c r="A40" s="15" t="s">
        <v>46</v>
      </c>
      <c r="B40" s="3">
        <v>992.33299999999997</v>
      </c>
      <c r="C40" s="3">
        <v>1116.10167</v>
      </c>
      <c r="D40" s="3">
        <v>2016</v>
      </c>
      <c r="E40" s="3">
        <v>3291.6666700000001</v>
      </c>
      <c r="F40" s="3">
        <v>4316.3333400000001</v>
      </c>
      <c r="G40" s="3">
        <v>2985.6666700000001</v>
      </c>
      <c r="H40" s="3">
        <v>5474</v>
      </c>
      <c r="I40" s="3">
        <v>10736.333339999999</v>
      </c>
      <c r="J40" s="3">
        <v>7654</v>
      </c>
      <c r="K40" s="3">
        <v>30373</v>
      </c>
    </row>
    <row r="41" spans="1:11" x14ac:dyDescent="0.2">
      <c r="A41" s="12" t="s">
        <v>47</v>
      </c>
      <c r="B41" s="11">
        <v>771.88367000000005</v>
      </c>
      <c r="C41" s="11">
        <v>916.43499999999995</v>
      </c>
      <c r="D41" s="11">
        <v>1829.3333299999999</v>
      </c>
      <c r="E41" s="11">
        <v>3094.6666700000001</v>
      </c>
      <c r="F41" s="11">
        <v>4063.6666700000001</v>
      </c>
      <c r="G41" s="11">
        <v>2614</v>
      </c>
      <c r="H41" s="11">
        <v>4437.3333300000004</v>
      </c>
      <c r="I41" s="11">
        <v>9569.6666700000005</v>
      </c>
      <c r="J41" s="11">
        <v>6149</v>
      </c>
      <c r="K41" s="11">
        <v>28852</v>
      </c>
    </row>
    <row r="42" spans="1:11" x14ac:dyDescent="0.2">
      <c r="A42" s="6" t="s">
        <v>13</v>
      </c>
      <c r="B42" s="7">
        <v>220.449333</v>
      </c>
      <c r="C42" s="7">
        <v>199.66666699999999</v>
      </c>
      <c r="D42" s="7">
        <v>186.66666599999999</v>
      </c>
      <c r="E42" s="7">
        <v>197</v>
      </c>
      <c r="F42" s="7">
        <v>252.66666699999999</v>
      </c>
      <c r="G42" s="7">
        <v>371.66666700000002</v>
      </c>
      <c r="H42" s="7">
        <v>1036.6666660000001</v>
      </c>
      <c r="I42" s="7">
        <v>1166.666667</v>
      </c>
      <c r="J42" s="7">
        <v>1505</v>
      </c>
      <c r="K42" s="7">
        <v>1521</v>
      </c>
    </row>
    <row r="43" spans="1:11" x14ac:dyDescent="0.2">
      <c r="A43" s="24" t="s">
        <v>48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7" spans="1:11" x14ac:dyDescent="0.2">
      <c r="A47" t="s">
        <v>113</v>
      </c>
    </row>
    <row r="49" spans="1:17" x14ac:dyDescent="0.2">
      <c r="A49" s="1"/>
      <c r="B49" s="1" t="s">
        <v>94</v>
      </c>
      <c r="C49" s="1" t="s">
        <v>95</v>
      </c>
      <c r="D49" s="1" t="s">
        <v>96</v>
      </c>
      <c r="E49" s="1" t="s">
        <v>97</v>
      </c>
      <c r="F49" s="1" t="s">
        <v>98</v>
      </c>
      <c r="G49" s="1" t="s">
        <v>99</v>
      </c>
      <c r="H49" s="1" t="s">
        <v>100</v>
      </c>
      <c r="I49" s="1" t="s">
        <v>101</v>
      </c>
      <c r="J49" s="1" t="s">
        <v>102</v>
      </c>
      <c r="K49" s="1" t="s">
        <v>103</v>
      </c>
      <c r="L49" s="1" t="s">
        <v>104</v>
      </c>
      <c r="M49" s="1" t="s">
        <v>105</v>
      </c>
      <c r="N49" s="1" t="s">
        <v>106</v>
      </c>
      <c r="O49" s="1" t="s">
        <v>107</v>
      </c>
      <c r="P49" s="1" t="s">
        <v>108</v>
      </c>
      <c r="Q49" s="1" t="s">
        <v>109</v>
      </c>
    </row>
    <row r="50" spans="1:17" x14ac:dyDescent="0.2">
      <c r="A50" s="17" t="s">
        <v>10</v>
      </c>
      <c r="B50" s="7">
        <v>4634.67</v>
      </c>
      <c r="C50" s="7">
        <v>4982.1000000000004</v>
      </c>
      <c r="D50" s="7">
        <v>6750.23</v>
      </c>
      <c r="E50" s="7">
        <v>9474.25</v>
      </c>
      <c r="F50" s="7">
        <v>11546</v>
      </c>
      <c r="G50" s="7">
        <v>10985.8</v>
      </c>
      <c r="H50" s="7">
        <v>16189.9</v>
      </c>
      <c r="I50" s="7">
        <v>26040.5</v>
      </c>
      <c r="J50" s="7">
        <v>26968.9</v>
      </c>
      <c r="K50" s="7">
        <v>58038.7</v>
      </c>
      <c r="L50" s="47">
        <v>112419</v>
      </c>
      <c r="M50" s="47">
        <v>149445</v>
      </c>
      <c r="N50" s="47">
        <v>171006</v>
      </c>
      <c r="O50" s="47">
        <v>205932</v>
      </c>
      <c r="P50" s="47">
        <v>202741</v>
      </c>
      <c r="Q50" s="47">
        <v>230583</v>
      </c>
    </row>
    <row r="51" spans="1:17" x14ac:dyDescent="0.2">
      <c r="A51" s="18" t="s">
        <v>110</v>
      </c>
      <c r="B51" s="18" t="s">
        <v>111</v>
      </c>
      <c r="C51" s="18" t="s">
        <v>111</v>
      </c>
      <c r="D51" s="11">
        <v>2771.62</v>
      </c>
      <c r="E51" s="11">
        <v>3800.81</v>
      </c>
      <c r="F51" s="11">
        <v>4432.8100000000004</v>
      </c>
      <c r="G51" s="11">
        <v>4128.87</v>
      </c>
      <c r="H51" s="11">
        <v>5589.81</v>
      </c>
      <c r="I51" s="11">
        <v>8671.2800000000007</v>
      </c>
      <c r="J51" s="11">
        <v>10833.8</v>
      </c>
      <c r="K51" s="11">
        <v>15543.2</v>
      </c>
      <c r="L51" s="11">
        <v>27336.3</v>
      </c>
      <c r="M51" s="11">
        <v>36885</v>
      </c>
      <c r="N51" s="11">
        <v>42407.9</v>
      </c>
      <c r="O51" s="11">
        <v>54282.400000000001</v>
      </c>
      <c r="P51" s="11">
        <v>46056.5</v>
      </c>
      <c r="Q51" s="11">
        <v>50354.1</v>
      </c>
    </row>
    <row r="52" spans="1:17" x14ac:dyDescent="0.2">
      <c r="A52" s="17" t="s">
        <v>16</v>
      </c>
      <c r="B52" s="7">
        <v>2571.3000000000002</v>
      </c>
      <c r="C52" s="7">
        <v>2825.06</v>
      </c>
      <c r="D52" s="7">
        <v>3983.46</v>
      </c>
      <c r="E52" s="7">
        <v>5693.91</v>
      </c>
      <c r="F52" s="7">
        <v>7115.03</v>
      </c>
      <c r="G52" s="7">
        <v>6855.99</v>
      </c>
      <c r="H52" s="7">
        <v>10599.1</v>
      </c>
      <c r="I52" s="7">
        <v>16918</v>
      </c>
      <c r="J52" s="7">
        <v>16093.2</v>
      </c>
      <c r="K52" s="7">
        <v>41894.400000000001</v>
      </c>
      <c r="L52" s="7">
        <v>85192.2</v>
      </c>
      <c r="M52" s="7">
        <v>111899</v>
      </c>
      <c r="N52" s="7">
        <v>127368</v>
      </c>
      <c r="O52" s="7">
        <v>151905</v>
      </c>
      <c r="P52" s="7">
        <v>156718</v>
      </c>
      <c r="Q52" s="7">
        <v>180228</v>
      </c>
    </row>
    <row r="53" spans="1:17" x14ac:dyDescent="0.2">
      <c r="A53" s="18" t="s">
        <v>46</v>
      </c>
      <c r="B53" s="11">
        <v>964.26099999999997</v>
      </c>
      <c r="C53" s="11">
        <v>1110.1400000000001</v>
      </c>
      <c r="D53" s="11">
        <v>2072.3200000000002</v>
      </c>
      <c r="E53" s="11">
        <v>3317.95</v>
      </c>
      <c r="F53" s="11">
        <v>4546.04</v>
      </c>
      <c r="G53" s="11">
        <v>4160.8999999999996</v>
      </c>
      <c r="H53" s="11">
        <v>7579.04</v>
      </c>
      <c r="I53" s="11">
        <v>13356.4</v>
      </c>
      <c r="J53" s="11">
        <v>10862.7</v>
      </c>
      <c r="K53" s="11">
        <v>33240.199999999997</v>
      </c>
      <c r="L53" s="11">
        <v>72568.2</v>
      </c>
      <c r="M53" s="11">
        <v>95742</v>
      </c>
      <c r="N53" s="11">
        <v>112416</v>
      </c>
      <c r="O53" s="11">
        <v>112790</v>
      </c>
      <c r="P53" s="18" t="s">
        <v>111</v>
      </c>
      <c r="Q53" s="18" t="s">
        <v>111</v>
      </c>
    </row>
    <row r="54" spans="1:17" x14ac:dyDescent="0.2">
      <c r="A54" s="17" t="s">
        <v>161</v>
      </c>
      <c r="B54" s="7">
        <v>736.68</v>
      </c>
      <c r="C54" s="7">
        <v>1093.92</v>
      </c>
      <c r="D54" s="7">
        <v>2128.4299999999998</v>
      </c>
      <c r="E54" s="7">
        <v>3497.92</v>
      </c>
      <c r="F54" s="7">
        <v>4339.8999999999996</v>
      </c>
      <c r="G54" s="7">
        <v>3792.99</v>
      </c>
      <c r="H54" s="7">
        <v>6545.01</v>
      </c>
      <c r="I54" s="7">
        <v>12189.4</v>
      </c>
      <c r="J54" s="7">
        <v>9350.08</v>
      </c>
      <c r="K54" s="7">
        <v>34747.9</v>
      </c>
      <c r="L54" s="47">
        <v>73804.5</v>
      </c>
      <c r="M54" s="47">
        <v>97919.3</v>
      </c>
      <c r="N54" s="47">
        <v>109887</v>
      </c>
      <c r="O54" s="47">
        <v>127482</v>
      </c>
      <c r="P54" s="47">
        <v>131694</v>
      </c>
      <c r="Q54" s="47">
        <v>150729</v>
      </c>
    </row>
    <row r="55" spans="1:17" x14ac:dyDescent="0.2">
      <c r="A55" s="18" t="s">
        <v>31</v>
      </c>
      <c r="B55" s="11">
        <v>925.00900000000001</v>
      </c>
      <c r="C55" s="11">
        <v>1126.8399999999999</v>
      </c>
      <c r="D55" s="11">
        <v>2140.86</v>
      </c>
      <c r="E55" s="11">
        <v>3502.6</v>
      </c>
      <c r="F55" s="11">
        <v>4415.28</v>
      </c>
      <c r="G55" s="11">
        <v>3913.42</v>
      </c>
      <c r="H55" s="11">
        <v>6444.79</v>
      </c>
      <c r="I55" s="11">
        <v>11998</v>
      </c>
      <c r="J55" s="11">
        <v>9338.76</v>
      </c>
      <c r="K55" s="11">
        <v>35307.599999999999</v>
      </c>
      <c r="L55" s="11">
        <v>73907.600000000006</v>
      </c>
      <c r="M55" s="11">
        <v>98056</v>
      </c>
      <c r="N55" s="11">
        <v>110549</v>
      </c>
      <c r="O55" s="11">
        <v>126393</v>
      </c>
      <c r="P55" s="11">
        <v>132402</v>
      </c>
      <c r="Q55" s="11">
        <v>151628</v>
      </c>
    </row>
    <row r="56" spans="1:17" x14ac:dyDescent="0.2">
      <c r="A56" s="17" t="s">
        <v>112</v>
      </c>
      <c r="B56" s="7">
        <v>119.622</v>
      </c>
      <c r="C56" s="7">
        <v>207.28800000000001</v>
      </c>
      <c r="D56" s="7">
        <v>368.82</v>
      </c>
      <c r="E56" s="7">
        <v>523.83199999999999</v>
      </c>
      <c r="F56" s="7">
        <v>363.137</v>
      </c>
      <c r="G56" s="7">
        <v>285.69</v>
      </c>
      <c r="H56" s="7">
        <v>395.39299999999997</v>
      </c>
      <c r="I56" s="7">
        <v>1163.58</v>
      </c>
      <c r="J56" s="7">
        <v>727.05200000000002</v>
      </c>
      <c r="K56" s="7">
        <v>5029.32</v>
      </c>
      <c r="L56" s="7">
        <v>12102.8</v>
      </c>
      <c r="M56" s="7">
        <v>15848.7</v>
      </c>
      <c r="N56" s="7">
        <v>17312.400000000001</v>
      </c>
      <c r="O56" s="7">
        <v>20287</v>
      </c>
      <c r="P56" s="7">
        <v>22409.4</v>
      </c>
      <c r="Q56" s="7">
        <v>25777.200000000001</v>
      </c>
    </row>
    <row r="57" spans="1:17" x14ac:dyDescent="0.2">
      <c r="A57" s="18" t="s">
        <v>34</v>
      </c>
      <c r="B57" s="11">
        <v>614.399</v>
      </c>
      <c r="C57" s="11">
        <v>615.40899999999999</v>
      </c>
      <c r="D57" s="11">
        <v>1577.04</v>
      </c>
      <c r="E57" s="11">
        <v>2929.32</v>
      </c>
      <c r="F57" s="11">
        <v>4048.08</v>
      </c>
      <c r="G57" s="11">
        <v>2910.23</v>
      </c>
      <c r="H57" s="11">
        <v>4202.55</v>
      </c>
      <c r="I57" s="11">
        <v>9290.67</v>
      </c>
      <c r="J57" s="11">
        <v>4825.2700000000004</v>
      </c>
      <c r="K57" s="11">
        <v>27603.4</v>
      </c>
      <c r="L57" s="11">
        <v>59337.1</v>
      </c>
      <c r="M57" s="11">
        <v>77795.199999999997</v>
      </c>
      <c r="N57" s="11">
        <v>90768.2</v>
      </c>
      <c r="O57" s="11">
        <v>105914</v>
      </c>
      <c r="P57" s="11">
        <v>109993</v>
      </c>
      <c r="Q57" s="11">
        <v>125851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473DD-4B3F-0944-988D-B2E16B0F4133}">
  <dimension ref="A1:K51"/>
  <sheetViews>
    <sheetView workbookViewId="0">
      <selection activeCell="A4" sqref="A4"/>
    </sheetView>
  </sheetViews>
  <sheetFormatPr baseColWidth="10" defaultRowHeight="16" x14ac:dyDescent="0.2"/>
  <cols>
    <col min="1" max="1" width="46.6640625" bestFit="1" customWidth="1"/>
  </cols>
  <sheetData>
    <row r="1" spans="1:1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2" t="s">
        <v>49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19" t="s">
        <v>50</v>
      </c>
      <c r="B3" s="11">
        <v>615.18333299999995</v>
      </c>
      <c r="C3" s="11">
        <v>609.04266700000005</v>
      </c>
      <c r="D3" s="11">
        <v>1517.333333</v>
      </c>
      <c r="E3" s="11">
        <v>2892</v>
      </c>
      <c r="F3" s="11">
        <v>4325.3333329999996</v>
      </c>
      <c r="G3" s="11">
        <v>2667.666667</v>
      </c>
      <c r="H3" s="11">
        <v>4163.3333329999996</v>
      </c>
      <c r="I3" s="11">
        <v>9236.6666669999995</v>
      </c>
      <c r="J3" s="11">
        <v>4897.6666670000004</v>
      </c>
      <c r="K3" s="11">
        <v>26136.333332999999</v>
      </c>
    </row>
    <row r="4" spans="1:11" x14ac:dyDescent="0.2">
      <c r="A4" s="15" t="s">
        <v>51</v>
      </c>
      <c r="B4" s="3">
        <v>220.41933299999999</v>
      </c>
      <c r="C4" s="3">
        <v>199.651667</v>
      </c>
      <c r="D4" s="3">
        <v>186.66666599999999</v>
      </c>
      <c r="E4" s="3">
        <v>196.66666699999999</v>
      </c>
      <c r="F4" s="3">
        <v>254</v>
      </c>
      <c r="G4" s="3">
        <v>371.66666700000002</v>
      </c>
      <c r="H4" s="3">
        <v>1037.333333</v>
      </c>
      <c r="I4" s="3">
        <v>1167</v>
      </c>
      <c r="J4" s="3">
        <v>1505</v>
      </c>
      <c r="K4" s="3">
        <v>1521</v>
      </c>
    </row>
    <row r="5" spans="1:11" x14ac:dyDescent="0.2">
      <c r="A5" s="12" t="s">
        <v>52</v>
      </c>
      <c r="B5" s="11">
        <v>143.32</v>
      </c>
      <c r="C5" s="11">
        <v>125.876666</v>
      </c>
      <c r="D5" s="11">
        <v>118</v>
      </c>
      <c r="E5" s="11">
        <v>141</v>
      </c>
      <c r="F5" s="11">
        <v>185.66666699999999</v>
      </c>
      <c r="G5" s="11">
        <v>383.66666700000002</v>
      </c>
      <c r="H5" s="11">
        <v>472.33333299999998</v>
      </c>
      <c r="I5" s="11">
        <v>603.33333300000004</v>
      </c>
      <c r="J5" s="11">
        <v>818</v>
      </c>
      <c r="K5" s="11">
        <v>894.33333400000004</v>
      </c>
    </row>
    <row r="6" spans="1:11" x14ac:dyDescent="0.2">
      <c r="A6" s="6" t="s">
        <v>53</v>
      </c>
      <c r="B6" s="7">
        <v>77.099333000000001</v>
      </c>
      <c r="C6" s="7">
        <v>73.775000000000006</v>
      </c>
      <c r="D6" s="7">
        <v>68.666667000000004</v>
      </c>
      <c r="E6" s="7">
        <v>55.666666999999997</v>
      </c>
      <c r="F6" s="7">
        <v>68.333332999999996</v>
      </c>
      <c r="G6" s="16">
        <v>-12</v>
      </c>
      <c r="H6" s="7">
        <v>565</v>
      </c>
      <c r="I6" s="7">
        <v>563.66666699999996</v>
      </c>
      <c r="J6" s="7">
        <v>687</v>
      </c>
      <c r="K6" s="7">
        <v>626.66666599999996</v>
      </c>
    </row>
    <row r="7" spans="1:11" x14ac:dyDescent="0.2">
      <c r="A7" s="4" t="s">
        <v>54</v>
      </c>
      <c r="B7" s="5">
        <v>78.245000000000005</v>
      </c>
      <c r="C7" s="5">
        <v>131.82933299999999</v>
      </c>
      <c r="D7" s="5">
        <v>189</v>
      </c>
      <c r="E7" s="5">
        <v>-169.66666699999999</v>
      </c>
      <c r="F7" s="5">
        <v>-372.33333299999998</v>
      </c>
      <c r="G7" s="5">
        <v>-104.666667</v>
      </c>
      <c r="H7" s="5">
        <v>-219.33333300000001</v>
      </c>
      <c r="I7" s="5">
        <v>-386.33333299999998</v>
      </c>
      <c r="J7" s="5">
        <v>-2023</v>
      </c>
      <c r="K7" s="5">
        <v>-2678.666667</v>
      </c>
    </row>
    <row r="8" spans="1:11" x14ac:dyDescent="0.2">
      <c r="A8" s="6" t="s">
        <v>55</v>
      </c>
      <c r="B8" s="7">
        <v>78.245000000000005</v>
      </c>
      <c r="C8" s="7">
        <v>131.82933299999999</v>
      </c>
      <c r="D8" s="7">
        <v>189</v>
      </c>
      <c r="E8" s="16">
        <v>-169.66666699999999</v>
      </c>
      <c r="F8" s="16">
        <v>-372.33333299999998</v>
      </c>
      <c r="G8" s="16">
        <v>-104.666667</v>
      </c>
      <c r="H8" s="16">
        <v>-219.33333300000001</v>
      </c>
      <c r="I8" s="16">
        <v>-386.33333299999998</v>
      </c>
      <c r="J8" s="16">
        <v>-2023</v>
      </c>
      <c r="K8" s="16">
        <v>-2678.666667</v>
      </c>
    </row>
    <row r="9" spans="1:11" x14ac:dyDescent="0.2">
      <c r="A9" s="19" t="s">
        <v>56</v>
      </c>
      <c r="B9" s="11">
        <v>172.228667</v>
      </c>
      <c r="C9" s="11">
        <v>272.900667</v>
      </c>
      <c r="D9" s="11">
        <v>297.33333299999998</v>
      </c>
      <c r="E9" s="11">
        <v>414.33333299999998</v>
      </c>
      <c r="F9" s="11">
        <v>506.66666700000002</v>
      </c>
      <c r="G9" s="11">
        <v>824.66666699999996</v>
      </c>
      <c r="H9" s="11">
        <v>1317.6666660000001</v>
      </c>
      <c r="I9" s="11">
        <v>1875.3333339999999</v>
      </c>
      <c r="J9" s="11">
        <v>4052.333333</v>
      </c>
      <c r="K9" s="11">
        <v>3081</v>
      </c>
    </row>
    <row r="10" spans="1:11" x14ac:dyDescent="0.2">
      <c r="A10" s="13" t="s">
        <v>57</v>
      </c>
      <c r="B10" s="7">
        <v>1086.0763340000001</v>
      </c>
      <c r="C10" s="7">
        <v>1213.4243329999999</v>
      </c>
      <c r="D10" s="7">
        <v>2190.333333</v>
      </c>
      <c r="E10" s="7">
        <v>3333.3333339999999</v>
      </c>
      <c r="F10" s="7">
        <v>4713.6666660000001</v>
      </c>
      <c r="G10" s="7">
        <v>3759.3333339999999</v>
      </c>
      <c r="H10" s="7">
        <v>6299</v>
      </c>
      <c r="I10" s="7">
        <v>11892.666665999999</v>
      </c>
      <c r="J10" s="7">
        <v>8432</v>
      </c>
      <c r="K10" s="7">
        <v>28059.666667000001</v>
      </c>
    </row>
    <row r="11" spans="1:11" x14ac:dyDescent="0.2">
      <c r="A11" s="4" t="s">
        <v>58</v>
      </c>
      <c r="B11" s="5">
        <v>-194.42599999999999</v>
      </c>
      <c r="C11" s="5">
        <v>-61.181333000000002</v>
      </c>
      <c r="D11" s="5">
        <v>-588.33333400000004</v>
      </c>
      <c r="E11" s="5">
        <v>-43.666665999999999</v>
      </c>
      <c r="F11" s="5">
        <v>-817.33333400000004</v>
      </c>
      <c r="G11" s="5">
        <v>812.66666699999996</v>
      </c>
      <c r="H11" s="5">
        <v>-677.66666699999996</v>
      </c>
      <c r="I11" s="5">
        <v>-3106.6666660000001</v>
      </c>
      <c r="J11" s="5">
        <v>-2529.3333339999999</v>
      </c>
      <c r="K11" s="5">
        <v>-3053.333333</v>
      </c>
    </row>
    <row r="12" spans="1:11" x14ac:dyDescent="0.2">
      <c r="A12" s="6" t="s">
        <v>59</v>
      </c>
      <c r="B12" s="16">
        <v>-72.110333999999995</v>
      </c>
      <c r="C12" s="16">
        <v>-12.531666</v>
      </c>
      <c r="D12" s="16">
        <v>-313</v>
      </c>
      <c r="E12" s="16">
        <v>-405</v>
      </c>
      <c r="F12" s="16">
        <v>-446.33333399999998</v>
      </c>
      <c r="G12" s="7">
        <v>98.666667000000004</v>
      </c>
      <c r="H12" s="16">
        <v>-656</v>
      </c>
      <c r="I12" s="16">
        <v>-1945.333333</v>
      </c>
      <c r="J12" s="7">
        <v>231.33333300000001</v>
      </c>
      <c r="K12" s="16">
        <v>-5248.6666670000004</v>
      </c>
    </row>
    <row r="13" spans="1:11" x14ac:dyDescent="0.2">
      <c r="A13" s="12" t="s">
        <v>60</v>
      </c>
      <c r="B13" s="26">
        <v>-72.456666999999996</v>
      </c>
      <c r="C13" s="11">
        <v>38.630333999999998</v>
      </c>
      <c r="D13" s="26">
        <v>-334.66666700000002</v>
      </c>
      <c r="E13" s="26">
        <v>-58.333333000000003</v>
      </c>
      <c r="F13" s="26">
        <v>-703.66666699999996</v>
      </c>
      <c r="G13" s="11">
        <v>523</v>
      </c>
      <c r="H13" s="26">
        <v>-390.66666700000002</v>
      </c>
      <c r="I13" s="26">
        <v>-760.66666599999996</v>
      </c>
      <c r="J13" s="26">
        <v>-2443.3333339999999</v>
      </c>
      <c r="K13" s="26">
        <v>-165.66666599999999</v>
      </c>
    </row>
    <row r="14" spans="1:11" x14ac:dyDescent="0.2">
      <c r="A14" s="6" t="s">
        <v>61</v>
      </c>
      <c r="B14" s="16">
        <v>-8.6563330000000001</v>
      </c>
      <c r="C14" s="16">
        <v>-17.240666999999998</v>
      </c>
      <c r="D14" s="7">
        <v>189.33333300000001</v>
      </c>
      <c r="E14" s="7">
        <v>57.666666999999997</v>
      </c>
      <c r="F14" s="7">
        <v>5.6666670000000003</v>
      </c>
      <c r="G14" s="7">
        <v>40</v>
      </c>
      <c r="H14" s="7">
        <v>372.66666600000002</v>
      </c>
      <c r="I14" s="7">
        <v>561.33333400000004</v>
      </c>
      <c r="J14" s="16">
        <v>-455.33333399999998</v>
      </c>
      <c r="K14" s="7">
        <v>1373</v>
      </c>
    </row>
    <row r="15" spans="1:11" x14ac:dyDescent="0.2">
      <c r="A15" s="12" t="s">
        <v>62</v>
      </c>
      <c r="B15" s="11">
        <v>32.626666999999998</v>
      </c>
      <c r="C15" s="11">
        <v>21.892665999999998</v>
      </c>
      <c r="D15" s="26">
        <v>-108.66666600000001</v>
      </c>
      <c r="E15" s="11">
        <v>17.333333</v>
      </c>
      <c r="F15" s="11">
        <v>235.66666699999999</v>
      </c>
      <c r="G15" s="11">
        <v>38</v>
      </c>
      <c r="H15" s="11">
        <v>248.66666599999999</v>
      </c>
      <c r="I15" s="11">
        <v>453.33333399999998</v>
      </c>
      <c r="J15" s="11">
        <v>1456</v>
      </c>
      <c r="K15" s="11">
        <v>1723</v>
      </c>
    </row>
    <row r="16" spans="1:11" x14ac:dyDescent="0.2">
      <c r="A16" s="6" t="s">
        <v>63</v>
      </c>
      <c r="B16" s="16">
        <v>-73.829333000000005</v>
      </c>
      <c r="C16" s="16">
        <v>-91.932000000000002</v>
      </c>
      <c r="D16" s="16">
        <v>-21.333333</v>
      </c>
      <c r="E16" s="7">
        <v>344.66666600000002</v>
      </c>
      <c r="F16" s="7">
        <v>91.333333999999994</v>
      </c>
      <c r="G16" s="7">
        <v>113</v>
      </c>
      <c r="H16" s="16">
        <v>-252.33333400000001</v>
      </c>
      <c r="I16" s="16">
        <v>-1415.333333</v>
      </c>
      <c r="J16" s="16">
        <v>-1318</v>
      </c>
      <c r="K16" s="16">
        <v>-735</v>
      </c>
    </row>
    <row r="17" spans="1:11" x14ac:dyDescent="0.2">
      <c r="A17" s="19" t="s">
        <v>64</v>
      </c>
      <c r="B17" s="11">
        <v>891.65033400000004</v>
      </c>
      <c r="C17" s="11">
        <v>1152.2429999999999</v>
      </c>
      <c r="D17" s="11">
        <v>1601.9999989999999</v>
      </c>
      <c r="E17" s="11">
        <v>3289.6666679999998</v>
      </c>
      <c r="F17" s="11">
        <v>3896.3333320000002</v>
      </c>
      <c r="G17" s="11">
        <v>4572.0000010000003</v>
      </c>
      <c r="H17" s="11">
        <v>5621.3333329999996</v>
      </c>
      <c r="I17" s="11">
        <v>8786</v>
      </c>
      <c r="J17" s="11">
        <v>5902.6666660000001</v>
      </c>
      <c r="K17" s="11">
        <v>25006.333333999999</v>
      </c>
    </row>
    <row r="18" spans="1:11" x14ac:dyDescent="0.2">
      <c r="A18" s="2" t="s">
        <v>65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">
      <c r="A19" s="4" t="s">
        <v>66</v>
      </c>
      <c r="B19" s="5">
        <v>-134.15733399999999</v>
      </c>
      <c r="C19" s="5">
        <v>-91.348332999999997</v>
      </c>
      <c r="D19" s="5">
        <v>-164</v>
      </c>
      <c r="E19" s="5">
        <v>-471.33333299999998</v>
      </c>
      <c r="F19" s="5">
        <v>-671</v>
      </c>
      <c r="G19" s="5">
        <v>-508.33333399999998</v>
      </c>
      <c r="H19" s="5">
        <v>-1082</v>
      </c>
      <c r="I19" s="5">
        <v>-979.33333300000004</v>
      </c>
      <c r="J19" s="5">
        <v>-1754.333333</v>
      </c>
      <c r="K19" s="5">
        <v>-1154</v>
      </c>
    </row>
    <row r="20" spans="1:11" x14ac:dyDescent="0.2">
      <c r="A20" s="6" t="s">
        <v>67</v>
      </c>
      <c r="B20" s="16">
        <v>-134.15733399999999</v>
      </c>
      <c r="C20" s="16">
        <v>-91.348332999999997</v>
      </c>
      <c r="D20" s="16">
        <v>-164</v>
      </c>
      <c r="E20" s="16">
        <v>-471.33333299999998</v>
      </c>
      <c r="F20" s="16">
        <v>-671</v>
      </c>
      <c r="G20" s="16">
        <v>-508.33333399999998</v>
      </c>
      <c r="H20" s="16">
        <v>-1082</v>
      </c>
      <c r="I20" s="16">
        <v>-979.33333300000004</v>
      </c>
      <c r="J20" s="16">
        <v>-1754.333333</v>
      </c>
      <c r="K20" s="16">
        <v>-1154</v>
      </c>
    </row>
    <row r="21" spans="1:11" x14ac:dyDescent="0.2">
      <c r="A21" s="19" t="s">
        <v>68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26">
        <v>-8524</v>
      </c>
      <c r="I21" s="26">
        <v>-243</v>
      </c>
      <c r="J21" s="26">
        <v>-69</v>
      </c>
      <c r="K21" s="26">
        <v>-83</v>
      </c>
    </row>
    <row r="22" spans="1:11" x14ac:dyDescent="0.2">
      <c r="A22" s="13" t="s">
        <v>69</v>
      </c>
      <c r="B22" s="7">
        <v>0</v>
      </c>
      <c r="C22" s="7">
        <v>4.6666670000000003</v>
      </c>
      <c r="D22" s="7">
        <v>9</v>
      </c>
      <c r="E22" s="7">
        <v>1.666666</v>
      </c>
      <c r="F22" s="7">
        <v>0.66666700000000001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</row>
    <row r="23" spans="1:11" x14ac:dyDescent="0.2">
      <c r="A23" s="4" t="s">
        <v>70</v>
      </c>
      <c r="B23" s="5">
        <v>-881.15266699999995</v>
      </c>
      <c r="C23" s="5">
        <v>-370.37733300000002</v>
      </c>
      <c r="D23" s="5">
        <v>-576.33333300000004</v>
      </c>
      <c r="E23" s="5">
        <v>1664.666667</v>
      </c>
      <c r="F23" s="5">
        <v>-3441.666667</v>
      </c>
      <c r="G23" s="5">
        <v>6714</v>
      </c>
      <c r="H23" s="5">
        <v>-9052.3333330000005</v>
      </c>
      <c r="I23" s="5">
        <v>-9091.3333340000008</v>
      </c>
      <c r="J23" s="5">
        <v>8753</v>
      </c>
      <c r="K23" s="5">
        <v>-6348.3333329999996</v>
      </c>
    </row>
    <row r="24" spans="1:11" x14ac:dyDescent="0.2">
      <c r="A24" s="6" t="s">
        <v>71</v>
      </c>
      <c r="B24" s="7">
        <v>3164.876667</v>
      </c>
      <c r="C24" s="7">
        <v>3452.91</v>
      </c>
      <c r="D24" s="7">
        <v>3108.333333</v>
      </c>
      <c r="E24" s="7">
        <v>331</v>
      </c>
      <c r="F24" s="7">
        <v>10808.666667</v>
      </c>
      <c r="G24" s="7">
        <v>1820.6666660000001</v>
      </c>
      <c r="H24" s="7">
        <v>17154.666667000001</v>
      </c>
      <c r="I24" s="7">
        <v>24020.666667000001</v>
      </c>
      <c r="J24" s="7">
        <v>14108.333333</v>
      </c>
      <c r="K24" s="7">
        <v>16414.333332999999</v>
      </c>
    </row>
    <row r="25" spans="1:11" x14ac:dyDescent="0.2">
      <c r="A25" s="12" t="s">
        <v>72</v>
      </c>
      <c r="B25" s="11">
        <v>2283.7240000000002</v>
      </c>
      <c r="C25" s="11">
        <v>3082.5326669999999</v>
      </c>
      <c r="D25" s="11">
        <v>2532</v>
      </c>
      <c r="E25" s="11">
        <v>1995.666667</v>
      </c>
      <c r="F25" s="11">
        <v>7367</v>
      </c>
      <c r="G25" s="11">
        <v>8534.6666659999992</v>
      </c>
      <c r="H25" s="11">
        <v>8102.3333339999999</v>
      </c>
      <c r="I25" s="11">
        <v>14929.333333</v>
      </c>
      <c r="J25" s="11">
        <v>22861.333332999999</v>
      </c>
      <c r="K25" s="11">
        <v>10066</v>
      </c>
    </row>
    <row r="26" spans="1:11" x14ac:dyDescent="0.2">
      <c r="A26" s="15" t="s">
        <v>56</v>
      </c>
      <c r="B26" s="3">
        <v>27.789000000000001</v>
      </c>
      <c r="C26" s="3">
        <v>22</v>
      </c>
      <c r="D26" s="3">
        <v>-8.3333329999999997</v>
      </c>
      <c r="E26" s="3">
        <v>-33.333334000000001</v>
      </c>
      <c r="F26" s="3">
        <v>-6.3333329999999997</v>
      </c>
      <c r="G26" s="3">
        <v>3</v>
      </c>
      <c r="H26" s="3">
        <v>-24</v>
      </c>
      <c r="I26" s="3">
        <v>-30.666667</v>
      </c>
      <c r="J26" s="3">
        <v>-82.333332999999996</v>
      </c>
      <c r="K26" s="3">
        <v>-945.33333300000004</v>
      </c>
    </row>
    <row r="27" spans="1:11" x14ac:dyDescent="0.2">
      <c r="A27" s="12" t="s">
        <v>73</v>
      </c>
      <c r="B27" s="26">
        <v>-1.3333330000000001</v>
      </c>
      <c r="C27" s="26">
        <v>-4.3333329999999997</v>
      </c>
      <c r="D27" s="26">
        <v>-6</v>
      </c>
      <c r="E27" s="26">
        <v>-33.333334000000001</v>
      </c>
      <c r="F27" s="26">
        <v>-6.3333329999999997</v>
      </c>
      <c r="G27" s="11">
        <v>3</v>
      </c>
      <c r="H27" s="26">
        <v>-24</v>
      </c>
      <c r="I27" s="26">
        <v>-30.666667</v>
      </c>
      <c r="J27" s="26">
        <v>-82.333332999999996</v>
      </c>
      <c r="K27" s="26">
        <v>-945.33333300000004</v>
      </c>
    </row>
    <row r="28" spans="1:11" x14ac:dyDescent="0.2">
      <c r="A28" s="6" t="s">
        <v>74</v>
      </c>
      <c r="B28" s="7">
        <v>29.122333000000001</v>
      </c>
      <c r="C28" s="7">
        <v>26.333333</v>
      </c>
      <c r="D28" s="16">
        <v>-2.3333330000000001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</row>
    <row r="29" spans="1:11" x14ac:dyDescent="0.2">
      <c r="A29" s="19" t="s">
        <v>75</v>
      </c>
      <c r="B29" s="26">
        <v>-987.52099999999996</v>
      </c>
      <c r="C29" s="26">
        <v>-435.05900000000003</v>
      </c>
      <c r="D29" s="26">
        <v>-739.66666699999996</v>
      </c>
      <c r="E29" s="11">
        <v>1161.666667</v>
      </c>
      <c r="F29" s="26">
        <v>-4118.3333329999996</v>
      </c>
      <c r="G29" s="11">
        <v>6208.6666660000001</v>
      </c>
      <c r="H29" s="26">
        <v>-18682.333332999999</v>
      </c>
      <c r="I29" s="26">
        <v>-10344.333333</v>
      </c>
      <c r="J29" s="11">
        <v>6847.3333329999996</v>
      </c>
      <c r="K29" s="26">
        <v>-8530.6666669999995</v>
      </c>
    </row>
    <row r="30" spans="1:11" x14ac:dyDescent="0.2">
      <c r="A30" s="2" t="s">
        <v>76</v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">
      <c r="A31" s="4" t="s">
        <v>77</v>
      </c>
      <c r="B31" s="5">
        <v>-187.15600000000001</v>
      </c>
      <c r="C31" s="5">
        <v>-208.07233400000001</v>
      </c>
      <c r="D31" s="5">
        <v>-256</v>
      </c>
      <c r="E31" s="5">
        <v>-336</v>
      </c>
      <c r="F31" s="5">
        <v>-368.66666600000002</v>
      </c>
      <c r="G31" s="5">
        <v>-390</v>
      </c>
      <c r="H31" s="5">
        <v>-394.66666700000002</v>
      </c>
      <c r="I31" s="5">
        <v>-398.33333299999998</v>
      </c>
      <c r="J31" s="5">
        <v>-399</v>
      </c>
      <c r="K31" s="5">
        <v>-394.66666700000002</v>
      </c>
    </row>
    <row r="32" spans="1:11" x14ac:dyDescent="0.2">
      <c r="A32" s="6" t="s">
        <v>78</v>
      </c>
      <c r="B32" s="16">
        <v>-187.15600000000001</v>
      </c>
      <c r="C32" s="16">
        <v>-208.07233400000001</v>
      </c>
      <c r="D32" s="16">
        <v>-256</v>
      </c>
      <c r="E32" s="16">
        <v>-336</v>
      </c>
      <c r="F32" s="16">
        <v>-368.66666600000002</v>
      </c>
      <c r="G32" s="16">
        <v>-390</v>
      </c>
      <c r="H32" s="16">
        <v>-394.66666700000002</v>
      </c>
      <c r="I32" s="16">
        <v>-398.33333299999998</v>
      </c>
      <c r="J32" s="16">
        <v>-399</v>
      </c>
      <c r="K32" s="16">
        <v>-394.66666700000002</v>
      </c>
    </row>
    <row r="33" spans="1:11" x14ac:dyDescent="0.2">
      <c r="A33" s="4" t="s">
        <v>79</v>
      </c>
      <c r="B33" s="5">
        <v>-657.78266699999995</v>
      </c>
      <c r="C33" s="5">
        <v>-422.27300000000002</v>
      </c>
      <c r="D33" s="5">
        <v>-716</v>
      </c>
      <c r="E33" s="5">
        <v>-842.33333300000004</v>
      </c>
      <c r="F33" s="5">
        <v>-1199.0000010000001</v>
      </c>
      <c r="G33" s="5">
        <v>-92.666666000000006</v>
      </c>
      <c r="H33" s="5">
        <v>193.66666699999999</v>
      </c>
      <c r="I33" s="5">
        <v>281</v>
      </c>
      <c r="J33" s="5">
        <v>-9280.3333340000008</v>
      </c>
      <c r="K33" s="5">
        <v>-8646</v>
      </c>
    </row>
    <row r="34" spans="1:11" x14ac:dyDescent="0.2">
      <c r="A34" s="6" t="s">
        <v>80</v>
      </c>
      <c r="B34" s="16">
        <v>-824.83466699999997</v>
      </c>
      <c r="C34" s="16">
        <v>-543.20000000000005</v>
      </c>
      <c r="D34" s="16">
        <v>-723</v>
      </c>
      <c r="E34" s="16">
        <v>-979</v>
      </c>
      <c r="F34" s="16">
        <v>-1337.666667</v>
      </c>
      <c r="G34" s="16">
        <v>-241.33333300000001</v>
      </c>
      <c r="H34" s="7">
        <v>0</v>
      </c>
      <c r="I34" s="7">
        <v>0</v>
      </c>
      <c r="J34" s="16">
        <v>-9634.6666669999995</v>
      </c>
      <c r="K34" s="16">
        <v>-9051</v>
      </c>
    </row>
    <row r="35" spans="1:11" x14ac:dyDescent="0.2">
      <c r="A35" s="8" t="s">
        <v>81</v>
      </c>
      <c r="B35" s="5">
        <v>167.05199999999999</v>
      </c>
      <c r="C35" s="5">
        <v>120.92700000000001</v>
      </c>
      <c r="D35" s="5">
        <v>7</v>
      </c>
      <c r="E35" s="5">
        <v>136.66666699999999</v>
      </c>
      <c r="F35" s="5">
        <v>138.66666599999999</v>
      </c>
      <c r="G35" s="5">
        <v>148.66666699999999</v>
      </c>
      <c r="H35" s="5">
        <v>193.66666699999999</v>
      </c>
      <c r="I35" s="5">
        <v>281</v>
      </c>
      <c r="J35" s="5">
        <v>354.33333299999998</v>
      </c>
      <c r="K35" s="5">
        <v>405</v>
      </c>
    </row>
    <row r="36" spans="1:11" x14ac:dyDescent="0.2">
      <c r="A36" s="9" t="s">
        <v>82</v>
      </c>
      <c r="B36" s="7">
        <v>0</v>
      </c>
      <c r="C36" s="7">
        <v>0</v>
      </c>
      <c r="D36" s="7">
        <v>0</v>
      </c>
      <c r="E36" s="7">
        <v>136.66666699999999</v>
      </c>
      <c r="F36" s="7">
        <v>93.666666000000006</v>
      </c>
      <c r="G36" s="7">
        <v>45.666666999999997</v>
      </c>
      <c r="H36" s="7">
        <v>0</v>
      </c>
      <c r="I36" s="7">
        <v>0</v>
      </c>
      <c r="J36" s="7">
        <v>0</v>
      </c>
      <c r="K36" s="7">
        <v>0</v>
      </c>
    </row>
    <row r="37" spans="1:11" x14ac:dyDescent="0.2">
      <c r="A37" s="10" t="s">
        <v>83</v>
      </c>
      <c r="B37" s="11">
        <v>167.05199999999999</v>
      </c>
      <c r="C37" s="11">
        <v>120.92700000000001</v>
      </c>
      <c r="D37" s="11">
        <v>7</v>
      </c>
      <c r="E37" s="11">
        <v>0</v>
      </c>
      <c r="F37" s="11">
        <v>45</v>
      </c>
      <c r="G37" s="11">
        <v>103</v>
      </c>
      <c r="H37" s="11">
        <v>193.66666699999999</v>
      </c>
      <c r="I37" s="11">
        <v>281</v>
      </c>
      <c r="J37" s="11">
        <v>354.33333299999998</v>
      </c>
      <c r="K37" s="11">
        <v>405</v>
      </c>
    </row>
    <row r="38" spans="1:11" x14ac:dyDescent="0.2">
      <c r="A38" s="15" t="s">
        <v>84</v>
      </c>
      <c r="B38" s="3">
        <v>489.089</v>
      </c>
      <c r="C38" s="3">
        <v>-3.2523330000000001</v>
      </c>
      <c r="D38" s="3">
        <v>1383.6666660000001</v>
      </c>
      <c r="E38" s="3">
        <v>-885.66666599999996</v>
      </c>
      <c r="F38" s="3">
        <v>-17.666667</v>
      </c>
      <c r="G38" s="3">
        <v>-1.3333330000000001</v>
      </c>
      <c r="H38" s="3">
        <v>4969</v>
      </c>
      <c r="I38" s="3">
        <v>3976</v>
      </c>
      <c r="J38" s="3">
        <v>0</v>
      </c>
      <c r="K38" s="3">
        <v>-1250</v>
      </c>
    </row>
    <row r="39" spans="1:11" x14ac:dyDescent="0.2">
      <c r="A39" s="8" t="s">
        <v>85</v>
      </c>
      <c r="B39" s="5">
        <v>489.089</v>
      </c>
      <c r="C39" s="5">
        <v>-3.2523330000000001</v>
      </c>
      <c r="D39" s="5">
        <v>1383.6666660000001</v>
      </c>
      <c r="E39" s="5">
        <v>-885.66666599999996</v>
      </c>
      <c r="F39" s="5">
        <v>-17.666667</v>
      </c>
      <c r="G39" s="5">
        <v>-1.3333330000000001</v>
      </c>
      <c r="H39" s="5">
        <v>4969</v>
      </c>
      <c r="I39" s="5">
        <v>3976</v>
      </c>
      <c r="J39" s="5">
        <v>0</v>
      </c>
      <c r="K39" s="5">
        <v>-1250</v>
      </c>
    </row>
    <row r="40" spans="1:11" x14ac:dyDescent="0.2">
      <c r="A40" s="9" t="s">
        <v>86</v>
      </c>
      <c r="B40" s="7">
        <v>492.5</v>
      </c>
      <c r="C40" s="7">
        <v>0</v>
      </c>
      <c r="D40" s="7">
        <v>1981.333333</v>
      </c>
      <c r="E40" s="16">
        <v>-1.3333330000000001</v>
      </c>
      <c r="F40" s="7">
        <v>0</v>
      </c>
      <c r="G40" s="7">
        <v>0</v>
      </c>
      <c r="H40" s="7">
        <v>4969</v>
      </c>
      <c r="I40" s="7">
        <v>4976</v>
      </c>
      <c r="J40" s="7">
        <v>0</v>
      </c>
      <c r="K40" s="7">
        <v>0</v>
      </c>
    </row>
    <row r="41" spans="1:11" x14ac:dyDescent="0.2">
      <c r="A41" s="10" t="s">
        <v>87</v>
      </c>
      <c r="B41" s="26">
        <v>-3.411</v>
      </c>
      <c r="C41" s="26">
        <v>-3.2523330000000001</v>
      </c>
      <c r="D41" s="26">
        <v>-597.66666699999996</v>
      </c>
      <c r="E41" s="26">
        <v>-884.33333300000004</v>
      </c>
      <c r="F41" s="26">
        <v>-17.666667</v>
      </c>
      <c r="G41" s="26">
        <v>-1.3333330000000001</v>
      </c>
      <c r="H41" s="11">
        <v>0</v>
      </c>
      <c r="I41" s="26">
        <v>-1000</v>
      </c>
      <c r="J41" s="11">
        <v>0</v>
      </c>
      <c r="K41" s="26">
        <v>-1250</v>
      </c>
    </row>
    <row r="42" spans="1:11" x14ac:dyDescent="0.2">
      <c r="A42" s="15" t="s">
        <v>56</v>
      </c>
      <c r="B42" s="3">
        <v>-40.701999999999998</v>
      </c>
      <c r="C42" s="3">
        <v>7.7373329999999996</v>
      </c>
      <c r="D42" s="3">
        <v>-4.3333329999999997</v>
      </c>
      <c r="E42" s="3">
        <v>-609.33333300000004</v>
      </c>
      <c r="F42" s="3">
        <v>-1033</v>
      </c>
      <c r="G42" s="3">
        <v>-539.33333400000004</v>
      </c>
      <c r="H42" s="3">
        <v>-911</v>
      </c>
      <c r="I42" s="3">
        <v>-1859.333333</v>
      </c>
      <c r="J42" s="3">
        <v>-1634</v>
      </c>
      <c r="K42" s="3">
        <v>-2684.666667</v>
      </c>
    </row>
    <row r="43" spans="1:11" x14ac:dyDescent="0.2">
      <c r="A43" s="12" t="s">
        <v>73</v>
      </c>
      <c r="B43" s="26">
        <v>-57.606667000000002</v>
      </c>
      <c r="C43" s="26">
        <v>-2.8333330000000001</v>
      </c>
      <c r="D43" s="26">
        <v>-6</v>
      </c>
      <c r="E43" s="26">
        <v>-609.33333300000004</v>
      </c>
      <c r="F43" s="26">
        <v>-1033</v>
      </c>
      <c r="G43" s="26">
        <v>-539.33333400000004</v>
      </c>
      <c r="H43" s="26">
        <v>-911</v>
      </c>
      <c r="I43" s="26">
        <v>-1859.333333</v>
      </c>
      <c r="J43" s="26">
        <v>-1634.333333</v>
      </c>
      <c r="K43" s="26">
        <v>-2684.3333339999999</v>
      </c>
    </row>
    <row r="44" spans="1:11" x14ac:dyDescent="0.2">
      <c r="A44" s="6" t="s">
        <v>74</v>
      </c>
      <c r="B44" s="7">
        <v>16.904667</v>
      </c>
      <c r="C44" s="7">
        <v>10.570665999999999</v>
      </c>
      <c r="D44" s="7">
        <v>1.6666669999999999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0.33333299999999999</v>
      </c>
      <c r="K44" s="16">
        <v>-0.33333299999999999</v>
      </c>
    </row>
    <row r="45" spans="1:11" x14ac:dyDescent="0.2">
      <c r="A45" s="19" t="s">
        <v>88</v>
      </c>
      <c r="B45" s="26">
        <v>-396.55166700000001</v>
      </c>
      <c r="C45" s="26">
        <v>-625.86033299999997</v>
      </c>
      <c r="D45" s="11">
        <v>407.33333299999998</v>
      </c>
      <c r="E45" s="26">
        <v>-2673.333333</v>
      </c>
      <c r="F45" s="26">
        <v>-2618.3333339999999</v>
      </c>
      <c r="G45" s="26">
        <v>-1023.333333</v>
      </c>
      <c r="H45" s="11">
        <v>3857</v>
      </c>
      <c r="I45" s="11">
        <v>1999.333333</v>
      </c>
      <c r="J45" s="26">
        <v>-11313.333333</v>
      </c>
      <c r="K45" s="26">
        <v>-12975.333333</v>
      </c>
    </row>
    <row r="46" spans="1:11" x14ac:dyDescent="0.2">
      <c r="A46" s="2" t="s">
        <v>89</v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">
      <c r="A47" s="19" t="s">
        <v>90</v>
      </c>
      <c r="B47" s="26">
        <v>-492.42233299999998</v>
      </c>
      <c r="C47" s="11">
        <v>91.323666000000003</v>
      </c>
      <c r="D47" s="11">
        <v>1269.666667</v>
      </c>
      <c r="E47" s="11">
        <v>1778</v>
      </c>
      <c r="F47" s="26">
        <v>-2840.333333</v>
      </c>
      <c r="G47" s="11">
        <v>9757.3333330000005</v>
      </c>
      <c r="H47" s="26">
        <v>-9204</v>
      </c>
      <c r="I47" s="11">
        <v>441</v>
      </c>
      <c r="J47" s="11">
        <v>1436.666667</v>
      </c>
      <c r="K47" s="11">
        <v>3500.333333</v>
      </c>
    </row>
    <row r="48" spans="1:11" x14ac:dyDescent="0.2">
      <c r="A48" s="15" t="s">
        <v>91</v>
      </c>
      <c r="B48" s="3">
        <v>757.49300000000005</v>
      </c>
      <c r="C48" s="3">
        <v>1060.8946699999999</v>
      </c>
      <c r="D48" s="3">
        <v>1438</v>
      </c>
      <c r="E48" s="3">
        <v>2818.3333400000001</v>
      </c>
      <c r="F48" s="3">
        <v>3225.3333299999999</v>
      </c>
      <c r="G48" s="3">
        <v>4063.6666700000001</v>
      </c>
      <c r="H48" s="3">
        <v>4539.3333300000004</v>
      </c>
      <c r="I48" s="3">
        <v>7806.6666699999996</v>
      </c>
      <c r="J48" s="3">
        <v>4148.3333300000004</v>
      </c>
      <c r="K48" s="3">
        <v>23852.333330000001</v>
      </c>
    </row>
    <row r="49" spans="1:11" x14ac:dyDescent="0.2">
      <c r="A49" s="12" t="s">
        <v>92</v>
      </c>
      <c r="B49" s="11">
        <v>0.33991700000000002</v>
      </c>
      <c r="C49" s="11">
        <v>0.45440900000000001</v>
      </c>
      <c r="D49" s="11">
        <v>0.54662900000000003</v>
      </c>
      <c r="E49" s="11">
        <v>1.1219479999999999</v>
      </c>
      <c r="F49" s="11">
        <v>1.298443</v>
      </c>
      <c r="G49" s="11">
        <v>1.6385749999999999</v>
      </c>
      <c r="H49" s="11">
        <v>1.7994190000000001</v>
      </c>
      <c r="I49" s="11">
        <v>3.0702669999999999</v>
      </c>
      <c r="J49" s="11">
        <v>1.669797</v>
      </c>
      <c r="K49" s="11">
        <v>9.5741239999999994</v>
      </c>
    </row>
    <row r="50" spans="1:11" x14ac:dyDescent="0.2">
      <c r="A50" s="6" t="s">
        <v>93</v>
      </c>
      <c r="B50" s="22">
        <v>6.8096949999999996</v>
      </c>
      <c r="C50" s="22">
        <v>6.2554939999999997</v>
      </c>
      <c r="D50" s="22">
        <v>2.2303820000000001</v>
      </c>
      <c r="E50" s="22">
        <v>1.955408</v>
      </c>
      <c r="F50" s="22">
        <v>3.0045549999999999</v>
      </c>
      <c r="G50" s="22">
        <v>2.7870879999999998</v>
      </c>
      <c r="H50" s="22">
        <v>1.3642380000000001</v>
      </c>
      <c r="I50" s="22">
        <v>1.292799</v>
      </c>
      <c r="J50" s="22">
        <v>0.918076</v>
      </c>
      <c r="K50" s="22">
        <v>1.766856</v>
      </c>
    </row>
    <row r="51" spans="1:11" x14ac:dyDescent="0.2">
      <c r="A51" s="24" t="s">
        <v>48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7FB9-6DA0-E74C-BF1D-77261E2A6A66}">
  <dimension ref="B2:G17"/>
  <sheetViews>
    <sheetView workbookViewId="0">
      <selection activeCell="F12" sqref="F12:F13"/>
    </sheetView>
  </sheetViews>
  <sheetFormatPr baseColWidth="10" defaultRowHeight="16" x14ac:dyDescent="0.2"/>
  <cols>
    <col min="7" max="7" width="15.6640625" bestFit="1" customWidth="1"/>
  </cols>
  <sheetData>
    <row r="2" spans="2:7" x14ac:dyDescent="0.2">
      <c r="B2" s="43" t="s">
        <v>121</v>
      </c>
      <c r="C2" s="37"/>
      <c r="D2" s="37"/>
      <c r="E2" s="37"/>
      <c r="F2" s="37"/>
    </row>
    <row r="3" spans="2:7" x14ac:dyDescent="0.2">
      <c r="B3" t="s">
        <v>163</v>
      </c>
      <c r="F3" s="49">
        <v>2408900</v>
      </c>
    </row>
    <row r="4" spans="2:7" x14ac:dyDescent="0.2">
      <c r="B4" t="s">
        <v>164</v>
      </c>
      <c r="F4" s="62">
        <f>F3/(F3+F10)</f>
        <v>0.9959852973402078</v>
      </c>
    </row>
    <row r="5" spans="2:7" x14ac:dyDescent="0.2">
      <c r="B5" t="s">
        <v>165</v>
      </c>
      <c r="F5" s="63">
        <f>F6+F7*F8</f>
        <v>0.13605</v>
      </c>
    </row>
    <row r="6" spans="2:7" x14ac:dyDescent="0.2">
      <c r="B6" t="s">
        <v>166</v>
      </c>
      <c r="F6" s="74">
        <v>4.4749999999999998E-2</v>
      </c>
      <c r="G6" t="s">
        <v>176</v>
      </c>
    </row>
    <row r="7" spans="2:7" x14ac:dyDescent="0.2">
      <c r="B7" t="s">
        <v>167</v>
      </c>
      <c r="F7" s="75">
        <v>2.2000000000000002</v>
      </c>
      <c r="G7" t="s">
        <v>174</v>
      </c>
    </row>
    <row r="8" spans="2:7" x14ac:dyDescent="0.2">
      <c r="B8" t="s">
        <v>168</v>
      </c>
      <c r="F8" s="74">
        <v>4.1500000000000002E-2</v>
      </c>
      <c r="G8" t="s">
        <v>175</v>
      </c>
    </row>
    <row r="10" spans="2:7" x14ac:dyDescent="0.2">
      <c r="B10" t="s">
        <v>169</v>
      </c>
      <c r="F10" s="76">
        <f>1250+8460</f>
        <v>9710</v>
      </c>
      <c r="G10" t="s">
        <v>177</v>
      </c>
    </row>
    <row r="11" spans="2:7" x14ac:dyDescent="0.2">
      <c r="B11" t="s">
        <v>170</v>
      </c>
      <c r="F11" s="63">
        <f>F10/(F3+F10)</f>
        <v>4.014702659792195E-3</v>
      </c>
    </row>
    <row r="12" spans="2:7" x14ac:dyDescent="0.2">
      <c r="B12" t="s">
        <v>171</v>
      </c>
      <c r="F12" s="74">
        <v>0.02</v>
      </c>
    </row>
    <row r="13" spans="2:7" x14ac:dyDescent="0.2">
      <c r="B13" t="s">
        <v>172</v>
      </c>
      <c r="F13" s="74">
        <f>[1]DCF!O51</f>
        <v>0.64009987190777351</v>
      </c>
    </row>
    <row r="15" spans="2:7" x14ac:dyDescent="0.2">
      <c r="B15" t="s">
        <v>173</v>
      </c>
      <c r="F15" s="49">
        <f>F3+F10</f>
        <v>2418610</v>
      </c>
    </row>
    <row r="17" spans="2:6" x14ac:dyDescent="0.2">
      <c r="B17" t="s">
        <v>121</v>
      </c>
      <c r="F17" s="63">
        <f>F4*F5+(F11*F12*(1-F13))</f>
        <v>0.13553269754316552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DCF</vt:lpstr>
      <vt:lpstr>Income Statement</vt:lpstr>
      <vt:lpstr>Cashflow Statement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2024-12-28T20:46:32Z</dcterms:created>
  <dcterms:modified xsi:type="dcterms:W3CDTF">2025-01-05T13:04:34Z</dcterms:modified>
</cp:coreProperties>
</file>