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B5DD9526-019C-C74B-860E-921C9B5787F6}" xr6:coauthVersionLast="47" xr6:coauthVersionMax="47" xr10:uidLastSave="{00000000-0000-0000-0000-000000000000}"/>
  <bookViews>
    <workbookView xWindow="60800" yWindow="500" windowWidth="32000" windowHeight="17500" xr2:uid="{1B41089C-B89B-5041-AD53-4795DC3D28E7}"/>
  </bookViews>
  <sheets>
    <sheet name="DCF" sheetId="1" r:id="rId1"/>
    <sheet name="Income" sheetId="3" r:id="rId2"/>
    <sheet name="Cashflow" sheetId="4" r:id="rId3"/>
  </sheets>
  <definedNames>
    <definedName name="tgr">DCF!$E$19</definedName>
    <definedName name="wacc">DCF!$E$18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8" i="1" l="1"/>
  <c r="E19" i="1"/>
  <c r="E18" i="1"/>
  <c r="O18" i="1"/>
  <c r="AA17" i="1"/>
  <c r="AA11" i="1"/>
  <c r="AA10" i="1"/>
  <c r="AA23" i="1" s="1"/>
  <c r="AA19" i="1"/>
  <c r="AA16" i="1"/>
  <c r="AA21" i="1" s="1"/>
  <c r="S63" i="1"/>
  <c r="R63" i="1"/>
  <c r="P62" i="1"/>
  <c r="Q62" i="1"/>
  <c r="P63" i="1"/>
  <c r="Q63" i="1"/>
  <c r="O63" i="1"/>
  <c r="O62" i="1"/>
  <c r="Q36" i="1"/>
  <c r="P36" i="1"/>
  <c r="O36" i="1"/>
  <c r="Q35" i="1"/>
  <c r="P35" i="1"/>
  <c r="O35" i="1"/>
  <c r="S66" i="1"/>
  <c r="R66" i="1"/>
  <c r="Q66" i="1"/>
  <c r="P66" i="1"/>
  <c r="O66" i="1"/>
  <c r="S60" i="1"/>
  <c r="R60" i="1"/>
  <c r="Q60" i="1"/>
  <c r="P60" i="1"/>
  <c r="O60" i="1"/>
  <c r="S55" i="1"/>
  <c r="R55" i="1"/>
  <c r="Q55" i="1"/>
  <c r="P55" i="1"/>
  <c r="O55" i="1"/>
  <c r="I60" i="1"/>
  <c r="H60" i="1"/>
  <c r="G60" i="1"/>
  <c r="L59" i="1"/>
  <c r="K59" i="1"/>
  <c r="J59" i="1"/>
  <c r="I59" i="1"/>
  <c r="H59" i="1"/>
  <c r="N62" i="1"/>
  <c r="M62" i="1"/>
  <c r="L62" i="1"/>
  <c r="K62" i="1"/>
  <c r="J62" i="1"/>
  <c r="H62" i="1"/>
  <c r="F62" i="1"/>
  <c r="K66" i="1"/>
  <c r="N65" i="1"/>
  <c r="M65" i="1"/>
  <c r="L65" i="1"/>
  <c r="F65" i="1"/>
  <c r="E65" i="1"/>
  <c r="N55" i="1"/>
  <c r="M55" i="1"/>
  <c r="L55" i="1"/>
  <c r="K55" i="1"/>
  <c r="F55" i="1"/>
  <c r="N54" i="1"/>
  <c r="M54" i="1"/>
  <c r="L54" i="1"/>
  <c r="F54" i="1"/>
  <c r="E55" i="1"/>
  <c r="E54" i="1"/>
  <c r="I49" i="1"/>
  <c r="H49" i="1"/>
  <c r="G49" i="1"/>
  <c r="L48" i="1"/>
  <c r="K48" i="1"/>
  <c r="J48" i="1"/>
  <c r="I48" i="1"/>
  <c r="H48" i="1"/>
  <c r="E43" i="1"/>
  <c r="E42" i="1"/>
  <c r="N38" i="1"/>
  <c r="M38" i="1"/>
  <c r="L38" i="1"/>
  <c r="K38" i="1"/>
  <c r="K65" i="1" s="1"/>
  <c r="J38" i="1"/>
  <c r="J65" i="1" s="1"/>
  <c r="I38" i="1"/>
  <c r="I65" i="1" s="1"/>
  <c r="H38" i="1"/>
  <c r="H39" i="1" s="1"/>
  <c r="H66" i="1" s="1"/>
  <c r="G38" i="1"/>
  <c r="G39" i="1" s="1"/>
  <c r="G66" i="1" s="1"/>
  <c r="F38" i="1"/>
  <c r="E38" i="1"/>
  <c r="K39" i="1"/>
  <c r="J39" i="1"/>
  <c r="J66" i="1" s="1"/>
  <c r="I39" i="1"/>
  <c r="I66" i="1" s="1"/>
  <c r="N35" i="1"/>
  <c r="M35" i="1"/>
  <c r="L35" i="1"/>
  <c r="K35" i="1"/>
  <c r="K36" i="1" s="1"/>
  <c r="K63" i="1" s="1"/>
  <c r="J35" i="1"/>
  <c r="J36" i="1" s="1"/>
  <c r="J63" i="1" s="1"/>
  <c r="I35" i="1"/>
  <c r="I36" i="1" s="1"/>
  <c r="I63" i="1" s="1"/>
  <c r="H35" i="1"/>
  <c r="G35" i="1"/>
  <c r="G62" i="1" s="1"/>
  <c r="F35" i="1"/>
  <c r="E35" i="1"/>
  <c r="K33" i="1"/>
  <c r="K60" i="1" s="1"/>
  <c r="N32" i="1"/>
  <c r="N33" i="1" s="1"/>
  <c r="N60" i="1" s="1"/>
  <c r="M32" i="1"/>
  <c r="M33" i="1" s="1"/>
  <c r="M60" i="1" s="1"/>
  <c r="L32" i="1"/>
  <c r="K32" i="1"/>
  <c r="J32" i="1"/>
  <c r="I32" i="1"/>
  <c r="I33" i="1" s="1"/>
  <c r="H32" i="1"/>
  <c r="H33" i="1" s="1"/>
  <c r="G32" i="1"/>
  <c r="G33" i="1" s="1"/>
  <c r="F32" i="1"/>
  <c r="F33" i="1" s="1"/>
  <c r="F60" i="1" s="1"/>
  <c r="E32" i="1"/>
  <c r="E33" i="1" s="1"/>
  <c r="E60" i="1" s="1"/>
  <c r="Q25" i="1"/>
  <c r="P25" i="1"/>
  <c r="O25" i="1"/>
  <c r="Q22" i="1"/>
  <c r="R23" i="1" s="1"/>
  <c r="P22" i="1"/>
  <c r="P23" i="1" s="1"/>
  <c r="P45" i="1" s="1"/>
  <c r="O22" i="1"/>
  <c r="O23" i="1" s="1"/>
  <c r="O45" i="1" s="1"/>
  <c r="J29" i="1"/>
  <c r="J55" i="1" s="1"/>
  <c r="I29" i="1"/>
  <c r="I55" i="1" s="1"/>
  <c r="N28" i="1"/>
  <c r="N29" i="1" s="1"/>
  <c r="M28" i="1"/>
  <c r="M29" i="1" s="1"/>
  <c r="L28" i="1"/>
  <c r="L29" i="1" s="1"/>
  <c r="K28" i="1"/>
  <c r="K29" i="1" s="1"/>
  <c r="J28" i="1"/>
  <c r="J54" i="1" s="1"/>
  <c r="I28" i="1"/>
  <c r="I54" i="1" s="1"/>
  <c r="H28" i="1"/>
  <c r="H29" i="1" s="1"/>
  <c r="H55" i="1" s="1"/>
  <c r="G28" i="1"/>
  <c r="G29" i="1" s="1"/>
  <c r="G55" i="1" s="1"/>
  <c r="F28" i="1"/>
  <c r="F29" i="1" s="1"/>
  <c r="E28" i="1"/>
  <c r="E29" i="1" s="1"/>
  <c r="N25" i="1"/>
  <c r="N48" i="1" s="1"/>
  <c r="M25" i="1"/>
  <c r="M48" i="1" s="1"/>
  <c r="L25" i="1"/>
  <c r="K25" i="1"/>
  <c r="K26" i="1" s="1"/>
  <c r="K49" i="1" s="1"/>
  <c r="J25" i="1"/>
  <c r="I25" i="1"/>
  <c r="I26" i="1" s="1"/>
  <c r="H25" i="1"/>
  <c r="H26" i="1" s="1"/>
  <c r="G25" i="1"/>
  <c r="G26" i="1" s="1"/>
  <c r="F25" i="1"/>
  <c r="F48" i="1" s="1"/>
  <c r="E25" i="1"/>
  <c r="E26" i="1" s="1"/>
  <c r="E49" i="1" s="1"/>
  <c r="S23" i="1"/>
  <c r="N22" i="1"/>
  <c r="N39" i="1" s="1"/>
  <c r="N66" i="1" s="1"/>
  <c r="M22" i="1"/>
  <c r="M39" i="1" s="1"/>
  <c r="M66" i="1" s="1"/>
  <c r="L22" i="1"/>
  <c r="L23" i="1" s="1"/>
  <c r="L43" i="1" s="1"/>
  <c r="K22" i="1"/>
  <c r="J22" i="1"/>
  <c r="J23" i="1" s="1"/>
  <c r="J43" i="1" s="1"/>
  <c r="I22" i="1"/>
  <c r="H22" i="1"/>
  <c r="H36" i="1" s="1"/>
  <c r="H63" i="1" s="1"/>
  <c r="G22" i="1"/>
  <c r="G36" i="1" s="1"/>
  <c r="G63" i="1" s="1"/>
  <c r="F22" i="1"/>
  <c r="F39" i="1" s="1"/>
  <c r="F66" i="1" s="1"/>
  <c r="E22" i="1"/>
  <c r="E39" i="1" s="1"/>
  <c r="E66" i="1" s="1"/>
  <c r="O72" i="1"/>
  <c r="P71" i="1" s="1"/>
  <c r="Q71" i="1" s="1"/>
  <c r="R71" i="1" s="1"/>
  <c r="S71" i="1" s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E31" i="1"/>
  <c r="F21" i="1"/>
  <c r="F31" i="1" s="1"/>
  <c r="O46" i="1" l="1"/>
  <c r="O44" i="1"/>
  <c r="P46" i="1"/>
  <c r="P44" i="1"/>
  <c r="N42" i="1"/>
  <c r="L33" i="1"/>
  <c r="L60" i="1" s="1"/>
  <c r="L39" i="1"/>
  <c r="L66" i="1" s="1"/>
  <c r="E48" i="1"/>
  <c r="L42" i="1"/>
  <c r="N23" i="1"/>
  <c r="N43" i="1" s="1"/>
  <c r="M26" i="1"/>
  <c r="M49" i="1" s="1"/>
  <c r="E36" i="1"/>
  <c r="E63" i="1" s="1"/>
  <c r="M36" i="1"/>
  <c r="M63" i="1" s="1"/>
  <c r="H42" i="1"/>
  <c r="H54" i="1"/>
  <c r="E59" i="1"/>
  <c r="H65" i="1"/>
  <c r="I23" i="1"/>
  <c r="I43" i="1" s="1"/>
  <c r="J26" i="1"/>
  <c r="J49" i="1" s="1"/>
  <c r="N26" i="1"/>
  <c r="N49" i="1" s="1"/>
  <c r="O26" i="1"/>
  <c r="O51" i="1" s="1"/>
  <c r="J33" i="1"/>
  <c r="J60" i="1" s="1"/>
  <c r="F36" i="1"/>
  <c r="F63" i="1" s="1"/>
  <c r="N36" i="1"/>
  <c r="N63" i="1" s="1"/>
  <c r="I42" i="1"/>
  <c r="M59" i="1"/>
  <c r="M23" i="1"/>
  <c r="M43" i="1" s="1"/>
  <c r="M42" i="1"/>
  <c r="F42" i="1"/>
  <c r="F23" i="1"/>
  <c r="F43" i="1" s="1"/>
  <c r="F26" i="1"/>
  <c r="F49" i="1" s="1"/>
  <c r="L36" i="1"/>
  <c r="L63" i="1" s="1"/>
  <c r="G42" i="1"/>
  <c r="G54" i="1"/>
  <c r="G65" i="1"/>
  <c r="P26" i="1"/>
  <c r="P51" i="1" s="1"/>
  <c r="J42" i="1"/>
  <c r="E62" i="1"/>
  <c r="F59" i="1"/>
  <c r="N59" i="1"/>
  <c r="K23" i="1"/>
  <c r="K43" i="1" s="1"/>
  <c r="L26" i="1"/>
  <c r="L49" i="1" s="1"/>
  <c r="Q26" i="1"/>
  <c r="Q51" i="1" s="1"/>
  <c r="K42" i="1"/>
  <c r="G48" i="1"/>
  <c r="K54" i="1"/>
  <c r="I62" i="1"/>
  <c r="G59" i="1"/>
  <c r="Q23" i="1"/>
  <c r="Q45" i="1" s="1"/>
  <c r="G23" i="1"/>
  <c r="G43" i="1" s="1"/>
  <c r="H23" i="1"/>
  <c r="H43" i="1" s="1"/>
  <c r="G21" i="1"/>
  <c r="G31" i="1" s="1"/>
  <c r="O71" i="1"/>
  <c r="O52" i="1" l="1"/>
  <c r="O50" i="1"/>
  <c r="P52" i="1"/>
  <c r="P50" i="1"/>
  <c r="R51" i="1"/>
  <c r="Q50" i="1"/>
  <c r="Q52" i="1"/>
  <c r="Q46" i="1"/>
  <c r="Q44" i="1"/>
  <c r="R45" i="1"/>
  <c r="H21" i="1"/>
  <c r="H31" i="1"/>
  <c r="I21" i="1"/>
  <c r="R50" i="1" l="1"/>
  <c r="R52" i="1"/>
  <c r="S51" i="1"/>
  <c r="S45" i="1"/>
  <c r="R46" i="1"/>
  <c r="R44" i="1"/>
  <c r="J21" i="1"/>
  <c r="I31" i="1"/>
  <c r="S46" i="1" l="1"/>
  <c r="S44" i="1"/>
  <c r="S50" i="1"/>
  <c r="S52" i="1"/>
  <c r="J31" i="1"/>
  <c r="K21" i="1"/>
  <c r="K31" i="1" l="1"/>
  <c r="L21" i="1"/>
  <c r="M21" i="1" l="1"/>
  <c r="L31" i="1"/>
  <c r="N21" i="1" l="1"/>
  <c r="O21" i="1" s="1"/>
  <c r="P21" i="1" s="1"/>
  <c r="Q21" i="1" s="1"/>
  <c r="R21" i="1" s="1"/>
  <c r="S21" i="1" s="1"/>
  <c r="M31" i="1"/>
  <c r="N31" i="1" s="1"/>
  <c r="O31" i="1" s="1"/>
  <c r="P31" i="1" s="1"/>
  <c r="Q31" i="1" s="1"/>
  <c r="R31" i="1" s="1"/>
  <c r="S31" i="1" s="1"/>
  <c r="O43" i="1" l="1"/>
  <c r="O42" i="1" s="1"/>
  <c r="P43" i="1"/>
  <c r="Q43" i="1"/>
  <c r="R43" i="1"/>
  <c r="S43" i="1"/>
  <c r="P42" i="1" l="1"/>
  <c r="O59" i="1"/>
  <c r="O65" i="1"/>
  <c r="P65" i="1" l="1"/>
  <c r="Q42" i="1"/>
  <c r="P59" i="1"/>
  <c r="Q65" i="1" l="1"/>
  <c r="R42" i="1"/>
  <c r="Q59" i="1"/>
  <c r="S42" i="1" l="1"/>
  <c r="R59" i="1"/>
  <c r="R62" i="1"/>
  <c r="R65" i="1"/>
  <c r="S65" i="1" l="1"/>
  <c r="S59" i="1"/>
  <c r="S62" i="1"/>
  <c r="O49" i="1"/>
  <c r="O48" i="1" s="1"/>
  <c r="O54" i="1" s="1"/>
  <c r="P49" i="1"/>
  <c r="P48" i="1" s="1"/>
  <c r="P54" i="1" s="1"/>
  <c r="Q49" i="1"/>
  <c r="Q48" i="1" s="1"/>
  <c r="Q54" i="1" s="1"/>
  <c r="R49" i="1"/>
  <c r="R48" i="1" s="1"/>
  <c r="R54" i="1" s="1"/>
  <c r="S49" i="1"/>
  <c r="S48" i="1" s="1"/>
  <c r="Q57" i="1" l="1"/>
  <c r="Q68" i="1" s="1"/>
  <c r="Q69" i="1" s="1"/>
  <c r="P57" i="1"/>
  <c r="P68" i="1" s="1"/>
  <c r="P69" i="1" s="1"/>
  <c r="O57" i="1"/>
  <c r="O68" i="1" s="1"/>
  <c r="O69" i="1" s="1"/>
  <c r="R57" i="1"/>
  <c r="R68" i="1" s="1"/>
  <c r="R69" i="1" s="1"/>
  <c r="S54" i="1"/>
  <c r="S57" i="1" s="1"/>
  <c r="S68" i="1" s="1"/>
  <c r="S69" i="1" l="1"/>
  <c r="S74" i="1"/>
  <c r="S75" i="1" s="1"/>
  <c r="S77" i="1" l="1"/>
  <c r="S80" i="1" s="1"/>
  <c r="S82" i="1" s="1"/>
  <c r="J4" i="1" s="1"/>
  <c r="J6" i="1" s="1"/>
</calcChain>
</file>

<file path=xl/sharedStrings.xml><?xml version="1.0" encoding="utf-8"?>
<sst xmlns="http://schemas.openxmlformats.org/spreadsheetml/2006/main" count="376" uniqueCount="212">
  <si>
    <t>DCF</t>
  </si>
  <si>
    <t>Ticker</t>
  </si>
  <si>
    <t>TSM</t>
  </si>
  <si>
    <t>Implied price per share</t>
  </si>
  <si>
    <t>Date</t>
  </si>
  <si>
    <t>Current share price</t>
  </si>
  <si>
    <t>Year end</t>
  </si>
  <si>
    <t>Implied upside / (downside)</t>
  </si>
  <si>
    <t>x</t>
  </si>
  <si>
    <t>Assumptions</t>
  </si>
  <si>
    <t>Switches</t>
  </si>
  <si>
    <t>Conservative</t>
  </si>
  <si>
    <t>Base</t>
  </si>
  <si>
    <t>Optimistic</t>
  </si>
  <si>
    <t>Year</t>
  </si>
  <si>
    <t>Metric</t>
  </si>
  <si>
    <t>Revenue</t>
  </si>
  <si>
    <t>'24-'25</t>
  </si>
  <si>
    <t>'27-'28</t>
  </si>
  <si>
    <t>EBIT</t>
  </si>
  <si>
    <t>'26-'28</t>
  </si>
  <si>
    <t>WACC</t>
  </si>
  <si>
    <t>TGR</t>
  </si>
  <si>
    <t>Valuation</t>
  </si>
  <si>
    <t>% growth</t>
  </si>
  <si>
    <t>% of sales</t>
  </si>
  <si>
    <t>Taxes</t>
  </si>
  <si>
    <t>Tax rate</t>
  </si>
  <si>
    <t>D&amp;A</t>
  </si>
  <si>
    <t>CapEx</t>
  </si>
  <si>
    <t>Change in NWC</t>
  </si>
  <si>
    <t>Base (Street)</t>
  </si>
  <si>
    <t>EBIAT</t>
  </si>
  <si>
    <t>Unlevered FCF</t>
  </si>
  <si>
    <t>PV of Unlevered FCF</t>
  </si>
  <si>
    <t>Period</t>
  </si>
  <si>
    <t>Discount Period</t>
  </si>
  <si>
    <t>Terminal Value</t>
  </si>
  <si>
    <t>PV of Terminal Value</t>
  </si>
  <si>
    <t>Enterprise Value</t>
  </si>
  <si>
    <t>(-) Debt</t>
  </si>
  <si>
    <t>(+) Cash</t>
  </si>
  <si>
    <t>Equity Value</t>
  </si>
  <si>
    <t>FDSO</t>
  </si>
  <si>
    <t>Implied Price per Share</t>
  </si>
  <si>
    <t xml:space="preserve">Income Statement </t>
  </si>
  <si>
    <t xml:space="preserve">Cash Flow Items </t>
  </si>
  <si>
    <t xml:space="preserve">DCF </t>
  </si>
  <si>
    <t>Taiwan Semiconductor Manufacturing Co., Ltd. Sponsored ADR</t>
  </si>
  <si>
    <t>TSM   874039100   2113382   NYSE    ADR    Parent Id: 2330-TW</t>
  </si>
  <si>
    <t>Source: FactSet Fundamentals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</si>
  <si>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</si>
  <si>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</si>
  <si>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</si>
  <si>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</si>
  <si>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</si>
  <si>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</si>
  <si>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</si>
  <si>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</si>
  <si>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</si>
  <si>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</si>
  <si>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MAR '24</t>
  </si>
  <si>
    <t>LTM</t>
  </si>
  <si>
    <t>Sales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</si>
  <si>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</si>
  <si>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</si>
  <si>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</si>
  <si>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</si>
  <si>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</si>
  <si>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</si>
  <si>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</si>
  <si>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</si>
  <si>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</si>
  <si>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Other Operating Expense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</si>
  <si>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</si>
  <si>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</si>
  <si>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</si>
  <si>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</si>
  <si>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</si>
  <si>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</si>
  <si>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Interest Capitalized</t>
  </si>
  <si>
    <t>Unusual Expense - Net</t>
  </si>
  <si>
    <t>Impairments</t>
  </si>
  <si>
    <t>Goodwill</t>
  </si>
  <si>
    <t>Other Intangibles</t>
  </si>
  <si>
    <t>Property,Plant &amp; Equipment</t>
  </si>
  <si>
    <t>Financial Fixed Assets</t>
  </si>
  <si>
    <t>Unrealized Valuation Gain/Loss</t>
  </si>
  <si>
    <t>Hedges/Derivatives</t>
  </si>
  <si>
    <t>Excpl Chrgs - Others</t>
  </si>
  <si>
    <t>Pretax Income</t>
  </si>
  <si>
    <t>Income Taxes</t>
  </si>
  <si>
    <t>Income Taxes - Current Domestic</t>
  </si>
  <si>
    <t>Income Taxes - Deferred Domestic</t>
  </si>
  <si>
    <t>Equity in Earnings of Affiliates</t>
  </si>
  <si>
    <t>Consolidated Net Income</t>
  </si>
  <si>
    <t>Minority Interest</t>
  </si>
  <si>
    <t>Net Income</t>
  </si>
  <si>
    <t>Net Income available to Common</t>
  </si>
  <si>
    <t>Per Share</t>
  </si>
  <si>
    <t>EPS (recurring)</t>
  </si>
  <si>
    <t>EPS (basic)</t>
  </si>
  <si>
    <t>Basic Shares Outstanding</t>
  </si>
  <si>
    <t>Total Shares Outstanding</t>
  </si>
  <si>
    <t>EPS (diluted)</t>
  </si>
  <si>
    <t>Diluted Shares Outstanding</t>
  </si>
  <si>
    <t>Earnings Persistence</t>
  </si>
  <si>
    <t>Dividends per Share</t>
  </si>
  <si>
    <t>Payout Ratio</t>
  </si>
  <si>
    <t>EBITDA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</si>
  <si>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</si>
  <si>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</si>
  <si>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</si>
  <si>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</si>
  <si>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</si>
  <si>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</si>
  <si>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</si>
  <si>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</si>
  <si>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</si>
  <si>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</si>
  <si>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</si>
  <si>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Other Accruals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</si>
  <si>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</si>
  <si>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</si>
  <si>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</si>
  <si>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</si>
  <si>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</si>
  <si>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Capital Expenditures (Other Assets)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</si>
  <si>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</si>
  <si>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</si>
  <si>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</si>
  <si>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</si>
  <si>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</si>
  <si>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</si>
  <si>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</si>
  <si>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</si>
  <si>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Financing Activities</t>
  </si>
  <si>
    <t>Cash Dividends Paid</t>
  </si>
  <si>
    <t>Common Dividends</t>
  </si>
  <si>
    <t>Change in Capital Stock</t>
  </si>
  <si>
    <t>Repurchase of Common &amp; Preferred Stk.</t>
  </si>
  <si>
    <t>Sale of Common &amp; Preferred Stock</t>
  </si>
  <si>
    <t>Proceeds from Sale of Stock</t>
  </si>
  <si>
    <t>Proceeds from Stock Options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</si>
  <si>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</si>
  <si>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</si>
  <si>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</si>
  <si>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</si>
  <si>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</si>
  <si>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Repayments of Operating Lease Liabilities</t>
  </si>
  <si>
    <t>Net Financing Cash Flow</t>
  </si>
  <si>
    <t>All Activities</t>
  </si>
  <si>
    <t>Exchange Rate Effect</t>
  </si>
  <si>
    <t>Net Change in Cash</t>
  </si>
  <si>
    <t>Free Cash Flow</t>
  </si>
  <si>
    <t>Free Cash Flow per Share</t>
  </si>
  <si>
    <t>Free Cash Flow Yield (%)</t>
  </si>
  <si>
    <t>Cash Flow (M)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</si>
  <si>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</si>
  <si>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</si>
  <si>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</si>
  <si>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</si>
  <si>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</si>
  <si>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</si>
  <si>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</si>
  <si>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</si>
  <si>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</t>
  </si>
  <si>
    <t>CY '23</t>
  </si>
  <si>
    <t>CY '24E</t>
  </si>
  <si>
    <t>CY '25E</t>
  </si>
  <si>
    <t>CY '26E</t>
  </si>
  <si>
    <t>CY '27E</t>
  </si>
  <si>
    <t>CY '28E</t>
  </si>
  <si>
    <t>CY '29E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</si>
  <si>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</si>
  <si>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</si>
  <si>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</si>
  <si>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</si>
  <si>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</si>
  <si>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</si>
  <si>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</si>
  <si>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</si>
  <si>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</si>
  <si>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</si>
  <si>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Dec '24E</t>
  </si>
  <si>
    <t>Dec '25E</t>
  </si>
  <si>
    <t>Dec '26E</t>
  </si>
  <si>
    <t>Dec '27E</t>
  </si>
  <si>
    <t>Dec '28E</t>
  </si>
  <si>
    <t>Dec '29E</t>
  </si>
  <si>
    <t>-</t>
  </si>
  <si>
    <t>Cash Flow from Operations</t>
  </si>
  <si>
    <t>Cash Flow from Investing</t>
  </si>
  <si>
    <t>Cash Flow from Financing</t>
  </si>
  <si>
    <t xml:space="preserve">Estimates </t>
  </si>
  <si>
    <t>Income Statement (M)</t>
  </si>
  <si>
    <t>Cost of Sales</t>
  </si>
  <si>
    <t>Operating Income</t>
  </si>
  <si>
    <t>Tax Expense</t>
  </si>
  <si>
    <t>Estimates</t>
  </si>
  <si>
    <t>Mittelwert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</si>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</sst>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0%;\(0%\)"/>
    <numFmt numFmtId="166" formatCode="0.0%;\(0.0%\)"/>
    <numFmt numFmtId="167" formatCode="0.0%"/>
    <numFmt numFmtId="168" formatCode="0\A"/>
    <numFmt numFmtId="169" formatCode="0&quot;E&quot;"/>
  </numFmts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sz val="12"/>
      <color theme="1"/>
      <name val="Avenir Book"/>
      <family val="2"/>
    </font>
    <font>
      <i/>
      <sz val="11"/>
      <color theme="1"/>
      <name val="Avenir Book"/>
      <family val="2"/>
    </font>
    <font>
      <i/>
      <sz val="12"/>
      <color theme="1"/>
      <name val="Avenir Book"/>
      <family val="2"/>
    </font>
    <font>
      <sz val="12"/>
      <color theme="0" tint="-0.249977111117893"/>
      <name val="Avenir Book"/>
      <family val="2"/>
    </font>
    <font>
      <b/>
      <sz val="12"/>
      <color theme="1"/>
      <name val="Avenir Book"/>
      <family val="2"/>
    </font>
    <font>
      <b/>
      <sz val="12"/>
      <color theme="0"/>
      <name val="Avenir Book"/>
      <family val="2"/>
    </font>
    <font>
      <sz val="12"/>
      <color theme="0"/>
      <name val="Avenir Book"/>
      <family val="2"/>
    </font>
    <font>
      <b/>
      <u/>
      <sz val="12"/>
      <color theme="1"/>
      <name val="Avenir Book"/>
      <family val="2"/>
    </font>
    <font>
      <u/>
      <sz val="12"/>
      <color theme="1"/>
      <name val="Avenir Book"/>
      <family val="2"/>
    </font>
    <font>
      <sz val="12"/>
      <name val="Avenir Book"/>
      <family val="2"/>
    </font>
    <font>
      <b/>
      <sz val="12"/>
      <name val="Avenir Book"/>
      <family val="2"/>
    </font>
    <font>
      <b/>
      <i/>
      <sz val="12"/>
      <color theme="0"/>
      <name val="Avenir Book"/>
      <family val="2"/>
    </font>
    <font>
      <i/>
      <sz val="12"/>
      <name val="Avenir Book"/>
      <family val="2"/>
    </font>
    <font>
      <b/>
      <i/>
      <sz val="12"/>
      <color theme="1"/>
      <name val="Avenir Book"/>
      <family val="2"/>
    </font>
    <font>
      <b/>
      <sz val="18"/>
      <color theme="1"/>
      <name val="Avenir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2" applyFont="1" applyFill="1" applyAlignment="1">
      <alignment horizontal="left"/>
    </xf>
    <xf numFmtId="0" fontId="5" fillId="5" borderId="0" xfId="2" applyFont="1" applyFill="1" applyAlignment="1">
      <alignment horizontal="left"/>
    </xf>
    <xf numFmtId="3" fontId="5" fillId="5" borderId="0" xfId="2" applyNumberFormat="1" applyFont="1" applyFill="1" applyAlignment="1">
      <alignment horizontal="right"/>
    </xf>
    <xf numFmtId="0" fontId="5" fillId="0" borderId="0" xfId="2" applyFont="1" applyAlignment="1">
      <alignment horizontal="left" indent="3"/>
    </xf>
    <xf numFmtId="3" fontId="5" fillId="0" borderId="0" xfId="2" applyNumberFormat="1" applyFont="1" applyAlignment="1">
      <alignment horizontal="right"/>
    </xf>
    <xf numFmtId="0" fontId="3" fillId="5" borderId="0" xfId="2" applyFill="1" applyAlignment="1">
      <alignment horizontal="left" indent="4"/>
    </xf>
    <xf numFmtId="3" fontId="3" fillId="5" borderId="0" xfId="2" applyNumberFormat="1" applyFill="1" applyAlignment="1">
      <alignment horizontal="right"/>
    </xf>
    <xf numFmtId="0" fontId="5" fillId="0" borderId="0" xfId="2" applyFont="1" applyAlignment="1">
      <alignment horizontal="left" indent="6"/>
    </xf>
    <xf numFmtId="0" fontId="3" fillId="5" borderId="0" xfId="2" applyFill="1" applyAlignment="1">
      <alignment horizontal="left" indent="7"/>
    </xf>
    <xf numFmtId="0" fontId="3" fillId="0" borderId="0" xfId="2" applyAlignment="1">
      <alignment horizontal="left" indent="7"/>
    </xf>
    <xf numFmtId="3" fontId="3" fillId="0" borderId="0" xfId="2" applyNumberFormat="1" applyAlignment="1">
      <alignment horizontal="right"/>
    </xf>
    <xf numFmtId="0" fontId="3" fillId="0" borderId="0" xfId="2" applyAlignment="1">
      <alignment horizontal="left" indent="4"/>
    </xf>
    <xf numFmtId="0" fontId="3" fillId="5" borderId="0" xfId="2" applyFill="1" applyAlignment="1">
      <alignment horizontal="left" indent="1"/>
    </xf>
    <xf numFmtId="3" fontId="6" fillId="5" borderId="0" xfId="2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0" fontId="5" fillId="5" borderId="0" xfId="2" applyFont="1" applyFill="1" applyAlignment="1">
      <alignment horizontal="left" indent="3"/>
    </xf>
    <xf numFmtId="0" fontId="3" fillId="5" borderId="0" xfId="2" applyFill="1" applyAlignment="1">
      <alignment horizontal="left"/>
    </xf>
    <xf numFmtId="0" fontId="3" fillId="0" borderId="0" xfId="2" applyAlignment="1">
      <alignment horizontal="left"/>
    </xf>
    <xf numFmtId="3" fontId="6" fillId="0" borderId="0" xfId="2" applyNumberFormat="1" applyFont="1" applyAlignment="1">
      <alignment horizontal="right"/>
    </xf>
    <xf numFmtId="0" fontId="5" fillId="5" borderId="0" xfId="2" applyFont="1" applyFill="1" applyAlignment="1">
      <alignment horizontal="left" indent="6"/>
    </xf>
    <xf numFmtId="0" fontId="3" fillId="0" borderId="0" xfId="2" applyAlignment="1">
      <alignment horizontal="left" indent="1"/>
    </xf>
    <xf numFmtId="4" fontId="3" fillId="0" borderId="0" xfId="2" applyNumberFormat="1" applyAlignment="1">
      <alignment horizontal="right"/>
    </xf>
    <xf numFmtId="4" fontId="5" fillId="5" borderId="0" xfId="2" applyNumberFormat="1" applyFont="1" applyFill="1" applyAlignment="1">
      <alignment horizontal="right"/>
    </xf>
    <xf numFmtId="4" fontId="3" fillId="5" borderId="0" xfId="2" applyNumberFormat="1" applyFill="1" applyAlignment="1">
      <alignment horizontal="right"/>
    </xf>
    <xf numFmtId="4" fontId="5" fillId="0" borderId="0" xfId="2" applyNumberFormat="1" applyFont="1" applyAlignment="1">
      <alignment horizontal="right"/>
    </xf>
    <xf numFmtId="0" fontId="3" fillId="0" borderId="0" xfId="2"/>
    <xf numFmtId="0" fontId="7" fillId="0" borderId="1" xfId="0" applyFont="1" applyBorder="1"/>
    <xf numFmtId="0" fontId="7" fillId="0" borderId="0" xfId="0" applyFont="1"/>
    <xf numFmtId="0" fontId="7" fillId="2" borderId="2" xfId="0" applyFont="1" applyFill="1" applyBorder="1" applyAlignment="1">
      <alignment horizontal="center"/>
    </xf>
    <xf numFmtId="164" fontId="7" fillId="0" borderId="0" xfId="0" applyNumberFormat="1" applyFont="1"/>
    <xf numFmtId="14" fontId="7" fillId="2" borderId="2" xfId="0" applyNumberFormat="1" applyFont="1" applyFill="1" applyBorder="1" applyAlignment="1">
      <alignment horizontal="center"/>
    </xf>
    <xf numFmtId="165" fontId="7" fillId="0" borderId="0" xfId="1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166" fontId="7" fillId="2" borderId="2" xfId="0" applyNumberFormat="1" applyFont="1" applyFill="1" applyBorder="1" applyAlignment="1">
      <alignment horizontal="center"/>
    </xf>
    <xf numFmtId="167" fontId="7" fillId="2" borderId="2" xfId="1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9" fontId="7" fillId="0" borderId="0" xfId="0" quotePrefix="1" applyNumberFormat="1" applyFont="1" applyAlignment="1">
      <alignment horizontal="right"/>
    </xf>
    <xf numFmtId="165" fontId="8" fillId="0" borderId="0" xfId="1" applyNumberFormat="1" applyFont="1" applyFill="1" applyBorder="1" applyAlignment="1"/>
    <xf numFmtId="0" fontId="7" fillId="0" borderId="3" xfId="0" applyFont="1" applyBorder="1"/>
    <xf numFmtId="0" fontId="7" fillId="0" borderId="4" xfId="0" applyFont="1" applyBorder="1"/>
    <xf numFmtId="3" fontId="7" fillId="0" borderId="4" xfId="0" applyNumberFormat="1" applyFont="1" applyBorder="1"/>
    <xf numFmtId="3" fontId="7" fillId="0" borderId="5" xfId="0" applyNumberFormat="1" applyFont="1" applyBorder="1"/>
    <xf numFmtId="0" fontId="7" fillId="0" borderId="6" xfId="0" applyFont="1" applyBorder="1"/>
    <xf numFmtId="0" fontId="7" fillId="0" borderId="7" xfId="0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0" fontId="7" fillId="0" borderId="9" xfId="0" applyFont="1" applyBorder="1"/>
    <xf numFmtId="3" fontId="7" fillId="0" borderId="1" xfId="0" applyNumberFormat="1" applyFont="1" applyBorder="1"/>
    <xf numFmtId="3" fontId="7" fillId="0" borderId="10" xfId="0" applyNumberFormat="1" applyFont="1" applyBorder="1"/>
    <xf numFmtId="2" fontId="7" fillId="0" borderId="0" xfId="0" applyNumberFormat="1" applyFont="1"/>
    <xf numFmtId="3" fontId="7" fillId="0" borderId="0" xfId="0" applyNumberFormat="1" applyFont="1"/>
    <xf numFmtId="3" fontId="3" fillId="2" borderId="0" xfId="2" applyNumberForma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2" borderId="0" xfId="0" applyFont="1" applyFill="1"/>
    <xf numFmtId="0" fontId="7" fillId="3" borderId="0" xfId="0" applyFont="1" applyFill="1"/>
    <xf numFmtId="167" fontId="7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7" fillId="2" borderId="2" xfId="0" applyNumberFormat="1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3" fontId="7" fillId="2" borderId="2" xfId="0" applyNumberFormat="1" applyFont="1" applyFill="1" applyBorder="1" applyAlignment="1">
      <alignment horizontal="right"/>
    </xf>
    <xf numFmtId="9" fontId="7" fillId="0" borderId="0" xfId="1" applyFont="1" applyAlignment="1">
      <alignment horizontal="right"/>
    </xf>
    <xf numFmtId="0" fontId="11" fillId="0" borderId="1" xfId="0" applyFont="1" applyBorder="1"/>
    <xf numFmtId="0" fontId="12" fillId="3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168" fontId="12" fillId="3" borderId="0" xfId="0" applyNumberFormat="1" applyFont="1" applyFill="1"/>
    <xf numFmtId="169" fontId="12" fillId="3" borderId="0" xfId="0" applyNumberFormat="1" applyFont="1" applyFill="1"/>
    <xf numFmtId="0" fontId="16" fillId="0" borderId="0" xfId="0" applyFont="1"/>
    <xf numFmtId="0" fontId="9" fillId="0" borderId="0" xfId="0" applyFont="1" applyAlignment="1">
      <alignment horizontal="left" indent="1"/>
    </xf>
    <xf numFmtId="165" fontId="9" fillId="0" borderId="0" xfId="1" applyNumberFormat="1" applyFont="1"/>
    <xf numFmtId="9" fontId="9" fillId="0" borderId="0" xfId="0" quotePrefix="1" applyNumberFormat="1" applyFont="1" applyAlignment="1">
      <alignment horizontal="right"/>
    </xf>
    <xf numFmtId="0" fontId="17" fillId="0" borderId="0" xfId="0" applyFont="1"/>
    <xf numFmtId="37" fontId="7" fillId="0" borderId="0" xfId="0" applyNumberFormat="1" applyFont="1"/>
    <xf numFmtId="1" fontId="7" fillId="0" borderId="0" xfId="0" applyNumberFormat="1" applyFont="1"/>
    <xf numFmtId="0" fontId="11" fillId="0" borderId="0" xfId="0" applyFont="1"/>
    <xf numFmtId="9" fontId="11" fillId="0" borderId="0" xfId="0" applyNumberFormat="1" applyFont="1"/>
    <xf numFmtId="0" fontId="18" fillId="3" borderId="0" xfId="0" applyFont="1" applyFill="1"/>
    <xf numFmtId="165" fontId="7" fillId="0" borderId="0" xfId="0" quotePrefix="1" applyNumberFormat="1" applyFont="1" applyAlignment="1">
      <alignment horizontal="right"/>
    </xf>
    <xf numFmtId="165" fontId="19" fillId="0" borderId="0" xfId="1" applyNumberFormat="1" applyFont="1" applyFill="1" applyBorder="1" applyAlignment="1"/>
    <xf numFmtId="9" fontId="9" fillId="2" borderId="2" xfId="1" applyFont="1" applyFill="1" applyBorder="1" applyAlignment="1">
      <alignment horizontal="right"/>
    </xf>
    <xf numFmtId="9" fontId="20" fillId="2" borderId="2" xfId="1" applyFont="1" applyFill="1" applyBorder="1" applyAlignment="1">
      <alignment horizontal="right"/>
    </xf>
    <xf numFmtId="165" fontId="9" fillId="0" borderId="0" xfId="1" applyNumberFormat="1" applyFont="1" applyFill="1" applyBorder="1" applyAlignment="1"/>
    <xf numFmtId="165" fontId="9" fillId="0" borderId="0" xfId="0" applyNumberFormat="1" applyFont="1"/>
    <xf numFmtId="164" fontId="21" fillId="0" borderId="0" xfId="0" applyNumberFormat="1" applyFont="1"/>
  </cellXfs>
  <cellStyles count="3">
    <cellStyle name="Normal 2" xfId="2" xr:uid="{87911D04-D08B-E34B-9214-5F9C02090D73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142-C800-DB40-B8BE-78ABDC972D74}">
  <dimension ref="A1:XFD85"/>
  <sheetViews>
    <sheetView showGridLines="0" tabSelected="1" zoomScale="131" zoomScaleNormal="131" workbookViewId="0">
      <pane xSplit="2" topLeftCell="C1" activePane="topRight" state="frozen"/>
      <selection pane="topRight" activeCell="J6" sqref="J6"/>
    </sheetView>
  </sheetViews>
  <sheetFormatPr baseColWidth="10" defaultRowHeight="16"/>
  <cols>
    <col min="1" max="1" width="6" customWidth="1"/>
    <col min="2" max="2" width="22.6640625" bestFit="1" customWidth="1"/>
    <col min="19" max="19" width="12.33203125" bestFit="1" customWidth="1"/>
    <col min="20" max="20" width="10.83203125" customWidth="1"/>
  </cols>
  <sheetData>
    <row r="1" spans="1:27" ht="17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7">
      <c r="A2" s="1"/>
      <c r="B2" s="68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  <c r="V2" s="31"/>
      <c r="W2" s="31"/>
      <c r="X2" s="31"/>
      <c r="Y2" s="31"/>
      <c r="Z2" s="31"/>
      <c r="AA2" s="31"/>
    </row>
    <row r="3" spans="1:27" ht="17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7">
      <c r="B4" s="31" t="s">
        <v>1</v>
      </c>
      <c r="C4" s="31"/>
      <c r="D4" s="32" t="s">
        <v>2</v>
      </c>
      <c r="E4" s="31"/>
      <c r="F4" s="31"/>
      <c r="G4" s="31" t="s">
        <v>3</v>
      </c>
      <c r="H4" s="31"/>
      <c r="I4" s="31"/>
      <c r="J4" s="33">
        <f ca="1">S82</f>
        <v>137.86053425270285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7">
      <c r="B5" s="31" t="s">
        <v>4</v>
      </c>
      <c r="C5" s="31"/>
      <c r="D5" s="34">
        <v>45470</v>
      </c>
      <c r="E5" s="31"/>
      <c r="F5" s="31"/>
      <c r="G5" s="31" t="s">
        <v>5</v>
      </c>
      <c r="H5" s="31"/>
      <c r="I5" s="31"/>
      <c r="J5" s="60">
        <v>173.9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ht="17">
      <c r="B6" s="31" t="s">
        <v>6</v>
      </c>
      <c r="C6" s="31"/>
      <c r="D6" s="34">
        <v>45657</v>
      </c>
      <c r="E6" s="31"/>
      <c r="F6" s="31"/>
      <c r="G6" s="31" t="s">
        <v>7</v>
      </c>
      <c r="H6" s="31"/>
      <c r="I6" s="31"/>
      <c r="J6" s="35">
        <f ca="1">J4/J5-1</f>
        <v>-0.20724247123230111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17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17">
      <c r="A8" s="2" t="s">
        <v>8</v>
      </c>
      <c r="B8" s="69" t="s">
        <v>9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31"/>
      <c r="V8" s="31"/>
      <c r="W8" s="69" t="s">
        <v>21</v>
      </c>
      <c r="X8" s="61"/>
      <c r="Y8" s="61"/>
      <c r="Z8" s="61"/>
      <c r="AA8" s="61"/>
    </row>
    <row r="9" spans="1:27" ht="17">
      <c r="B9" s="31"/>
      <c r="C9" s="31"/>
      <c r="D9" s="31"/>
      <c r="E9" s="31"/>
      <c r="F9" s="31"/>
      <c r="G9" s="59">
        <v>1</v>
      </c>
      <c r="H9" s="59"/>
      <c r="I9" s="59"/>
      <c r="J9" s="59"/>
      <c r="K9" s="59"/>
      <c r="L9" s="59">
        <v>2</v>
      </c>
      <c r="M9" s="59"/>
      <c r="N9" s="59"/>
      <c r="O9" s="59"/>
      <c r="P9" s="59"/>
      <c r="Q9" s="59">
        <v>3</v>
      </c>
      <c r="R9" s="31"/>
      <c r="S9" s="31"/>
      <c r="T9" s="31"/>
      <c r="U9" s="31"/>
      <c r="V9" s="31"/>
      <c r="W9" s="31" t="s">
        <v>201</v>
      </c>
      <c r="X9" s="31"/>
      <c r="Y9" s="31"/>
      <c r="Z9" s="31"/>
      <c r="AA9" s="55">
        <v>787600</v>
      </c>
    </row>
    <row r="10" spans="1:27" ht="17">
      <c r="B10" s="70" t="s">
        <v>10</v>
      </c>
      <c r="C10" s="71"/>
      <c r="D10" s="71"/>
      <c r="E10" s="71"/>
      <c r="F10" s="31"/>
      <c r="G10" s="70" t="s">
        <v>11</v>
      </c>
      <c r="H10" s="71"/>
      <c r="I10" s="71"/>
      <c r="J10" s="71"/>
      <c r="K10" s="31"/>
      <c r="L10" s="70" t="s">
        <v>12</v>
      </c>
      <c r="M10" s="71"/>
      <c r="N10" s="71"/>
      <c r="O10" s="71"/>
      <c r="P10" s="31"/>
      <c r="Q10" s="70" t="s">
        <v>13</v>
      </c>
      <c r="R10" s="71"/>
      <c r="S10" s="71"/>
      <c r="T10" s="71"/>
      <c r="U10" s="31"/>
      <c r="V10" s="31"/>
      <c r="W10" s="31" t="s">
        <v>202</v>
      </c>
      <c r="X10" s="31"/>
      <c r="Y10" s="31"/>
      <c r="Z10" s="31"/>
      <c r="AA10" s="62">
        <f>AA9/AA21</f>
        <v>0.96296214786041689</v>
      </c>
    </row>
    <row r="11" spans="1:27" ht="17">
      <c r="B11" s="72" t="s">
        <v>9</v>
      </c>
      <c r="C11" s="31"/>
      <c r="D11" s="31"/>
      <c r="E11" s="31"/>
      <c r="F11" s="31"/>
      <c r="G11" s="72" t="s">
        <v>9</v>
      </c>
      <c r="H11" s="73"/>
      <c r="I11" s="74" t="s">
        <v>14</v>
      </c>
      <c r="J11" s="74" t="s">
        <v>15</v>
      </c>
      <c r="K11" s="31"/>
      <c r="L11" s="72" t="s">
        <v>9</v>
      </c>
      <c r="M11" s="73"/>
      <c r="N11" s="74" t="s">
        <v>14</v>
      </c>
      <c r="O11" s="74" t="s">
        <v>15</v>
      </c>
      <c r="P11" s="31"/>
      <c r="Q11" s="72" t="s">
        <v>9</v>
      </c>
      <c r="R11" s="73"/>
      <c r="S11" s="74" t="s">
        <v>14</v>
      </c>
      <c r="T11" s="74" t="s">
        <v>15</v>
      </c>
      <c r="U11" s="31"/>
      <c r="V11" s="31"/>
      <c r="W11" s="31" t="s">
        <v>203</v>
      </c>
      <c r="X11" s="31"/>
      <c r="Y11" s="31"/>
      <c r="Z11" s="31"/>
      <c r="AA11" s="63">
        <f>AA12+AA13*AA14</f>
        <v>0.10807800000000001</v>
      </c>
    </row>
    <row r="12" spans="1:27" ht="17">
      <c r="B12" s="31" t="s">
        <v>16</v>
      </c>
      <c r="C12" s="31"/>
      <c r="D12" s="31"/>
      <c r="E12" s="32">
        <v>3</v>
      </c>
      <c r="F12" s="36"/>
      <c r="G12" s="31" t="s">
        <v>16</v>
      </c>
      <c r="H12" s="31"/>
      <c r="I12" s="37" t="s">
        <v>17</v>
      </c>
      <c r="J12" s="38">
        <v>-0.05</v>
      </c>
      <c r="K12" s="31"/>
      <c r="L12" s="31" t="s">
        <v>16</v>
      </c>
      <c r="M12" s="31"/>
      <c r="N12" s="37" t="s">
        <v>18</v>
      </c>
      <c r="O12" s="38">
        <v>-0.33</v>
      </c>
      <c r="P12" s="31"/>
      <c r="Q12" s="31" t="s">
        <v>16</v>
      </c>
      <c r="R12" s="31"/>
      <c r="S12" s="37" t="s">
        <v>17</v>
      </c>
      <c r="T12" s="38">
        <v>0.05</v>
      </c>
      <c r="U12" s="31"/>
      <c r="V12" s="31"/>
      <c r="W12" s="31" t="s">
        <v>204</v>
      </c>
      <c r="X12" s="31"/>
      <c r="Y12" s="31"/>
      <c r="Z12" s="31"/>
      <c r="AA12" s="64">
        <v>4.2569999999999997E-2</v>
      </c>
    </row>
    <row r="13" spans="1:27" ht="17">
      <c r="B13" s="31" t="s">
        <v>19</v>
      </c>
      <c r="C13" s="31"/>
      <c r="D13" s="31"/>
      <c r="E13" s="32">
        <v>3</v>
      </c>
      <c r="F13" s="36"/>
      <c r="G13" s="31" t="s">
        <v>16</v>
      </c>
      <c r="H13" s="31"/>
      <c r="I13" s="37" t="s">
        <v>20</v>
      </c>
      <c r="J13" s="38">
        <v>-0.15</v>
      </c>
      <c r="K13" s="31"/>
      <c r="L13" s="31"/>
      <c r="M13" s="31"/>
      <c r="N13" s="31"/>
      <c r="O13" s="31"/>
      <c r="P13" s="31"/>
      <c r="Q13" s="31" t="s">
        <v>16</v>
      </c>
      <c r="R13" s="31"/>
      <c r="S13" s="37" t="s">
        <v>20</v>
      </c>
      <c r="T13" s="38">
        <v>0.15</v>
      </c>
      <c r="U13" s="31"/>
      <c r="V13" s="31"/>
      <c r="W13" s="31" t="s">
        <v>205</v>
      </c>
      <c r="X13" s="31"/>
      <c r="Y13" s="31"/>
      <c r="Z13" s="31"/>
      <c r="AA13" s="65">
        <v>1.59</v>
      </c>
    </row>
    <row r="14" spans="1:27" ht="17">
      <c r="B14" s="31" t="s">
        <v>21</v>
      </c>
      <c r="C14" s="31"/>
      <c r="D14" s="31"/>
      <c r="E14" s="32">
        <v>3</v>
      </c>
      <c r="F14" s="36"/>
      <c r="G14" s="31" t="s">
        <v>19</v>
      </c>
      <c r="H14" s="31"/>
      <c r="I14" s="37" t="s">
        <v>17</v>
      </c>
      <c r="J14" s="38">
        <v>-2.5000000000000001E-2</v>
      </c>
      <c r="K14" s="31"/>
      <c r="L14" s="31" t="s">
        <v>19</v>
      </c>
      <c r="M14" s="31"/>
      <c r="N14" s="37" t="s">
        <v>20</v>
      </c>
      <c r="O14" s="38">
        <v>0</v>
      </c>
      <c r="P14" s="31"/>
      <c r="Q14" s="31" t="s">
        <v>19</v>
      </c>
      <c r="R14" s="31"/>
      <c r="S14" s="37" t="s">
        <v>17</v>
      </c>
      <c r="T14" s="38">
        <v>2.5000000000000001E-2</v>
      </c>
      <c r="U14" s="31"/>
      <c r="V14" s="31"/>
      <c r="W14" s="31" t="s">
        <v>206</v>
      </c>
      <c r="X14" s="31"/>
      <c r="Y14" s="31"/>
      <c r="Z14" s="31"/>
      <c r="AA14" s="64">
        <v>4.1200000000000001E-2</v>
      </c>
    </row>
    <row r="15" spans="1:27" ht="17">
      <c r="B15" s="31" t="s">
        <v>22</v>
      </c>
      <c r="C15" s="31"/>
      <c r="D15" s="31"/>
      <c r="E15" s="32">
        <v>3</v>
      </c>
      <c r="F15" s="36"/>
      <c r="G15" s="31" t="s">
        <v>19</v>
      </c>
      <c r="H15" s="31"/>
      <c r="I15" s="37" t="s">
        <v>20</v>
      </c>
      <c r="J15" s="38">
        <v>-0.04</v>
      </c>
      <c r="K15" s="31"/>
      <c r="L15" s="31"/>
      <c r="M15" s="31"/>
      <c r="N15" s="31"/>
      <c r="O15" s="31"/>
      <c r="P15" s="31"/>
      <c r="Q15" s="31" t="s">
        <v>19</v>
      </c>
      <c r="R15" s="31"/>
      <c r="S15" s="37" t="s">
        <v>20</v>
      </c>
      <c r="T15" s="38">
        <v>0.05</v>
      </c>
      <c r="U15" s="31"/>
      <c r="V15" s="31"/>
      <c r="W15" s="31"/>
      <c r="X15" s="31"/>
      <c r="Y15" s="31"/>
      <c r="Z15" s="31"/>
      <c r="AA15" s="31"/>
    </row>
    <row r="16" spans="1:27" ht="17">
      <c r="B16" s="31"/>
      <c r="C16" s="31"/>
      <c r="D16" s="31"/>
      <c r="E16" s="31"/>
      <c r="F16" s="36"/>
      <c r="G16" s="31"/>
      <c r="H16" s="31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1"/>
      <c r="V16" s="31"/>
      <c r="W16" s="31" t="s">
        <v>207</v>
      </c>
      <c r="X16" s="31"/>
      <c r="Y16" s="31"/>
      <c r="Z16" s="31"/>
      <c r="AA16" s="66">
        <f>303.5+29846.4+143.1</f>
        <v>30293</v>
      </c>
    </row>
    <row r="17" spans="1:27" ht="17">
      <c r="B17" s="72" t="s">
        <v>23</v>
      </c>
      <c r="C17" s="31"/>
      <c r="D17" s="31"/>
      <c r="E17" s="31"/>
      <c r="F17" s="36"/>
      <c r="G17" s="31"/>
      <c r="H17" s="31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1"/>
      <c r="V17" s="31"/>
      <c r="W17" s="31" t="s">
        <v>208</v>
      </c>
      <c r="X17" s="31"/>
      <c r="Y17" s="31"/>
      <c r="Z17" s="31"/>
      <c r="AA17" s="62">
        <f>AA16/AA21</f>
        <v>3.703785213958305E-2</v>
      </c>
    </row>
    <row r="18" spans="1:27" ht="17">
      <c r="B18" s="31" t="s">
        <v>21</v>
      </c>
      <c r="C18" s="31"/>
      <c r="D18" s="31"/>
      <c r="E18" s="39">
        <f>CHOOSE(E14,J18,O18,T18)</f>
        <v>0.1</v>
      </c>
      <c r="F18" s="36"/>
      <c r="G18" s="31" t="s">
        <v>21</v>
      </c>
      <c r="H18" s="31"/>
      <c r="I18" s="31"/>
      <c r="J18" s="39">
        <v>0.11</v>
      </c>
      <c r="K18" s="36"/>
      <c r="L18" s="31" t="s">
        <v>21</v>
      </c>
      <c r="M18" s="31"/>
      <c r="N18" s="31"/>
      <c r="O18" s="39">
        <f>AA23</f>
        <v>0.10470829507015615</v>
      </c>
      <c r="P18" s="36"/>
      <c r="Q18" s="31" t="s">
        <v>21</v>
      </c>
      <c r="R18" s="31"/>
      <c r="S18" s="31"/>
      <c r="T18" s="39">
        <v>0.1</v>
      </c>
      <c r="U18" s="31"/>
      <c r="V18" s="31"/>
      <c r="W18" s="31" t="s">
        <v>209</v>
      </c>
      <c r="X18" s="31"/>
      <c r="Y18" s="31"/>
      <c r="Z18" s="31"/>
      <c r="AA18" s="64">
        <v>0.02</v>
      </c>
    </row>
    <row r="19" spans="1:27" ht="17">
      <c r="B19" s="31" t="s">
        <v>22</v>
      </c>
      <c r="C19" s="31"/>
      <c r="D19" s="31"/>
      <c r="E19" s="39">
        <f>CHOOSE(E15,J19,O19,T19)</f>
        <v>0.03</v>
      </c>
      <c r="F19" s="31"/>
      <c r="G19" s="31" t="s">
        <v>22</v>
      </c>
      <c r="H19" s="31"/>
      <c r="I19" s="31"/>
      <c r="J19" s="39">
        <v>0.02</v>
      </c>
      <c r="K19" s="36"/>
      <c r="L19" s="31" t="s">
        <v>22</v>
      </c>
      <c r="M19" s="31"/>
      <c r="N19" s="31"/>
      <c r="O19" s="39">
        <v>2.5000000000000001E-2</v>
      </c>
      <c r="P19" s="36"/>
      <c r="Q19" s="31" t="s">
        <v>22</v>
      </c>
      <c r="R19" s="31"/>
      <c r="S19" s="31"/>
      <c r="T19" s="39">
        <v>0.03</v>
      </c>
      <c r="U19" s="31"/>
      <c r="V19" s="31"/>
      <c r="W19" s="31" t="s">
        <v>210</v>
      </c>
      <c r="X19" s="31"/>
      <c r="Y19" s="31"/>
      <c r="Z19" s="31"/>
      <c r="AA19" s="64">
        <f>N29</f>
        <v>0.14510154191524635</v>
      </c>
    </row>
    <row r="20" spans="1:27" ht="17">
      <c r="B20" s="31"/>
      <c r="C20" s="31"/>
      <c r="D20" s="31"/>
      <c r="E20" s="40"/>
      <c r="F20" s="31"/>
      <c r="G20" s="31"/>
      <c r="H20" s="31"/>
      <c r="I20" s="31"/>
      <c r="J20" s="40"/>
      <c r="K20" s="36"/>
      <c r="L20" s="31"/>
      <c r="M20" s="31"/>
      <c r="N20" s="31"/>
      <c r="O20" s="40"/>
      <c r="P20" s="36"/>
      <c r="Q20" s="31"/>
      <c r="R20" s="31"/>
      <c r="S20" s="31"/>
      <c r="T20" s="40"/>
      <c r="U20" s="31"/>
      <c r="V20" s="31"/>
      <c r="W20" s="31"/>
      <c r="X20" s="31"/>
      <c r="Y20" s="31"/>
      <c r="Z20" s="31"/>
      <c r="AA20" s="31"/>
    </row>
    <row r="21" spans="1:27" ht="17">
      <c r="A21" s="2" t="s">
        <v>8</v>
      </c>
      <c r="B21" s="69" t="s">
        <v>45</v>
      </c>
      <c r="C21" s="69"/>
      <c r="D21" s="69"/>
      <c r="E21" s="75">
        <v>2014</v>
      </c>
      <c r="F21" s="75">
        <f>E21+1</f>
        <v>2015</v>
      </c>
      <c r="G21" s="75">
        <f t="shared" ref="G21:S21" si="0">F21+1</f>
        <v>2016</v>
      </c>
      <c r="H21" s="75">
        <f t="shared" si="0"/>
        <v>2017</v>
      </c>
      <c r="I21" s="75">
        <f t="shared" si="0"/>
        <v>2018</v>
      </c>
      <c r="J21" s="75">
        <f t="shared" si="0"/>
        <v>2019</v>
      </c>
      <c r="K21" s="75">
        <f t="shared" si="0"/>
        <v>2020</v>
      </c>
      <c r="L21" s="75">
        <f t="shared" si="0"/>
        <v>2021</v>
      </c>
      <c r="M21" s="75">
        <f t="shared" si="0"/>
        <v>2022</v>
      </c>
      <c r="N21" s="75">
        <f t="shared" si="0"/>
        <v>2023</v>
      </c>
      <c r="O21" s="76">
        <f t="shared" si="0"/>
        <v>2024</v>
      </c>
      <c r="P21" s="76">
        <f t="shared" si="0"/>
        <v>2025</v>
      </c>
      <c r="Q21" s="76">
        <f t="shared" si="0"/>
        <v>2026</v>
      </c>
      <c r="R21" s="76">
        <f t="shared" si="0"/>
        <v>2027</v>
      </c>
      <c r="S21" s="76">
        <f t="shared" si="0"/>
        <v>2028</v>
      </c>
      <c r="T21" s="77"/>
      <c r="U21" s="31"/>
      <c r="V21" s="31"/>
      <c r="W21" s="31" t="s">
        <v>211</v>
      </c>
      <c r="X21" s="31"/>
      <c r="Y21" s="31"/>
      <c r="Z21" s="31"/>
      <c r="AA21" s="55">
        <f>AA9+AA16</f>
        <v>817893</v>
      </c>
    </row>
    <row r="22" spans="1:27" ht="17">
      <c r="B22" s="31" t="s">
        <v>16</v>
      </c>
      <c r="C22" s="31"/>
      <c r="D22" s="31"/>
      <c r="E22" s="55">
        <f>Income!B6</f>
        <v>25173.402165</v>
      </c>
      <c r="F22" s="55">
        <f>Income!C6</f>
        <v>26563.917411999999</v>
      </c>
      <c r="G22" s="55">
        <f>Income!D6</f>
        <v>29391.80255</v>
      </c>
      <c r="H22" s="55">
        <f>Income!E6</f>
        <v>32128.718455999999</v>
      </c>
      <c r="I22" s="55">
        <f>Income!F6</f>
        <v>34202.624099000001</v>
      </c>
      <c r="J22" s="55">
        <f>Income!G6</f>
        <v>34613.236246</v>
      </c>
      <c r="K22" s="55">
        <f>Income!H6</f>
        <v>45483.456630000001</v>
      </c>
      <c r="L22" s="55">
        <f>Income!I6</f>
        <v>56831.680420999997</v>
      </c>
      <c r="M22" s="55">
        <f>Income!J6</f>
        <v>75936.463749999995</v>
      </c>
      <c r="N22" s="55">
        <f>Income!K6</f>
        <v>69350.225288000001</v>
      </c>
      <c r="O22" s="55">
        <f>Income!L63</f>
        <v>84538.6</v>
      </c>
      <c r="P22" s="55">
        <f>Income!M63</f>
        <v>101948</v>
      </c>
      <c r="Q22" s="55">
        <f>Income!N63</f>
        <v>117630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ht="17">
      <c r="B23" s="78" t="s">
        <v>24</v>
      </c>
      <c r="C23" s="31"/>
      <c r="D23" s="31"/>
      <c r="E23" s="41"/>
      <c r="F23" s="79">
        <f>F22/E22-1</f>
        <v>5.5237477949377611E-2</v>
      </c>
      <c r="G23" s="79">
        <f t="shared" ref="G23:S23" si="1">G22/F22-1</f>
        <v>0.10645587750256036</v>
      </c>
      <c r="H23" s="79">
        <f t="shared" si="1"/>
        <v>9.3118341460823428E-2</v>
      </c>
      <c r="I23" s="79">
        <f t="shared" si="1"/>
        <v>6.4549902475574905E-2</v>
      </c>
      <c r="J23" s="79">
        <f t="shared" si="1"/>
        <v>1.2005281986887217E-2</v>
      </c>
      <c r="K23" s="79">
        <f t="shared" si="1"/>
        <v>0.31404807995254114</v>
      </c>
      <c r="L23" s="79">
        <f t="shared" si="1"/>
        <v>0.24950222854247461</v>
      </c>
      <c r="M23" s="79">
        <f t="shared" si="1"/>
        <v>0.33616432221385706</v>
      </c>
      <c r="N23" s="79">
        <f t="shared" si="1"/>
        <v>-8.6733541921090507E-2</v>
      </c>
      <c r="O23" s="79">
        <f t="shared" si="1"/>
        <v>0.21900973859746231</v>
      </c>
      <c r="P23" s="79">
        <f t="shared" si="1"/>
        <v>0.20593433058981336</v>
      </c>
      <c r="Q23" s="79">
        <f t="shared" si="1"/>
        <v>0.15382351787185633</v>
      </c>
      <c r="R23" s="79">
        <f t="shared" si="1"/>
        <v>-1</v>
      </c>
      <c r="S23" s="79" t="e">
        <f t="shared" si="1"/>
        <v>#DIV/0!</v>
      </c>
      <c r="T23" s="31"/>
      <c r="U23" s="31"/>
      <c r="V23" s="31"/>
      <c r="W23" s="31" t="s">
        <v>21</v>
      </c>
      <c r="X23" s="31"/>
      <c r="Y23" s="31"/>
      <c r="Z23" s="31"/>
      <c r="AA23" s="67">
        <f>AA10*AA11+(AA17*AA18*(1-AA19))</f>
        <v>0.10470829507015615</v>
      </c>
    </row>
    <row r="24" spans="1:27" ht="17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ht="17">
      <c r="B25" s="31" t="s">
        <v>19</v>
      </c>
      <c r="C25" s="31"/>
      <c r="D25" s="31"/>
      <c r="E25" s="55">
        <f>Income!B17</f>
        <v>9828.6889300000003</v>
      </c>
      <c r="F25" s="55">
        <f>Income!C17</f>
        <v>10137.391540000001</v>
      </c>
      <c r="G25" s="55">
        <f>Income!D17</f>
        <v>11717.6266</v>
      </c>
      <c r="H25" s="55">
        <f>Income!E17</f>
        <v>12716.16574</v>
      </c>
      <c r="I25" s="55">
        <f>Income!F17</f>
        <v>12791.63787</v>
      </c>
      <c r="J25" s="55">
        <f>Income!G17</f>
        <v>12071.836429999999</v>
      </c>
      <c r="K25" s="55">
        <f>Income!H17</f>
        <v>19223.88076</v>
      </c>
      <c r="L25" s="55">
        <f>Income!I17</f>
        <v>23276.88034</v>
      </c>
      <c r="M25" s="55">
        <f>Income!J17</f>
        <v>37622.497990000003</v>
      </c>
      <c r="N25" s="55">
        <f>Income!K17</f>
        <v>29555.064480000001</v>
      </c>
      <c r="O25" s="55">
        <f>Income!L67</f>
        <v>35364.9</v>
      </c>
      <c r="P25" s="55">
        <f>Income!M67</f>
        <v>44579.6</v>
      </c>
      <c r="Q25" s="55">
        <f>Income!N67</f>
        <v>52465.4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7">
      <c r="B26" s="78" t="s">
        <v>25</v>
      </c>
      <c r="C26" s="31"/>
      <c r="D26" s="31"/>
      <c r="E26" s="80">
        <f>E25/E22</f>
        <v>0.39043943546356957</v>
      </c>
      <c r="F26" s="80">
        <f t="shared" ref="F26:N26" si="2">F25/F22</f>
        <v>0.38162261170939077</v>
      </c>
      <c r="G26" s="80">
        <f t="shared" si="2"/>
        <v>0.39866988695458555</v>
      </c>
      <c r="H26" s="80">
        <f t="shared" si="2"/>
        <v>0.39578814067590895</v>
      </c>
      <c r="I26" s="80">
        <f t="shared" si="2"/>
        <v>0.37399580315751257</v>
      </c>
      <c r="J26" s="80">
        <f t="shared" si="2"/>
        <v>0.34876358697592325</v>
      </c>
      <c r="K26" s="80">
        <f t="shared" si="2"/>
        <v>0.42265654777258732</v>
      </c>
      <c r="L26" s="80">
        <f t="shared" si="2"/>
        <v>0.40957578884820217</v>
      </c>
      <c r="M26" s="80">
        <f t="shared" si="2"/>
        <v>0.49544706366445734</v>
      </c>
      <c r="N26" s="80">
        <f t="shared" si="2"/>
        <v>0.42617113869872392</v>
      </c>
      <c r="O26" s="80">
        <f>O25/O22</f>
        <v>0.4183284322191283</v>
      </c>
      <c r="P26" s="80">
        <f t="shared" ref="P26:Q26" si="3">P25/P22</f>
        <v>0.43727782791226899</v>
      </c>
      <c r="Q26" s="80">
        <f t="shared" si="3"/>
        <v>0.44602057298308256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ht="17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7">
      <c r="B28" s="31" t="s">
        <v>26</v>
      </c>
      <c r="C28" s="31"/>
      <c r="D28" s="31"/>
      <c r="E28" s="55">
        <f>Income!B34</f>
        <v>1264.4426289999999</v>
      </c>
      <c r="F28" s="55">
        <f>Income!C34</f>
        <v>1381.6415959999999</v>
      </c>
      <c r="G28" s="55">
        <f>Income!D34</f>
        <v>1600.6157109999999</v>
      </c>
      <c r="H28" s="55">
        <f>Income!E34</f>
        <v>1741.6654140000001</v>
      </c>
      <c r="I28" s="55">
        <f>Income!F34</f>
        <v>1536.2852499999999</v>
      </c>
      <c r="J28" s="55">
        <f>Income!G34</f>
        <v>1439.586849</v>
      </c>
      <c r="K28" s="55">
        <f>Income!H34</f>
        <v>2262.5297999999998</v>
      </c>
      <c r="L28" s="55">
        <f>Income!I34</f>
        <v>2364.7963070000001</v>
      </c>
      <c r="M28" s="55">
        <f>Income!J34</f>
        <v>4269.625454</v>
      </c>
      <c r="N28" s="55">
        <f>Income!K34</f>
        <v>4536.3479139999999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ht="17">
      <c r="B29" s="78" t="s">
        <v>27</v>
      </c>
      <c r="C29" s="31"/>
      <c r="D29" s="31"/>
      <c r="E29" s="80">
        <f>E28/Income!B33</f>
        <v>0.12851568159902213</v>
      </c>
      <c r="F29" s="80">
        <f>F28/Income!C33</f>
        <v>0.12669116827358923</v>
      </c>
      <c r="G29" s="80">
        <f>G28/Income!D33</f>
        <v>0.13497001989520022</v>
      </c>
      <c r="H29" s="80">
        <f>H28/Income!E33</f>
        <v>0.1347744482688078</v>
      </c>
      <c r="I29" s="80">
        <f>I28/Income!F33</f>
        <v>0.11744344152384247</v>
      </c>
      <c r="J29" s="80">
        <f>J28/Income!G33</f>
        <v>0.11499069480103527</v>
      </c>
      <c r="K29" s="80">
        <f>K28/Income!H33</f>
        <v>0.1146264462085046</v>
      </c>
      <c r="L29" s="80">
        <f>L28/Income!I33</f>
        <v>0.10045756103535254</v>
      </c>
      <c r="M29" s="80">
        <f>M28/Income!J33</f>
        <v>0.11201254741460753</v>
      </c>
      <c r="N29" s="80">
        <f>N28/Income!K33</f>
        <v>0.14510154191524635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 ht="17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 ht="17">
      <c r="A31" s="2" t="s">
        <v>8</v>
      </c>
      <c r="B31" s="69" t="s">
        <v>46</v>
      </c>
      <c r="C31" s="69"/>
      <c r="D31" s="69"/>
      <c r="E31" s="75">
        <f>E21</f>
        <v>2014</v>
      </c>
      <c r="F31" s="75">
        <f t="shared" ref="F31:M31" si="4">F21</f>
        <v>2015</v>
      </c>
      <c r="G31" s="75">
        <f t="shared" si="4"/>
        <v>2016</v>
      </c>
      <c r="H31" s="75">
        <f t="shared" si="4"/>
        <v>2017</v>
      </c>
      <c r="I31" s="75">
        <f t="shared" si="4"/>
        <v>2018</v>
      </c>
      <c r="J31" s="75">
        <f t="shared" si="4"/>
        <v>2019</v>
      </c>
      <c r="K31" s="75">
        <f t="shared" si="4"/>
        <v>2020</v>
      </c>
      <c r="L31" s="75">
        <f t="shared" si="4"/>
        <v>2021</v>
      </c>
      <c r="M31" s="75">
        <f t="shared" si="4"/>
        <v>2022</v>
      </c>
      <c r="N31" s="75">
        <f t="shared" ref="N31:S31" si="5">M31+1</f>
        <v>2023</v>
      </c>
      <c r="O31" s="76">
        <f t="shared" si="5"/>
        <v>2024</v>
      </c>
      <c r="P31" s="76">
        <f t="shared" si="5"/>
        <v>2025</v>
      </c>
      <c r="Q31" s="76">
        <f t="shared" si="5"/>
        <v>2026</v>
      </c>
      <c r="R31" s="76">
        <f t="shared" si="5"/>
        <v>2027</v>
      </c>
      <c r="S31" s="76">
        <f t="shared" si="5"/>
        <v>2028</v>
      </c>
      <c r="T31" s="77"/>
      <c r="U31" s="31"/>
      <c r="V31" s="31"/>
      <c r="W31" s="31"/>
      <c r="X31" s="31"/>
      <c r="Y31" s="31"/>
      <c r="Z31" s="31"/>
      <c r="AA31" s="31"/>
    </row>
    <row r="32" spans="1:27" ht="17">
      <c r="A32" s="3"/>
      <c r="B32" s="31" t="s">
        <v>28</v>
      </c>
      <c r="C32" s="31"/>
      <c r="D32" s="81"/>
      <c r="E32" s="82">
        <f>Cashflow!B8</f>
        <v>6608.2603520000002</v>
      </c>
      <c r="F32" s="82">
        <f>Cashflow!C8</f>
        <v>7007.1511689999998</v>
      </c>
      <c r="G32" s="82">
        <f>Cashflow!D8</f>
        <v>6940.2425489999996</v>
      </c>
      <c r="H32" s="82">
        <f>Cashflow!E8</f>
        <v>8550.9376709999997</v>
      </c>
      <c r="I32" s="82">
        <f>Cashflow!F8</f>
        <v>9701.5921080000007</v>
      </c>
      <c r="J32" s="82">
        <f>Cashflow!G8</f>
        <v>9280.4631320000008</v>
      </c>
      <c r="K32" s="82">
        <f>Cashflow!H8</f>
        <v>11266.093676</v>
      </c>
      <c r="L32" s="82">
        <f>Cashflow!I8</f>
        <v>15122.327587</v>
      </c>
      <c r="M32" s="82">
        <f>Cashflow!J8</f>
        <v>14666.580223000001</v>
      </c>
      <c r="N32" s="82">
        <f>Cashflow!K8</f>
        <v>17073.112990000001</v>
      </c>
      <c r="O32" s="82"/>
      <c r="P32" s="82"/>
      <c r="Q32" s="82"/>
      <c r="R32" s="83"/>
      <c r="S32" s="83"/>
      <c r="T32" s="77"/>
      <c r="U32" s="31"/>
      <c r="V32" s="31"/>
      <c r="W32" s="31"/>
      <c r="X32" s="31"/>
      <c r="Y32" s="31"/>
      <c r="Z32" s="31"/>
      <c r="AA32" s="31"/>
    </row>
    <row r="33" spans="1:27 16384:16384" ht="17">
      <c r="A33" s="3"/>
      <c r="B33" s="31" t="s">
        <v>25</v>
      </c>
      <c r="C33" s="31"/>
      <c r="D33" s="81"/>
      <c r="E33" s="80">
        <f>E32/E22</f>
        <v>0.26250962459050675</v>
      </c>
      <c r="F33" s="80">
        <f t="shared" ref="F33:N33" si="6">F32/F22</f>
        <v>0.26378455633334358</v>
      </c>
      <c r="G33" s="80">
        <f t="shared" si="6"/>
        <v>0.23612851022639983</v>
      </c>
      <c r="H33" s="80">
        <f t="shared" si="6"/>
        <v>0.266146241802655</v>
      </c>
      <c r="I33" s="80">
        <f t="shared" si="6"/>
        <v>0.28365051991094598</v>
      </c>
      <c r="J33" s="80">
        <f t="shared" si="6"/>
        <v>0.26811890879092465</v>
      </c>
      <c r="K33" s="80">
        <f t="shared" si="6"/>
        <v>0.24769651452939714</v>
      </c>
      <c r="L33" s="80">
        <f t="shared" si="6"/>
        <v>0.26608974915005534</v>
      </c>
      <c r="M33" s="80">
        <f t="shared" si="6"/>
        <v>0.19314278672872756</v>
      </c>
      <c r="N33" s="80">
        <f t="shared" si="6"/>
        <v>0.24618684249543804</v>
      </c>
      <c r="O33" s="84"/>
      <c r="P33" s="84"/>
      <c r="Q33" s="84"/>
      <c r="R33" s="84"/>
      <c r="S33" s="84"/>
      <c r="T33" s="77"/>
      <c r="U33" s="31"/>
      <c r="V33" s="31"/>
      <c r="W33" s="31"/>
      <c r="X33" s="31"/>
      <c r="Y33" s="31"/>
      <c r="Z33" s="31"/>
      <c r="AA33" s="31"/>
    </row>
    <row r="34" spans="1:27 16384:16384" ht="17">
      <c r="A34" s="3"/>
      <c r="B34" s="31"/>
      <c r="C34" s="31"/>
      <c r="D34" s="81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77"/>
      <c r="U34" s="31"/>
      <c r="V34" s="31"/>
      <c r="W34" s="31"/>
      <c r="X34" s="31"/>
      <c r="Y34" s="31"/>
      <c r="Z34" s="31"/>
      <c r="AA34" s="31"/>
    </row>
    <row r="35" spans="1:27 16384:16384" ht="17">
      <c r="A35" s="3"/>
      <c r="B35" s="31" t="s">
        <v>29</v>
      </c>
      <c r="C35" s="31"/>
      <c r="D35" s="81"/>
      <c r="E35" s="82">
        <f>-Cashflow!B21</f>
        <v>9649.1251140000004</v>
      </c>
      <c r="F35" s="82">
        <f>-Cashflow!C21</f>
        <v>8244.6346150000008</v>
      </c>
      <c r="G35" s="82">
        <f>-Cashflow!D21</f>
        <v>10328.228477000001</v>
      </c>
      <c r="H35" s="82">
        <f>-Cashflow!E21</f>
        <v>11084.333108999999</v>
      </c>
      <c r="I35" s="82">
        <f>-Cashflow!F21</f>
        <v>10774.847029</v>
      </c>
      <c r="J35" s="82">
        <f>-Cashflow!G21</f>
        <v>15132.994289</v>
      </c>
      <c r="K35" s="82">
        <f>-Cashflow!H21</f>
        <v>17698.769023000001</v>
      </c>
      <c r="L35" s="82">
        <f>-Cashflow!I21</f>
        <v>30411.014291</v>
      </c>
      <c r="M35" s="82">
        <f>-Cashflow!J21</f>
        <v>36548.742499</v>
      </c>
      <c r="N35" s="82">
        <f>-Cashflow!K21</f>
        <v>29124.675497</v>
      </c>
      <c r="O35" s="82">
        <f>Cashflow!L63</f>
        <v>29319.7</v>
      </c>
      <c r="P35" s="82">
        <f>Cashflow!M63</f>
        <v>33180</v>
      </c>
      <c r="Q35" s="82">
        <f>Cashflow!N63</f>
        <v>32099.3</v>
      </c>
      <c r="R35" s="84"/>
      <c r="S35" s="84"/>
      <c r="T35" s="77"/>
      <c r="U35" s="31"/>
      <c r="V35" s="31"/>
      <c r="W35" s="31"/>
      <c r="X35" s="31"/>
      <c r="Y35" s="31"/>
      <c r="Z35" s="31"/>
      <c r="AA35" s="31"/>
    </row>
    <row r="36" spans="1:27 16384:16384" ht="17">
      <c r="A36" s="3"/>
      <c r="B36" s="58" t="s">
        <v>25</v>
      </c>
      <c r="C36" s="58"/>
      <c r="D36" s="81"/>
      <c r="E36" s="80">
        <f>E35/E22</f>
        <v>0.38330635846336747</v>
      </c>
      <c r="F36" s="80">
        <f t="shared" ref="F36:N36" si="7">F35/F22</f>
        <v>0.31036968257082315</v>
      </c>
      <c r="G36" s="80">
        <f t="shared" si="7"/>
        <v>0.35139826689533882</v>
      </c>
      <c r="H36" s="80">
        <f t="shared" si="7"/>
        <v>0.34499767316209318</v>
      </c>
      <c r="I36" s="80">
        <f t="shared" si="7"/>
        <v>0.31502983507382493</v>
      </c>
      <c r="J36" s="80">
        <f t="shared" si="7"/>
        <v>0.43720252511057267</v>
      </c>
      <c r="K36" s="80">
        <f t="shared" si="7"/>
        <v>0.38912541689556279</v>
      </c>
      <c r="L36" s="80">
        <f t="shared" si="7"/>
        <v>0.53510672332262688</v>
      </c>
      <c r="M36" s="80">
        <f t="shared" si="7"/>
        <v>0.48130688070130212</v>
      </c>
      <c r="N36" s="80">
        <f t="shared" si="7"/>
        <v>0.41996511728765185</v>
      </c>
      <c r="O36" s="80">
        <f>O35/O22</f>
        <v>0.34682026908418168</v>
      </c>
      <c r="P36" s="80">
        <f>P35/P22</f>
        <v>0.32546003845097499</v>
      </c>
      <c r="Q36" s="80">
        <f>Q35/Q22</f>
        <v>0.27288361812462808</v>
      </c>
      <c r="R36" s="84"/>
      <c r="S36" s="84"/>
      <c r="T36" s="77"/>
      <c r="U36" s="31"/>
      <c r="V36" s="31"/>
      <c r="W36" s="31"/>
      <c r="X36" s="31"/>
      <c r="Y36" s="31"/>
      <c r="Z36" s="31"/>
      <c r="AA36" s="31"/>
    </row>
    <row r="37" spans="1:27 16384:16384" ht="17">
      <c r="A37" s="3"/>
      <c r="B37" s="31"/>
      <c r="C37" s="31"/>
      <c r="D37" s="81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5"/>
      <c r="P37" s="84"/>
      <c r="Q37" s="84"/>
      <c r="R37" s="84"/>
      <c r="S37" s="84"/>
      <c r="T37" s="77"/>
      <c r="U37" s="31"/>
      <c r="V37" s="31"/>
      <c r="W37" s="31"/>
      <c r="X37" s="31"/>
      <c r="Y37" s="31"/>
      <c r="Z37" s="31"/>
      <c r="AA37" s="31"/>
    </row>
    <row r="38" spans="1:27 16384:16384" ht="17">
      <c r="A38" s="3"/>
      <c r="B38" s="31" t="s">
        <v>30</v>
      </c>
      <c r="C38" s="31"/>
      <c r="D38" s="81"/>
      <c r="E38" s="82">
        <f>-Cashflow!B13</f>
        <v>1639.0557510000001</v>
      </c>
      <c r="F38" s="82">
        <f>-Cashflow!C13</f>
        <v>-738.60235799999998</v>
      </c>
      <c r="G38" s="82">
        <f>-Cashflow!D13</f>
        <v>466.957874</v>
      </c>
      <c r="H38" s="82">
        <f>-Cashflow!E13</f>
        <v>-327.99786599999999</v>
      </c>
      <c r="I38" s="82">
        <f>-Cashflow!F13</f>
        <v>2044.9636800000001</v>
      </c>
      <c r="J38" s="82">
        <f>-Cashflow!G13</f>
        <v>-350.08531799999997</v>
      </c>
      <c r="K38" s="82">
        <f>-Cashflow!H13</f>
        <v>962.37454500000001</v>
      </c>
      <c r="L38" s="82">
        <f>-Cashflow!I13</f>
        <v>-4742.4832290000004</v>
      </c>
      <c r="M38" s="82">
        <f>-Cashflow!J13</f>
        <v>-4154.6672550000003</v>
      </c>
      <c r="N38" s="82">
        <f>-Cashflow!K13</f>
        <v>1833.1521660000001</v>
      </c>
      <c r="O38" s="84"/>
      <c r="P38" s="84"/>
      <c r="Q38" s="84"/>
      <c r="R38" s="84"/>
      <c r="S38" s="84"/>
      <c r="T38" s="77"/>
      <c r="U38" s="31"/>
      <c r="V38" s="31"/>
      <c r="W38" s="31"/>
      <c r="X38" s="31"/>
      <c r="Y38" s="31"/>
      <c r="Z38" s="31"/>
      <c r="AA38" s="31"/>
    </row>
    <row r="39" spans="1:27 16384:16384" ht="17">
      <c r="A39" s="3"/>
      <c r="B39" s="58" t="s">
        <v>25</v>
      </c>
      <c r="C39" s="58"/>
      <c r="D39" s="81"/>
      <c r="E39" s="80">
        <f>E38/E22</f>
        <v>6.5110617160793291E-2</v>
      </c>
      <c r="F39" s="80">
        <f t="shared" ref="F39:N39" si="8">F38/F22</f>
        <v>-2.7804722720088843E-2</v>
      </c>
      <c r="G39" s="80">
        <f t="shared" si="8"/>
        <v>1.5887350672202989E-2</v>
      </c>
      <c r="H39" s="80">
        <f t="shared" si="8"/>
        <v>-1.0208868631009674E-2</v>
      </c>
      <c r="I39" s="80">
        <f t="shared" si="8"/>
        <v>5.9789672104714024E-2</v>
      </c>
      <c r="J39" s="80">
        <f t="shared" si="8"/>
        <v>-1.0114203581309355E-2</v>
      </c>
      <c r="K39" s="80">
        <f t="shared" si="8"/>
        <v>2.1158782034284451E-2</v>
      </c>
      <c r="L39" s="80">
        <f t="shared" si="8"/>
        <v>-8.3447879666208064E-2</v>
      </c>
      <c r="M39" s="80">
        <f t="shared" si="8"/>
        <v>-5.4712414166112659E-2</v>
      </c>
      <c r="N39" s="80">
        <f t="shared" si="8"/>
        <v>2.6433254663373085E-2</v>
      </c>
      <c r="O39" s="84"/>
      <c r="P39" s="84"/>
      <c r="Q39" s="84"/>
      <c r="R39" s="84"/>
      <c r="S39" s="84"/>
      <c r="T39" s="77"/>
      <c r="U39" s="31"/>
      <c r="V39" s="31"/>
      <c r="W39" s="31"/>
      <c r="X39" s="31"/>
      <c r="Y39" s="31"/>
      <c r="Z39" s="31"/>
      <c r="AA39" s="31"/>
    </row>
    <row r="40" spans="1:27 16384:16384" ht="17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 16384:16384" ht="17">
      <c r="A41" s="2" t="s">
        <v>8</v>
      </c>
      <c r="B41" s="86" t="s">
        <v>47</v>
      </c>
      <c r="C41" s="69"/>
      <c r="D41" s="69"/>
      <c r="E41" s="75">
        <v>2014</v>
      </c>
      <c r="F41" s="75">
        <f>E41+1</f>
        <v>2015</v>
      </c>
      <c r="G41" s="75">
        <f t="shared" ref="G41:S41" si="9">F41+1</f>
        <v>2016</v>
      </c>
      <c r="H41" s="75">
        <f t="shared" si="9"/>
        <v>2017</v>
      </c>
      <c r="I41" s="75">
        <f t="shared" si="9"/>
        <v>2018</v>
      </c>
      <c r="J41" s="75">
        <f t="shared" si="9"/>
        <v>2019</v>
      </c>
      <c r="K41" s="75">
        <f t="shared" si="9"/>
        <v>2020</v>
      </c>
      <c r="L41" s="75">
        <f t="shared" si="9"/>
        <v>2021</v>
      </c>
      <c r="M41" s="75">
        <f t="shared" si="9"/>
        <v>2022</v>
      </c>
      <c r="N41" s="75">
        <f t="shared" si="9"/>
        <v>2023</v>
      </c>
      <c r="O41" s="76">
        <f t="shared" si="9"/>
        <v>2024</v>
      </c>
      <c r="P41" s="76">
        <f t="shared" si="9"/>
        <v>2025</v>
      </c>
      <c r="Q41" s="76">
        <f t="shared" si="9"/>
        <v>2026</v>
      </c>
      <c r="R41" s="76">
        <f t="shared" si="9"/>
        <v>2027</v>
      </c>
      <c r="S41" s="76">
        <f t="shared" si="9"/>
        <v>2028</v>
      </c>
      <c r="T41" s="77"/>
      <c r="U41" s="31"/>
      <c r="V41" s="31"/>
      <c r="W41" s="31"/>
      <c r="X41" s="31"/>
      <c r="Y41" s="31"/>
      <c r="Z41" s="31"/>
      <c r="AA41" s="31"/>
    </row>
    <row r="42" spans="1:27 16384:16384" ht="17">
      <c r="B42" s="31" t="s">
        <v>16</v>
      </c>
      <c r="C42" s="31"/>
      <c r="D42" s="31"/>
      <c r="E42" s="55">
        <f>E22</f>
        <v>25173.402165</v>
      </c>
      <c r="F42" s="55">
        <f t="shared" ref="F42:N42" si="10">F22</f>
        <v>26563.917411999999</v>
      </c>
      <c r="G42" s="55">
        <f t="shared" si="10"/>
        <v>29391.80255</v>
      </c>
      <c r="H42" s="55">
        <f t="shared" si="10"/>
        <v>32128.718455999999</v>
      </c>
      <c r="I42" s="55">
        <f t="shared" si="10"/>
        <v>34202.624099000001</v>
      </c>
      <c r="J42" s="55">
        <f t="shared" si="10"/>
        <v>34613.236246</v>
      </c>
      <c r="K42" s="55">
        <f t="shared" si="10"/>
        <v>45483.456630000001</v>
      </c>
      <c r="L42" s="55">
        <f t="shared" si="10"/>
        <v>56831.680420999997</v>
      </c>
      <c r="M42" s="55">
        <f t="shared" si="10"/>
        <v>75936.463749999995</v>
      </c>
      <c r="N42" s="55">
        <f t="shared" si="10"/>
        <v>69350.225288000001</v>
      </c>
      <c r="O42" s="55">
        <f ca="1">N42*(1+O43)</f>
        <v>85298.018735599995</v>
      </c>
      <c r="P42" s="55">
        <f t="shared" ref="P42:S42" ca="1" si="11">O42*(1+P43)</f>
        <v>103742.0986440008</v>
      </c>
      <c r="Q42" s="55">
        <f t="shared" ca="1" si="11"/>
        <v>122093.76939355454</v>
      </c>
      <c r="R42" s="55">
        <f t="shared" ca="1" si="11"/>
        <v>136564.44754124456</v>
      </c>
      <c r="S42" s="55">
        <f t="shared" ca="1" si="11"/>
        <v>147408.90519312551</v>
      </c>
      <c r="T42" s="31"/>
      <c r="U42" s="31"/>
      <c r="V42" s="31"/>
      <c r="W42" s="31"/>
      <c r="X42" s="31"/>
      <c r="Y42" s="31"/>
      <c r="Z42" s="31"/>
      <c r="AA42" s="31"/>
    </row>
    <row r="43" spans="1:27 16384:16384" ht="17">
      <c r="B43" s="78" t="s">
        <v>24</v>
      </c>
      <c r="C43" s="31"/>
      <c r="D43" s="31"/>
      <c r="E43" s="87">
        <f>E23</f>
        <v>0</v>
      </c>
      <c r="F43" s="87">
        <f t="shared" ref="F43:N43" si="12">F23</f>
        <v>5.5237477949377611E-2</v>
      </c>
      <c r="G43" s="87">
        <f t="shared" si="12"/>
        <v>0.10645587750256036</v>
      </c>
      <c r="H43" s="87">
        <f t="shared" si="12"/>
        <v>9.3118341460823428E-2</v>
      </c>
      <c r="I43" s="87">
        <f t="shared" si="12"/>
        <v>6.4549902475574905E-2</v>
      </c>
      <c r="J43" s="87">
        <f t="shared" si="12"/>
        <v>1.2005281986887217E-2</v>
      </c>
      <c r="K43" s="87">
        <f t="shared" si="12"/>
        <v>0.31404807995254114</v>
      </c>
      <c r="L43" s="87">
        <f t="shared" si="12"/>
        <v>0.24950222854247461</v>
      </c>
      <c r="M43" s="87">
        <f t="shared" si="12"/>
        <v>0.33616432221385706</v>
      </c>
      <c r="N43" s="87">
        <f t="shared" si="12"/>
        <v>-8.6733541921090507E-2</v>
      </c>
      <c r="O43" s="88">
        <f ca="1">OFFSET(O43,$E$12,0)</f>
        <v>0.22996022552733544</v>
      </c>
      <c r="P43" s="88">
        <f t="shared" ref="P43:S43" ca="1" si="13">OFFSET(P43,$E$12,0)</f>
        <v>0.21623104711930405</v>
      </c>
      <c r="Q43" s="88">
        <f t="shared" ca="1" si="13"/>
        <v>0.17689704555263477</v>
      </c>
      <c r="R43" s="88">
        <f t="shared" ca="1" si="13"/>
        <v>0.11852102052026528</v>
      </c>
      <c r="S43" s="88">
        <f t="shared" ca="1" si="13"/>
        <v>7.9409083748577719E-2</v>
      </c>
      <c r="T43" s="31"/>
      <c r="U43" s="31"/>
      <c r="V43" s="31"/>
      <c r="W43" s="31"/>
      <c r="X43" s="31"/>
      <c r="Y43" s="31"/>
      <c r="Z43" s="31"/>
      <c r="AA43" s="31"/>
      <c r="XFD43" s="42"/>
    </row>
    <row r="44" spans="1:27 16384:16384" ht="17">
      <c r="B44" s="78" t="s">
        <v>11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89">
        <f>O45*(1+$J12)</f>
        <v>0.20805925166758918</v>
      </c>
      <c r="P44" s="89">
        <f t="shared" ref="P44" si="14">P45*(1+$J12)</f>
        <v>0.19563761406032268</v>
      </c>
      <c r="Q44" s="89">
        <f>Q45*(1+$J13)</f>
        <v>0.13074999019107789</v>
      </c>
      <c r="R44" s="89">
        <f>R45*(1+$J13)</f>
        <v>8.7602493428022163E-2</v>
      </c>
      <c r="S44" s="89">
        <f>S45*(1+$J13)</f>
        <v>5.8693670596774841E-2</v>
      </c>
      <c r="T44" s="31"/>
      <c r="U44" s="31"/>
      <c r="V44" s="31"/>
      <c r="W44" s="31"/>
      <c r="X44" s="31"/>
      <c r="Y44" s="31"/>
      <c r="Z44" s="31"/>
      <c r="AA44" s="31"/>
    </row>
    <row r="45" spans="1:27 16384:16384" ht="17">
      <c r="B45" s="78" t="s">
        <v>31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90">
        <f>O23</f>
        <v>0.21900973859746231</v>
      </c>
      <c r="P45" s="90">
        <f>P23</f>
        <v>0.20593433058981336</v>
      </c>
      <c r="Q45" s="90">
        <f>Q23</f>
        <v>0.15382351787185633</v>
      </c>
      <c r="R45" s="89">
        <f>Q45*(1+$O12)</f>
        <v>0.10306175697414373</v>
      </c>
      <c r="S45" s="89">
        <f>R45*(1+$O12)</f>
        <v>6.9051377172676287E-2</v>
      </c>
      <c r="T45" s="31"/>
      <c r="U45" s="31"/>
      <c r="V45" s="31"/>
      <c r="W45" s="31"/>
      <c r="X45" s="31"/>
      <c r="Y45" s="31"/>
      <c r="Z45" s="31"/>
      <c r="AA45" s="31"/>
    </row>
    <row r="46" spans="1:27 16384:16384" ht="17">
      <c r="B46" s="78" t="s">
        <v>13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89">
        <f>O45*(1+$T12)</f>
        <v>0.22996022552733544</v>
      </c>
      <c r="P46" s="89">
        <f>P45*(1+$T12)</f>
        <v>0.21623104711930405</v>
      </c>
      <c r="Q46" s="89">
        <f>Q45*(1+$T13)</f>
        <v>0.17689704555263477</v>
      </c>
      <c r="R46" s="89">
        <f t="shared" ref="R46:S46" si="15">R45*(1+$T13)</f>
        <v>0.11852102052026528</v>
      </c>
      <c r="S46" s="89">
        <f t="shared" si="15"/>
        <v>7.9409083748577719E-2</v>
      </c>
      <c r="T46" s="31"/>
      <c r="U46" s="31"/>
      <c r="V46" s="31"/>
      <c r="W46" s="31"/>
      <c r="X46" s="31"/>
      <c r="Y46" s="31"/>
      <c r="Z46" s="31"/>
      <c r="AA46" s="31"/>
    </row>
    <row r="47" spans="1:27 16384:16384" ht="17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 16384:16384" ht="17">
      <c r="B48" s="31" t="s">
        <v>19</v>
      </c>
      <c r="C48" s="31"/>
      <c r="D48" s="31"/>
      <c r="E48" s="55">
        <f>E25</f>
        <v>9828.6889300000003</v>
      </c>
      <c r="F48" s="55">
        <f t="shared" ref="F48:N48" si="16">F25</f>
        <v>10137.391540000001</v>
      </c>
      <c r="G48" s="55">
        <f t="shared" si="16"/>
        <v>11717.6266</v>
      </c>
      <c r="H48" s="55">
        <f t="shared" si="16"/>
        <v>12716.16574</v>
      </c>
      <c r="I48" s="55">
        <f t="shared" si="16"/>
        <v>12791.63787</v>
      </c>
      <c r="J48" s="55">
        <f t="shared" si="16"/>
        <v>12071.836429999999</v>
      </c>
      <c r="K48" s="55">
        <f t="shared" si="16"/>
        <v>19223.88076</v>
      </c>
      <c r="L48" s="55">
        <f t="shared" si="16"/>
        <v>23276.88034</v>
      </c>
      <c r="M48" s="55">
        <f t="shared" si="16"/>
        <v>37622.497990000003</v>
      </c>
      <c r="N48" s="55">
        <f t="shared" si="16"/>
        <v>29555.064480000001</v>
      </c>
      <c r="O48" s="55">
        <f ca="1">O49*O42</f>
        <v>36574.651110287909</v>
      </c>
      <c r="P48" s="55">
        <f t="shared" ref="P48:S48" ca="1" si="17">P49*P42</f>
        <v>46498.222547061741</v>
      </c>
      <c r="Q48" s="55">
        <f t="shared" ca="1" si="17"/>
        <v>57179.14963170643</v>
      </c>
      <c r="R48" s="55">
        <f t="shared" ca="1" si="17"/>
        <v>63956.08079853723</v>
      </c>
      <c r="S48" s="55">
        <f t="shared" ca="1" si="17"/>
        <v>69034.774574899071</v>
      </c>
      <c r="T48" s="31"/>
      <c r="U48" s="31"/>
      <c r="V48" s="31"/>
      <c r="W48" s="31"/>
      <c r="X48" s="31"/>
      <c r="Y48" s="31"/>
      <c r="Z48" s="31"/>
      <c r="AA48" s="31"/>
    </row>
    <row r="49" spans="2:27" ht="17">
      <c r="B49" s="78" t="s">
        <v>25</v>
      </c>
      <c r="C49" s="31"/>
      <c r="D49" s="31"/>
      <c r="E49" s="91">
        <f>E26</f>
        <v>0.39043943546356957</v>
      </c>
      <c r="F49" s="91">
        <f t="shared" ref="F49:N49" si="18">F26</f>
        <v>0.38162261170939077</v>
      </c>
      <c r="G49" s="91">
        <f t="shared" si="18"/>
        <v>0.39866988695458555</v>
      </c>
      <c r="H49" s="91">
        <f t="shared" si="18"/>
        <v>0.39578814067590895</v>
      </c>
      <c r="I49" s="91">
        <f t="shared" si="18"/>
        <v>0.37399580315751257</v>
      </c>
      <c r="J49" s="91">
        <f t="shared" si="18"/>
        <v>0.34876358697592325</v>
      </c>
      <c r="K49" s="91">
        <f t="shared" si="18"/>
        <v>0.42265654777258732</v>
      </c>
      <c r="L49" s="91">
        <f t="shared" si="18"/>
        <v>0.40957578884820217</v>
      </c>
      <c r="M49" s="91">
        <f t="shared" si="18"/>
        <v>0.49544706366445734</v>
      </c>
      <c r="N49" s="91">
        <f t="shared" si="18"/>
        <v>0.42617113869872392</v>
      </c>
      <c r="O49" s="88">
        <f ca="1">OFFSET(O49,$E$13,0)</f>
        <v>0.42878664302460645</v>
      </c>
      <c r="P49" s="88">
        <f t="shared" ref="P49:S49" ca="1" si="19">OFFSET(P49,$E$13,0)</f>
        <v>0.44820977361007569</v>
      </c>
      <c r="Q49" s="88">
        <f t="shared" ca="1" si="19"/>
        <v>0.46832160163223674</v>
      </c>
      <c r="R49" s="88">
        <f t="shared" ca="1" si="19"/>
        <v>0.46832160163223674</v>
      </c>
      <c r="S49" s="88">
        <f t="shared" ca="1" si="19"/>
        <v>0.46832160163223674</v>
      </c>
      <c r="T49" s="31"/>
      <c r="U49" s="31"/>
      <c r="V49" s="31"/>
      <c r="W49" s="31"/>
      <c r="X49" s="31"/>
      <c r="Y49" s="31"/>
      <c r="Z49" s="31"/>
      <c r="AA49" s="31"/>
    </row>
    <row r="50" spans="2:27" ht="17">
      <c r="B50" s="78" t="s">
        <v>11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89">
        <f>O51*(1+$J14)</f>
        <v>0.40787022141365009</v>
      </c>
      <c r="P50" s="89">
        <f>P51*(1+J14)</f>
        <v>0.42634588221446224</v>
      </c>
      <c r="Q50" s="89">
        <f>Q51*(1+$J15)</f>
        <v>0.42817975006375925</v>
      </c>
      <c r="R50" s="89">
        <f t="shared" ref="R50:S50" si="20">R51*(1+$J15)</f>
        <v>0.42817975006375925</v>
      </c>
      <c r="S50" s="89">
        <f t="shared" si="20"/>
        <v>0.42817975006375925</v>
      </c>
      <c r="T50" s="31"/>
      <c r="U50" s="31"/>
      <c r="V50" s="31"/>
      <c r="W50" s="31"/>
      <c r="X50" s="31"/>
      <c r="Y50" s="31"/>
      <c r="Z50" s="31"/>
      <c r="AA50" s="31"/>
    </row>
    <row r="51" spans="2:27" ht="17">
      <c r="B51" s="78" t="s">
        <v>31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90">
        <f>O26</f>
        <v>0.4183284322191283</v>
      </c>
      <c r="P51" s="90">
        <f t="shared" ref="P51:Q51" si="21">P26</f>
        <v>0.43727782791226899</v>
      </c>
      <c r="Q51" s="90">
        <f t="shared" si="21"/>
        <v>0.44602057298308256</v>
      </c>
      <c r="R51" s="89">
        <f>Q51*(1+$O14)</f>
        <v>0.44602057298308256</v>
      </c>
      <c r="S51" s="89">
        <f>R51*(1+$O14)</f>
        <v>0.44602057298308256</v>
      </c>
      <c r="T51" s="31"/>
      <c r="U51" s="31"/>
      <c r="V51" s="31"/>
      <c r="W51" s="31"/>
      <c r="X51" s="31"/>
      <c r="Y51" s="31"/>
      <c r="Z51" s="31"/>
      <c r="AA51" s="31"/>
    </row>
    <row r="52" spans="2:27" ht="17">
      <c r="B52" s="78" t="s">
        <v>13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89">
        <f>O51*(1+$T14)</f>
        <v>0.42878664302460645</v>
      </c>
      <c r="P52" s="89">
        <f>P51*(1+$T14)</f>
        <v>0.44820977361007569</v>
      </c>
      <c r="Q52" s="89">
        <f>Q51*(1+$T15)</f>
        <v>0.46832160163223674</v>
      </c>
      <c r="R52" s="89">
        <f t="shared" ref="R52:S52" si="22">R51*(1+$T15)</f>
        <v>0.46832160163223674</v>
      </c>
      <c r="S52" s="89">
        <f t="shared" si="22"/>
        <v>0.46832160163223674</v>
      </c>
      <c r="T52" s="31"/>
      <c r="U52" s="31"/>
      <c r="V52" s="31"/>
      <c r="W52" s="31"/>
      <c r="X52" s="31"/>
      <c r="Y52" s="31"/>
      <c r="Z52" s="31"/>
      <c r="AA52" s="31"/>
    </row>
    <row r="53" spans="2:27" ht="17">
      <c r="B53" s="78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2:27" ht="17">
      <c r="B54" s="31" t="s">
        <v>26</v>
      </c>
      <c r="C54" s="31"/>
      <c r="D54" s="31"/>
      <c r="E54" s="55">
        <f>E28</f>
        <v>1264.4426289999999</v>
      </c>
      <c r="F54" s="55">
        <f t="shared" ref="F54:N54" si="23">F28</f>
        <v>1381.6415959999999</v>
      </c>
      <c r="G54" s="55">
        <f t="shared" si="23"/>
        <v>1600.6157109999999</v>
      </c>
      <c r="H54" s="55">
        <f t="shared" si="23"/>
        <v>1741.6654140000001</v>
      </c>
      <c r="I54" s="55">
        <f t="shared" si="23"/>
        <v>1536.2852499999999</v>
      </c>
      <c r="J54" s="55">
        <f t="shared" si="23"/>
        <v>1439.586849</v>
      </c>
      <c r="K54" s="55">
        <f t="shared" si="23"/>
        <v>2262.5297999999998</v>
      </c>
      <c r="L54" s="55">
        <f t="shared" si="23"/>
        <v>2364.7963070000001</v>
      </c>
      <c r="M54" s="55">
        <f t="shared" si="23"/>
        <v>4269.625454</v>
      </c>
      <c r="N54" s="55">
        <f t="shared" si="23"/>
        <v>4536.3479139999999</v>
      </c>
      <c r="O54" s="55">
        <f ca="1">O55*O48</f>
        <v>4295.245036080596</v>
      </c>
      <c r="P54" s="55">
        <f t="shared" ref="P54:S54" ca="1" si="24">P55*P48</f>
        <v>5460.647019696632</v>
      </c>
      <c r="Q54" s="55">
        <f t="shared" ca="1" si="24"/>
        <v>6714.9911528154935</v>
      </c>
      <c r="R54" s="55">
        <f t="shared" ca="1" si="24"/>
        <v>7510.8587570317395</v>
      </c>
      <c r="S54" s="55">
        <f t="shared" ca="1" si="24"/>
        <v>8107.2891690926099</v>
      </c>
      <c r="T54" s="58"/>
      <c r="U54" s="31"/>
      <c r="V54" s="31"/>
      <c r="W54" s="31"/>
      <c r="X54" s="31"/>
      <c r="Y54" s="31"/>
      <c r="Z54" s="31"/>
      <c r="AA54" s="31"/>
    </row>
    <row r="55" spans="2:27" ht="17">
      <c r="B55" s="78" t="s">
        <v>27</v>
      </c>
      <c r="C55" s="31"/>
      <c r="D55" s="31"/>
      <c r="E55" s="91">
        <f>E29</f>
        <v>0.12851568159902213</v>
      </c>
      <c r="F55" s="91">
        <f t="shared" ref="F55:N55" si="25">F29</f>
        <v>0.12669116827358923</v>
      </c>
      <c r="G55" s="91">
        <f t="shared" si="25"/>
        <v>0.13497001989520022</v>
      </c>
      <c r="H55" s="91">
        <f t="shared" si="25"/>
        <v>0.1347744482688078</v>
      </c>
      <c r="I55" s="91">
        <f t="shared" si="25"/>
        <v>0.11744344152384247</v>
      </c>
      <c r="J55" s="91">
        <f t="shared" si="25"/>
        <v>0.11499069480103527</v>
      </c>
      <c r="K55" s="91">
        <f t="shared" si="25"/>
        <v>0.1146264462085046</v>
      </c>
      <c r="L55" s="91">
        <f t="shared" si="25"/>
        <v>0.10045756103535254</v>
      </c>
      <c r="M55" s="91">
        <f t="shared" si="25"/>
        <v>0.11201254741460753</v>
      </c>
      <c r="N55" s="91">
        <f t="shared" si="25"/>
        <v>0.14510154191524635</v>
      </c>
      <c r="O55" s="92">
        <f>AVERAGE(J55:N55)</f>
        <v>0.11743775827494926</v>
      </c>
      <c r="P55" s="91">
        <f>O55</f>
        <v>0.11743775827494926</v>
      </c>
      <c r="Q55" s="91">
        <f>P55</f>
        <v>0.11743775827494926</v>
      </c>
      <c r="R55" s="91">
        <f>Q55</f>
        <v>0.11743775827494926</v>
      </c>
      <c r="S55" s="91">
        <f>R55</f>
        <v>0.11743775827494926</v>
      </c>
      <c r="T55" s="58" t="s">
        <v>200</v>
      </c>
      <c r="U55" s="31"/>
      <c r="V55" s="31"/>
      <c r="W55" s="31"/>
      <c r="X55" s="31"/>
      <c r="Y55" s="31"/>
      <c r="Z55" s="31"/>
      <c r="AA55" s="31"/>
    </row>
    <row r="56" spans="2:27" ht="17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58"/>
      <c r="U56" s="31"/>
      <c r="V56" s="31"/>
      <c r="W56" s="31"/>
      <c r="X56" s="31"/>
      <c r="Y56" s="31"/>
      <c r="Z56" s="31"/>
      <c r="AA56" s="31"/>
    </row>
    <row r="57" spans="2:27" ht="17">
      <c r="B57" s="43" t="s">
        <v>32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5">
        <f ca="1">O48-O54</f>
        <v>32279.406074207312</v>
      </c>
      <c r="P57" s="45">
        <f ca="1">P48-P54</f>
        <v>41037.575527365108</v>
      </c>
      <c r="Q57" s="45">
        <f t="shared" ref="P57:S57" ca="1" si="26">Q48-Q54</f>
        <v>50464.158478890939</v>
      </c>
      <c r="R57" s="45">
        <f t="shared" ca="1" si="26"/>
        <v>56445.222041505491</v>
      </c>
      <c r="S57" s="46">
        <f ca="1">S48-S54</f>
        <v>60927.485405806459</v>
      </c>
      <c r="T57" s="58"/>
      <c r="U57" s="31"/>
      <c r="V57" s="31"/>
      <c r="W57" s="31"/>
      <c r="X57" s="31"/>
      <c r="Y57" s="31"/>
      <c r="Z57" s="31"/>
      <c r="AA57" s="31"/>
    </row>
    <row r="58" spans="2:27" ht="17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58"/>
      <c r="U58" s="31"/>
      <c r="V58" s="31"/>
      <c r="W58" s="31"/>
      <c r="X58" s="31"/>
      <c r="Y58" s="31"/>
      <c r="Z58" s="31"/>
      <c r="AA58" s="31"/>
    </row>
    <row r="59" spans="2:27" ht="17">
      <c r="B59" s="31" t="s">
        <v>28</v>
      </c>
      <c r="C59" s="31"/>
      <c r="D59" s="31"/>
      <c r="E59" s="55">
        <f>E32</f>
        <v>6608.2603520000002</v>
      </c>
      <c r="F59" s="55">
        <f t="shared" ref="F59:N59" si="27">F32</f>
        <v>7007.1511689999998</v>
      </c>
      <c r="G59" s="55">
        <f t="shared" si="27"/>
        <v>6940.2425489999996</v>
      </c>
      <c r="H59" s="55">
        <f t="shared" si="27"/>
        <v>8550.9376709999997</v>
      </c>
      <c r="I59" s="55">
        <f t="shared" si="27"/>
        <v>9701.5921080000007</v>
      </c>
      <c r="J59" s="55">
        <f t="shared" si="27"/>
        <v>9280.4631320000008</v>
      </c>
      <c r="K59" s="55">
        <f t="shared" si="27"/>
        <v>11266.093676</v>
      </c>
      <c r="L59" s="55">
        <f t="shared" si="27"/>
        <v>15122.327587</v>
      </c>
      <c r="M59" s="55">
        <f t="shared" si="27"/>
        <v>14666.580223000001</v>
      </c>
      <c r="N59" s="55">
        <f t="shared" si="27"/>
        <v>17073.112990000001</v>
      </c>
      <c r="O59" s="55">
        <f ca="1">O60*O42</f>
        <v>20324.724322522732</v>
      </c>
      <c r="P59" s="55">
        <f t="shared" ref="P59:S59" ca="1" si="28">P60*P42</f>
        <v>24719.560745193012</v>
      </c>
      <c r="Q59" s="55">
        <f t="shared" ca="1" si="28"/>
        <v>29092.378008376541</v>
      </c>
      <c r="R59" s="55">
        <f t="shared" ca="1" si="28"/>
        <v>32540.436339290656</v>
      </c>
      <c r="S59" s="55">
        <f t="shared" ca="1" si="28"/>
        <v>35124.442573772649</v>
      </c>
      <c r="T59" s="58"/>
      <c r="U59" s="31"/>
      <c r="V59" s="31"/>
      <c r="W59" s="31"/>
      <c r="X59" s="31"/>
      <c r="Y59" s="31"/>
      <c r="Z59" s="31"/>
      <c r="AA59" s="31"/>
    </row>
    <row r="60" spans="2:27" ht="17">
      <c r="B60" s="31" t="s">
        <v>25</v>
      </c>
      <c r="C60" s="31"/>
      <c r="D60" s="31"/>
      <c r="E60" s="91">
        <f>E33</f>
        <v>0.26250962459050675</v>
      </c>
      <c r="F60" s="91">
        <f t="shared" ref="F60:N60" si="29">F33</f>
        <v>0.26378455633334358</v>
      </c>
      <c r="G60" s="91">
        <f t="shared" si="29"/>
        <v>0.23612851022639983</v>
      </c>
      <c r="H60" s="91">
        <f t="shared" si="29"/>
        <v>0.266146241802655</v>
      </c>
      <c r="I60" s="91">
        <f t="shared" si="29"/>
        <v>0.28365051991094598</v>
      </c>
      <c r="J60" s="91">
        <f t="shared" si="29"/>
        <v>0.26811890879092465</v>
      </c>
      <c r="K60" s="91">
        <f t="shared" si="29"/>
        <v>0.24769651452939714</v>
      </c>
      <c r="L60" s="91">
        <f t="shared" si="29"/>
        <v>0.26608974915005534</v>
      </c>
      <c r="M60" s="91">
        <f t="shared" si="29"/>
        <v>0.19314278672872756</v>
      </c>
      <c r="N60" s="91">
        <f t="shared" si="29"/>
        <v>0.24618684249543804</v>
      </c>
      <c r="O60" s="91">
        <f>AVERAGE(K60:N60)</f>
        <v>0.23827897322590452</v>
      </c>
      <c r="P60" s="91">
        <f>O60</f>
        <v>0.23827897322590452</v>
      </c>
      <c r="Q60" s="91">
        <f>P60</f>
        <v>0.23827897322590452</v>
      </c>
      <c r="R60" s="91">
        <f>Q60</f>
        <v>0.23827897322590452</v>
      </c>
      <c r="S60" s="91">
        <f>R60</f>
        <v>0.23827897322590452</v>
      </c>
      <c r="T60" s="58" t="s">
        <v>200</v>
      </c>
      <c r="U60" s="31"/>
      <c r="V60" s="31"/>
      <c r="W60" s="31"/>
      <c r="X60" s="31"/>
      <c r="Y60" s="31"/>
      <c r="Z60" s="31"/>
      <c r="AA60" s="31"/>
    </row>
    <row r="61" spans="2:27" ht="17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58"/>
      <c r="U61" s="31"/>
      <c r="V61" s="31"/>
      <c r="W61" s="31"/>
      <c r="X61" s="31"/>
      <c r="Y61" s="31"/>
      <c r="Z61" s="31"/>
      <c r="AA61" s="31"/>
    </row>
    <row r="62" spans="2:27" ht="17">
      <c r="B62" s="31" t="s">
        <v>29</v>
      </c>
      <c r="C62" s="31"/>
      <c r="D62" s="31"/>
      <c r="E62" s="55">
        <f>E35</f>
        <v>9649.1251140000004</v>
      </c>
      <c r="F62" s="55">
        <f t="shared" ref="F62:N62" si="30">F35</f>
        <v>8244.6346150000008</v>
      </c>
      <c r="G62" s="55">
        <f t="shared" si="30"/>
        <v>10328.228477000001</v>
      </c>
      <c r="H62" s="55">
        <f t="shared" si="30"/>
        <v>11084.333108999999</v>
      </c>
      <c r="I62" s="55">
        <f t="shared" si="30"/>
        <v>10774.847029</v>
      </c>
      <c r="J62" s="55">
        <f t="shared" si="30"/>
        <v>15132.994289</v>
      </c>
      <c r="K62" s="55">
        <f t="shared" si="30"/>
        <v>17698.769023000001</v>
      </c>
      <c r="L62" s="55">
        <f t="shared" si="30"/>
        <v>30411.014291</v>
      </c>
      <c r="M62" s="55">
        <f t="shared" si="30"/>
        <v>36548.742499</v>
      </c>
      <c r="N62" s="55">
        <f t="shared" si="30"/>
        <v>29124.675497</v>
      </c>
      <c r="O62" s="55">
        <f>O35</f>
        <v>29319.7</v>
      </c>
      <c r="P62" s="55">
        <f t="shared" ref="P62:Q62" si="31">P35</f>
        <v>33180</v>
      </c>
      <c r="Q62" s="55">
        <f t="shared" si="31"/>
        <v>32099.3</v>
      </c>
      <c r="R62" s="55">
        <f ca="1">R42*R63</f>
        <v>43025.263114547488</v>
      </c>
      <c r="S62" s="55">
        <f ca="1">S42*S63</f>
        <v>46441.859836515185</v>
      </c>
      <c r="T62" s="58"/>
      <c r="U62" s="31"/>
      <c r="V62" s="31"/>
      <c r="W62" s="31"/>
      <c r="X62" s="31"/>
      <c r="Y62" s="31"/>
      <c r="Z62" s="31"/>
      <c r="AA62" s="31"/>
    </row>
    <row r="63" spans="2:27" ht="17">
      <c r="B63" s="58" t="s">
        <v>25</v>
      </c>
      <c r="C63" s="31"/>
      <c r="D63" s="31"/>
      <c r="E63" s="91">
        <f>E36</f>
        <v>0.38330635846336747</v>
      </c>
      <c r="F63" s="91">
        <f t="shared" ref="F63:N63" si="32">F36</f>
        <v>0.31036968257082315</v>
      </c>
      <c r="G63" s="91">
        <f t="shared" si="32"/>
        <v>0.35139826689533882</v>
      </c>
      <c r="H63" s="91">
        <f t="shared" si="32"/>
        <v>0.34499767316209318</v>
      </c>
      <c r="I63" s="91">
        <f t="shared" si="32"/>
        <v>0.31502983507382493</v>
      </c>
      <c r="J63" s="91">
        <f t="shared" si="32"/>
        <v>0.43720252511057267</v>
      </c>
      <c r="K63" s="91">
        <f t="shared" si="32"/>
        <v>0.38912541689556279</v>
      </c>
      <c r="L63" s="91">
        <f t="shared" si="32"/>
        <v>0.53510672332262688</v>
      </c>
      <c r="M63" s="91">
        <f t="shared" si="32"/>
        <v>0.48130688070130212</v>
      </c>
      <c r="N63" s="91">
        <f t="shared" si="32"/>
        <v>0.41996511728765185</v>
      </c>
      <c r="O63" s="91">
        <f>O36</f>
        <v>0.34682026908418168</v>
      </c>
      <c r="P63" s="91">
        <f t="shared" ref="P63:Q63" si="33">P36</f>
        <v>0.32546003845097499</v>
      </c>
      <c r="Q63" s="91">
        <f t="shared" si="33"/>
        <v>0.27288361812462808</v>
      </c>
      <c r="R63" s="92">
        <f>AVERAGE(O63:Q63)</f>
        <v>0.31505464188659493</v>
      </c>
      <c r="S63" s="92">
        <f>R63</f>
        <v>0.31505464188659493</v>
      </c>
      <c r="T63" s="58" t="s">
        <v>200</v>
      </c>
      <c r="U63" s="31"/>
      <c r="V63" s="31"/>
      <c r="W63" s="31"/>
      <c r="X63" s="31"/>
      <c r="Y63" s="31"/>
      <c r="Z63" s="31"/>
      <c r="AA63" s="31"/>
    </row>
    <row r="64" spans="2:27" ht="17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58"/>
      <c r="U64" s="31"/>
      <c r="V64" s="31"/>
      <c r="W64" s="31"/>
      <c r="X64" s="31"/>
      <c r="Y64" s="31"/>
      <c r="Z64" s="31"/>
      <c r="AA64" s="31"/>
    </row>
    <row r="65" spans="2:27" ht="17">
      <c r="B65" s="31" t="s">
        <v>30</v>
      </c>
      <c r="C65" s="31"/>
      <c r="D65" s="31"/>
      <c r="E65" s="82">
        <f>E38</f>
        <v>1639.0557510000001</v>
      </c>
      <c r="F65" s="82">
        <f t="shared" ref="F65:N65" si="34">F38</f>
        <v>-738.60235799999998</v>
      </c>
      <c r="G65" s="82">
        <f t="shared" si="34"/>
        <v>466.957874</v>
      </c>
      <c r="H65" s="82">
        <f t="shared" si="34"/>
        <v>-327.99786599999999</v>
      </c>
      <c r="I65" s="82">
        <f t="shared" si="34"/>
        <v>2044.9636800000001</v>
      </c>
      <c r="J65" s="82">
        <f t="shared" si="34"/>
        <v>-350.08531799999997</v>
      </c>
      <c r="K65" s="82">
        <f t="shared" si="34"/>
        <v>962.37454500000001</v>
      </c>
      <c r="L65" s="82">
        <f t="shared" si="34"/>
        <v>-4742.4832290000004</v>
      </c>
      <c r="M65" s="82">
        <f t="shared" si="34"/>
        <v>-4154.6672550000003</v>
      </c>
      <c r="N65" s="82">
        <f t="shared" si="34"/>
        <v>1833.1521660000001</v>
      </c>
      <c r="O65" s="82">
        <f ca="1">O66*O42</f>
        <v>-1717.6028840994675</v>
      </c>
      <c r="P65" s="82">
        <f t="shared" ref="P65:S65" ca="1" si="35">P66*P42</f>
        <v>-2089.0019542634318</v>
      </c>
      <c r="Q65" s="82">
        <f t="shared" ca="1" si="35"/>
        <v>-2458.5402281263132</v>
      </c>
      <c r="R65" s="82">
        <f t="shared" ca="1" si="35"/>
        <v>-2749.9289249539702</v>
      </c>
      <c r="S65" s="82">
        <f t="shared" ca="1" si="35"/>
        <v>-2968.2982612582764</v>
      </c>
      <c r="T65" s="58"/>
      <c r="U65" s="31"/>
      <c r="V65" s="31"/>
      <c r="W65" s="31"/>
      <c r="X65" s="31"/>
      <c r="Y65" s="31"/>
      <c r="Z65" s="31"/>
      <c r="AA65" s="31"/>
    </row>
    <row r="66" spans="2:27" ht="17">
      <c r="B66" s="58" t="s">
        <v>25</v>
      </c>
      <c r="C66" s="31"/>
      <c r="D66" s="31"/>
      <c r="E66" s="91">
        <f>E39</f>
        <v>6.5110617160793291E-2</v>
      </c>
      <c r="F66" s="91">
        <f t="shared" ref="F66:N66" si="36">F39</f>
        <v>-2.7804722720088843E-2</v>
      </c>
      <c r="G66" s="91">
        <f t="shared" si="36"/>
        <v>1.5887350672202989E-2</v>
      </c>
      <c r="H66" s="91">
        <f t="shared" si="36"/>
        <v>-1.0208868631009674E-2</v>
      </c>
      <c r="I66" s="91">
        <f t="shared" si="36"/>
        <v>5.9789672104714024E-2</v>
      </c>
      <c r="J66" s="91">
        <f t="shared" si="36"/>
        <v>-1.0114203581309355E-2</v>
      </c>
      <c r="K66" s="91">
        <f t="shared" si="36"/>
        <v>2.1158782034284451E-2</v>
      </c>
      <c r="L66" s="91">
        <f t="shared" si="36"/>
        <v>-8.3447879666208064E-2</v>
      </c>
      <c r="M66" s="91">
        <f t="shared" si="36"/>
        <v>-5.4712414166112659E-2</v>
      </c>
      <c r="N66" s="91">
        <f t="shared" si="36"/>
        <v>2.6433254663373085E-2</v>
      </c>
      <c r="O66" s="92">
        <f>AVERAGE(J66:N66)</f>
        <v>-2.0136492143194511E-2</v>
      </c>
      <c r="P66" s="92">
        <f>O66</f>
        <v>-2.0136492143194511E-2</v>
      </c>
      <c r="Q66" s="92">
        <f>P66</f>
        <v>-2.0136492143194511E-2</v>
      </c>
      <c r="R66" s="92">
        <f>Q66</f>
        <v>-2.0136492143194511E-2</v>
      </c>
      <c r="S66" s="92">
        <f>R66</f>
        <v>-2.0136492143194511E-2</v>
      </c>
      <c r="T66" s="58" t="s">
        <v>200</v>
      </c>
      <c r="U66" s="31"/>
      <c r="V66" s="31"/>
      <c r="W66" s="31"/>
      <c r="X66" s="31"/>
      <c r="Y66" s="31"/>
      <c r="Z66" s="31"/>
      <c r="AA66" s="31"/>
    </row>
    <row r="67" spans="2:27" ht="17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2:27" ht="17">
      <c r="B68" s="47" t="s">
        <v>33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9">
        <f ca="1">O57+O59-O62-O65</f>
        <v>25002.033280829513</v>
      </c>
      <c r="P68" s="49">
        <f t="shared" ref="P68:S68" ca="1" si="37">P57+P59-P62-P65</f>
        <v>34666.13822682156</v>
      </c>
      <c r="Q68" s="49">
        <f t="shared" ca="1" si="37"/>
        <v>49915.776715393797</v>
      </c>
      <c r="R68" s="49">
        <f t="shared" ca="1" si="37"/>
        <v>48710.324191202628</v>
      </c>
      <c r="S68" s="50">
        <f t="shared" ca="1" si="37"/>
        <v>52578.366404322202</v>
      </c>
      <c r="T68" s="31"/>
      <c r="U68" s="31"/>
      <c r="V68" s="31"/>
      <c r="W68" s="31"/>
      <c r="X68" s="31"/>
      <c r="Y68" s="31"/>
      <c r="Z68" s="31"/>
      <c r="AA68" s="31"/>
    </row>
    <row r="69" spans="2:27" ht="17">
      <c r="B69" s="51" t="s">
        <v>34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52">
        <f ca="1">O68/(1+wacc)^O71</f>
        <v>24400.41418241389</v>
      </c>
      <c r="P69" s="52">
        <f ca="1">P68/(1+wacc)^P71</f>
        <v>31481.314681003078</v>
      </c>
      <c r="Q69" s="52">
        <f ca="1">Q68/(1+wacc)^Q71</f>
        <v>41209.044453020266</v>
      </c>
      <c r="R69" s="52">
        <f ca="1">R68/(1+wacc)^R71</f>
        <v>36558.051964601575</v>
      </c>
      <c r="S69" s="53">
        <f ca="1">S68/(1+wacc)^S71</f>
        <v>35873.721249766786</v>
      </c>
      <c r="T69" s="31"/>
      <c r="U69" s="31"/>
      <c r="V69" s="31"/>
      <c r="W69" s="31"/>
      <c r="X69" s="31"/>
      <c r="Y69" s="31"/>
      <c r="Z69" s="31"/>
      <c r="AA69" s="31"/>
    </row>
    <row r="70" spans="2:27" ht="17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2:27" ht="17">
      <c r="B71" s="31" t="s">
        <v>35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54">
        <f>O72/2</f>
        <v>0.25555555555555554</v>
      </c>
      <c r="P71" s="54">
        <f>O72+0.5</f>
        <v>1.0111111111111111</v>
      </c>
      <c r="Q71" s="54">
        <f>P71+1</f>
        <v>2.0111111111111111</v>
      </c>
      <c r="R71" s="54">
        <f t="shared" ref="R71:S71" si="38">Q71+1</f>
        <v>3.0111111111111111</v>
      </c>
      <c r="S71" s="54">
        <f t="shared" si="38"/>
        <v>4.0111111111111111</v>
      </c>
      <c r="T71" s="31"/>
      <c r="U71" s="31"/>
      <c r="V71" s="31"/>
      <c r="W71" s="31"/>
      <c r="X71" s="31"/>
      <c r="Y71" s="31"/>
      <c r="Z71" s="31"/>
      <c r="AA71" s="31"/>
    </row>
    <row r="72" spans="2:27" ht="17">
      <c r="B72" s="31" t="s">
        <v>36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54">
        <f>YEARFRAC(D5,D6)</f>
        <v>0.51111111111111107</v>
      </c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2:27" ht="17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2:27" ht="17">
      <c r="B74" s="31" t="s">
        <v>37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82">
        <f ca="1">(S68*(1+tgr))/(wacc-tgr)</f>
        <v>773653.10566359805</v>
      </c>
      <c r="T74" s="31"/>
      <c r="U74" s="31"/>
      <c r="V74" s="31"/>
      <c r="W74" s="31"/>
      <c r="X74" s="31"/>
      <c r="Y74" s="31"/>
      <c r="Z74" s="31"/>
      <c r="AA74" s="31"/>
    </row>
    <row r="75" spans="2:27" ht="17">
      <c r="B75" s="31" t="s">
        <v>38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82">
        <f ca="1">S74/(1+wacc)^S71</f>
        <v>527856.18410371128</v>
      </c>
      <c r="T75" s="31"/>
      <c r="U75" s="31"/>
      <c r="V75" s="31"/>
      <c r="W75" s="31"/>
      <c r="X75" s="31"/>
      <c r="Y75" s="31"/>
      <c r="Z75" s="31"/>
      <c r="AA75" s="31"/>
    </row>
    <row r="76" spans="2:27" ht="17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2:27" ht="17">
      <c r="B77" s="31" t="s">
        <v>39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55">
        <f ca="1">SUM(O69:S69,S75)</f>
        <v>697378.73063451692</v>
      </c>
      <c r="T77" s="31"/>
      <c r="U77" s="31"/>
      <c r="V77" s="31"/>
      <c r="W77" s="31"/>
      <c r="X77" s="31"/>
      <c r="Y77" s="31"/>
      <c r="Z77" s="31"/>
      <c r="AA77" s="31"/>
    </row>
    <row r="78" spans="2:27" ht="17">
      <c r="B78" s="31" t="s">
        <v>40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55">
        <f>AA16</f>
        <v>30293</v>
      </c>
      <c r="T78" s="31"/>
      <c r="U78" s="31"/>
      <c r="V78" s="31"/>
      <c r="W78" s="31"/>
      <c r="X78" s="31"/>
      <c r="Y78" s="31"/>
      <c r="Z78" s="31"/>
      <c r="AA78" s="31"/>
    </row>
    <row r="79" spans="2:27" ht="17">
      <c r="B79" s="31" t="s">
        <v>41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55">
        <v>47859</v>
      </c>
      <c r="T79" s="31"/>
      <c r="U79" s="31"/>
      <c r="V79" s="31"/>
      <c r="W79" s="31"/>
      <c r="X79" s="31"/>
      <c r="Y79" s="31"/>
      <c r="Z79" s="31"/>
      <c r="AA79" s="31"/>
    </row>
    <row r="80" spans="2:27" ht="17">
      <c r="B80" s="31" t="s">
        <v>42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55">
        <f ca="1">S77-S78+S79</f>
        <v>714944.73063451692</v>
      </c>
      <c r="T80" s="31"/>
      <c r="U80" s="31"/>
      <c r="V80" s="31"/>
      <c r="W80" s="31"/>
      <c r="X80" s="31"/>
      <c r="Y80" s="31"/>
      <c r="Z80" s="31"/>
      <c r="AA80" s="31"/>
    </row>
    <row r="81" spans="2:27" ht="17">
      <c r="B81" s="31" t="s">
        <v>43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55">
        <v>5186</v>
      </c>
      <c r="T81" s="31"/>
      <c r="U81" s="31"/>
      <c r="V81" s="31"/>
      <c r="W81" s="31"/>
      <c r="X81" s="31"/>
      <c r="Y81" s="31"/>
      <c r="Z81" s="31"/>
      <c r="AA81" s="31"/>
    </row>
    <row r="82" spans="2:27" ht="26">
      <c r="B82" s="31" t="s">
        <v>44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93">
        <f ca="1">S80/S81</f>
        <v>137.86053425270285</v>
      </c>
      <c r="T82" s="31"/>
      <c r="U82" s="31"/>
      <c r="V82" s="31"/>
      <c r="W82" s="31"/>
      <c r="X82" s="31"/>
      <c r="Y82" s="31"/>
      <c r="Z82" s="31"/>
      <c r="AA82" s="31"/>
    </row>
    <row r="83" spans="2:27" ht="17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2:27" ht="17">
      <c r="B84" s="31"/>
      <c r="C84" s="31"/>
      <c r="D84" s="31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31"/>
      <c r="U84" s="31"/>
      <c r="V84" s="31"/>
      <c r="W84" s="31"/>
      <c r="X84" s="31"/>
      <c r="Y84" s="31"/>
      <c r="Z84" s="31"/>
      <c r="AA84" s="31"/>
    </row>
    <row r="85" spans="2:27" ht="17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D1B8-E408-4E48-8718-A91C3C5634A3}">
  <dimension ref="A1:Q70"/>
  <sheetViews>
    <sheetView topLeftCell="A45" workbookViewId="0">
      <selection activeCell="O17" sqref="O17"/>
    </sheetView>
  </sheetViews>
  <sheetFormatPr baseColWidth="10" defaultRowHeight="16"/>
  <cols>
    <col min="1" max="1" width="54" bestFit="1" customWidth="1"/>
  </cols>
  <sheetData>
    <row r="1" spans="1:12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4" t="s">
        <v>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 t="s">
        <v>50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  <c r="H4" s="4" t="s">
        <v>57</v>
      </c>
      <c r="I4" s="4" t="s">
        <v>58</v>
      </c>
      <c r="J4" s="4" t="s">
        <v>59</v>
      </c>
      <c r="K4" s="4" t="s">
        <v>60</v>
      </c>
      <c r="L4" s="4" t="s">
        <v>61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62</v>
      </c>
    </row>
    <row r="6" spans="1:12">
      <c r="A6" s="5" t="s">
        <v>63</v>
      </c>
      <c r="B6" s="57">
        <v>25173.402165</v>
      </c>
      <c r="C6" s="57">
        <v>26563.917411999999</v>
      </c>
      <c r="D6" s="57">
        <v>29391.80255</v>
      </c>
      <c r="E6" s="57">
        <v>32128.718455999999</v>
      </c>
      <c r="F6" s="57">
        <v>34202.624099000001</v>
      </c>
      <c r="G6" s="57">
        <v>34613.236246</v>
      </c>
      <c r="H6" s="57">
        <v>45483.456630000001</v>
      </c>
      <c r="I6" s="57">
        <v>56831.680420999997</v>
      </c>
      <c r="J6" s="57">
        <v>75936.463749999995</v>
      </c>
      <c r="K6" s="57">
        <v>69350.225288000001</v>
      </c>
      <c r="L6" s="6">
        <v>71388.648853000006</v>
      </c>
    </row>
    <row r="7" spans="1:12">
      <c r="A7" s="7" t="s">
        <v>64</v>
      </c>
      <c r="B7" s="8">
        <v>13207.983920999999</v>
      </c>
      <c r="C7" s="8">
        <v>14166.841462</v>
      </c>
      <c r="D7" s="8">
        <v>15236.836669</v>
      </c>
      <c r="E7" s="8">
        <v>16587.551604</v>
      </c>
      <c r="F7" s="8">
        <v>18543.045973</v>
      </c>
      <c r="G7" s="8">
        <v>19557.339830000001</v>
      </c>
      <c r="H7" s="8">
        <v>22268.453534</v>
      </c>
      <c r="I7" s="8">
        <v>28590.799951000001</v>
      </c>
      <c r="J7" s="8">
        <v>31766.907208000001</v>
      </c>
      <c r="K7" s="8">
        <v>32704.797121</v>
      </c>
      <c r="L7" s="8">
        <v>34211.575427000003</v>
      </c>
    </row>
    <row r="8" spans="1:12">
      <c r="A8" s="9" t="s">
        <v>65</v>
      </c>
      <c r="B8" s="10">
        <v>6599.7235680000003</v>
      </c>
      <c r="C8" s="10">
        <v>7159.6902920000002</v>
      </c>
      <c r="D8" s="10">
        <v>8296.5941189999994</v>
      </c>
      <c r="E8" s="10">
        <v>8036.6139329999996</v>
      </c>
      <c r="F8" s="10">
        <v>8841.4538649999995</v>
      </c>
      <c r="G8" s="10">
        <v>10276.876698</v>
      </c>
      <c r="H8" s="10">
        <v>11002.359858</v>
      </c>
      <c r="I8" s="10">
        <v>13468.472363999999</v>
      </c>
      <c r="J8" s="10">
        <v>17100.326983999999</v>
      </c>
      <c r="K8" s="10">
        <v>15631.684131</v>
      </c>
      <c r="L8" s="10">
        <v>15743.1733</v>
      </c>
    </row>
    <row r="9" spans="1:12">
      <c r="A9" s="11" t="s">
        <v>66</v>
      </c>
      <c r="B9" s="8">
        <v>6608.2603520000002</v>
      </c>
      <c r="C9" s="8">
        <v>7007.1511689999998</v>
      </c>
      <c r="D9" s="8">
        <v>6940.2425489999996</v>
      </c>
      <c r="E9" s="8">
        <v>8550.9376709999997</v>
      </c>
      <c r="F9" s="8">
        <v>9701.5921080000007</v>
      </c>
      <c r="G9" s="8">
        <v>9280.4631320000008</v>
      </c>
      <c r="H9" s="8">
        <v>11266.093676</v>
      </c>
      <c r="I9" s="8">
        <v>15122.327587</v>
      </c>
      <c r="J9" s="8">
        <v>14666.580223000001</v>
      </c>
      <c r="K9" s="8">
        <v>17073.112990000001</v>
      </c>
      <c r="L9" s="8">
        <v>18468.402127000001</v>
      </c>
    </row>
    <row r="10" spans="1:12">
      <c r="A10" s="12" t="s">
        <v>67</v>
      </c>
      <c r="B10" s="10">
        <v>6522.2513600000002</v>
      </c>
      <c r="C10" s="10">
        <v>6906.3074029999998</v>
      </c>
      <c r="D10" s="10">
        <v>6824.1708390000003</v>
      </c>
      <c r="E10" s="10">
        <v>8408.0596710000009</v>
      </c>
      <c r="F10" s="10">
        <v>9554.9668820000006</v>
      </c>
      <c r="G10" s="10">
        <v>9103.4353179999998</v>
      </c>
      <c r="H10" s="10">
        <v>11022.033028</v>
      </c>
      <c r="I10" s="10">
        <v>14828.499449000001</v>
      </c>
      <c r="J10" s="10">
        <v>14372.879365999999</v>
      </c>
      <c r="K10" s="10">
        <v>16776.100880000002</v>
      </c>
      <c r="L10" s="10">
        <v>18171.041115</v>
      </c>
    </row>
    <row r="11" spans="1:12">
      <c r="A11" s="13" t="s">
        <v>68</v>
      </c>
      <c r="B11" s="14">
        <v>86.008992000000006</v>
      </c>
      <c r="C11" s="14">
        <v>100.843766</v>
      </c>
      <c r="D11" s="14">
        <v>116.07171</v>
      </c>
      <c r="E11" s="14">
        <v>142.87800100000001</v>
      </c>
      <c r="F11" s="14">
        <v>146.625227</v>
      </c>
      <c r="G11" s="14">
        <v>177.02781400000001</v>
      </c>
      <c r="H11" s="14">
        <v>244.06064799999999</v>
      </c>
      <c r="I11" s="14">
        <v>293.82813900000002</v>
      </c>
      <c r="J11" s="14">
        <v>293.70085799999998</v>
      </c>
      <c r="K11" s="14">
        <v>297.01211000000001</v>
      </c>
      <c r="L11" s="14">
        <v>297.36101200000002</v>
      </c>
    </row>
    <row r="12" spans="1:12">
      <c r="A12" s="5" t="s">
        <v>69</v>
      </c>
      <c r="B12" s="6">
        <v>11965.418244</v>
      </c>
      <c r="C12" s="6">
        <v>12397.07595</v>
      </c>
      <c r="D12" s="6">
        <v>14154.965881</v>
      </c>
      <c r="E12" s="6">
        <v>15541.166852</v>
      </c>
      <c r="F12" s="6">
        <v>15659.578126</v>
      </c>
      <c r="G12" s="6">
        <v>15055.896414999999</v>
      </c>
      <c r="H12" s="6">
        <v>23215.003096</v>
      </c>
      <c r="I12" s="6">
        <v>28240.88047</v>
      </c>
      <c r="J12" s="6">
        <v>44169.556541999998</v>
      </c>
      <c r="K12" s="6">
        <v>36645.428166999998</v>
      </c>
      <c r="L12" s="6">
        <v>37177.073426000003</v>
      </c>
    </row>
    <row r="13" spans="1:12">
      <c r="A13" s="7" t="s">
        <v>70</v>
      </c>
      <c r="B13" s="8">
        <v>2168.8820390000001</v>
      </c>
      <c r="C13" s="8">
        <v>2259.684409</v>
      </c>
      <c r="D13" s="8">
        <v>2437.3392789999998</v>
      </c>
      <c r="E13" s="8">
        <v>2825.001115</v>
      </c>
      <c r="F13" s="8">
        <v>2868.864071</v>
      </c>
      <c r="G13" s="8">
        <v>2984.0599830000001</v>
      </c>
      <c r="H13" s="8">
        <v>3991.1223369999998</v>
      </c>
      <c r="I13" s="8">
        <v>4964.0001300000004</v>
      </c>
      <c r="J13" s="8">
        <v>6547.0585549999996</v>
      </c>
      <c r="K13" s="8">
        <v>7090.3636850000003</v>
      </c>
      <c r="L13" s="8">
        <v>7319.3096960000003</v>
      </c>
    </row>
    <row r="14" spans="1:12">
      <c r="A14" s="9" t="s">
        <v>71</v>
      </c>
      <c r="B14" s="10">
        <v>1875.1717200000001</v>
      </c>
      <c r="C14" s="10">
        <v>2064.1315880000002</v>
      </c>
      <c r="D14" s="10">
        <v>2207.9357279999999</v>
      </c>
      <c r="E14" s="10">
        <v>2653.6907030000002</v>
      </c>
      <c r="F14" s="10">
        <v>2848.5192550000002</v>
      </c>
      <c r="G14" s="10">
        <v>2957.319297</v>
      </c>
      <c r="H14" s="10">
        <v>3718.386266</v>
      </c>
      <c r="I14" s="10">
        <v>4465.6788349999997</v>
      </c>
      <c r="J14" s="10">
        <v>5476.2146849999999</v>
      </c>
      <c r="K14" s="10">
        <v>5850.581803</v>
      </c>
      <c r="L14" s="10">
        <v>6018.7363329999998</v>
      </c>
    </row>
    <row r="15" spans="1:12">
      <c r="A15" s="15" t="s">
        <v>72</v>
      </c>
      <c r="B15" s="14">
        <v>293.71032000000002</v>
      </c>
      <c r="C15" s="14">
        <v>195.55282199999999</v>
      </c>
      <c r="D15" s="14">
        <v>229.40355</v>
      </c>
      <c r="E15" s="14">
        <v>171.31041200000001</v>
      </c>
      <c r="F15" s="14">
        <v>20.344816000000002</v>
      </c>
      <c r="G15" s="14">
        <v>26.740686</v>
      </c>
      <c r="H15" s="14">
        <v>272.73607199999998</v>
      </c>
      <c r="I15" s="14">
        <v>498.32129500000002</v>
      </c>
      <c r="J15" s="14">
        <v>1070.843869</v>
      </c>
      <c r="K15" s="14">
        <v>1239.7818810000001</v>
      </c>
      <c r="L15" s="14">
        <v>1300.573363</v>
      </c>
    </row>
    <row r="16" spans="1:12">
      <c r="A16" s="16" t="s">
        <v>73</v>
      </c>
      <c r="B16" s="17">
        <v>-32.152729999999998</v>
      </c>
      <c r="C16" s="10">
        <v>0</v>
      </c>
      <c r="D16" s="10">
        <v>0</v>
      </c>
      <c r="E16" s="10">
        <v>0</v>
      </c>
      <c r="F16" s="17">
        <v>-0.92381000000000002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</row>
    <row r="17" spans="1:12">
      <c r="A17" s="18" t="s">
        <v>74</v>
      </c>
      <c r="B17" s="8">
        <v>9828.6889300000003</v>
      </c>
      <c r="C17" s="8">
        <v>10137.391540000001</v>
      </c>
      <c r="D17" s="8">
        <v>11717.6266</v>
      </c>
      <c r="E17" s="8">
        <v>12716.16574</v>
      </c>
      <c r="F17" s="8">
        <v>12791.63787</v>
      </c>
      <c r="G17" s="8">
        <v>12071.836429999999</v>
      </c>
      <c r="H17" s="8">
        <v>19223.88076</v>
      </c>
      <c r="I17" s="8">
        <v>23276.88034</v>
      </c>
      <c r="J17" s="8">
        <v>37622.497990000003</v>
      </c>
      <c r="K17" s="8">
        <v>29555.064480000001</v>
      </c>
      <c r="L17" s="8">
        <v>29857.763729999999</v>
      </c>
    </row>
    <row r="18" spans="1:12">
      <c r="A18" s="19" t="s">
        <v>75</v>
      </c>
      <c r="B18" s="6">
        <v>234.554192</v>
      </c>
      <c r="C18" s="6">
        <v>1011.569067</v>
      </c>
      <c r="D18" s="6">
        <v>232.71565799999999</v>
      </c>
      <c r="E18" s="6">
        <v>240.14645300000001</v>
      </c>
      <c r="F18" s="6">
        <v>404.656611</v>
      </c>
      <c r="G18" s="6">
        <v>548.12034900000003</v>
      </c>
      <c r="H18" s="6">
        <v>597.57705399999998</v>
      </c>
      <c r="I18" s="6">
        <v>752.402288</v>
      </c>
      <c r="J18" s="6">
        <v>938.17156699999998</v>
      </c>
      <c r="K18" s="6">
        <v>2094.2960710000002</v>
      </c>
      <c r="L18" s="6">
        <v>2172.744087</v>
      </c>
    </row>
    <row r="19" spans="1:12">
      <c r="A19" s="15" t="s">
        <v>76</v>
      </c>
      <c r="B19" s="14">
        <v>90.111692000000005</v>
      </c>
      <c r="C19" s="14">
        <v>130.040527</v>
      </c>
      <c r="D19" s="14">
        <v>195.88658799999999</v>
      </c>
      <c r="E19" s="14">
        <v>311.10660300000001</v>
      </c>
      <c r="F19" s="14">
        <v>487.30617100000001</v>
      </c>
      <c r="G19" s="14">
        <v>523.71258899999998</v>
      </c>
      <c r="H19" s="14">
        <v>306.28452399999998</v>
      </c>
      <c r="I19" s="14">
        <v>204.381778</v>
      </c>
      <c r="J19" s="14">
        <v>752.09585700000002</v>
      </c>
      <c r="K19" s="14">
        <v>1934.2768610000001</v>
      </c>
      <c r="L19" s="14">
        <v>2099.3424970000001</v>
      </c>
    </row>
    <row r="20" spans="1:12">
      <c r="A20" s="9" t="s">
        <v>77</v>
      </c>
      <c r="B20" s="10">
        <v>144.4425</v>
      </c>
      <c r="C20" s="10">
        <v>881.52854000000002</v>
      </c>
      <c r="D20" s="10">
        <v>36.829070000000002</v>
      </c>
      <c r="E20" s="17">
        <v>-70.960149999999999</v>
      </c>
      <c r="F20" s="17">
        <v>-82.649559999999994</v>
      </c>
      <c r="G20" s="10">
        <v>24.40776</v>
      </c>
      <c r="H20" s="10">
        <v>291.29253</v>
      </c>
      <c r="I20" s="10">
        <v>548.02050999999994</v>
      </c>
      <c r="J20" s="10">
        <v>186.07570999999999</v>
      </c>
      <c r="K20" s="10">
        <v>160.01920999999999</v>
      </c>
      <c r="L20" s="10">
        <v>73.401589999999999</v>
      </c>
    </row>
    <row r="21" spans="1:12">
      <c r="A21" s="7" t="s">
        <v>78</v>
      </c>
      <c r="B21" s="8">
        <v>106.798734</v>
      </c>
      <c r="C21" s="8">
        <v>100.469987</v>
      </c>
      <c r="D21" s="8">
        <v>102.51381600000001</v>
      </c>
      <c r="E21" s="8">
        <v>109.467992</v>
      </c>
      <c r="F21" s="8">
        <v>101.186447</v>
      </c>
      <c r="G21" s="8">
        <v>105.16215699999999</v>
      </c>
      <c r="H21" s="8">
        <v>70.690748999999997</v>
      </c>
      <c r="I21" s="8">
        <v>193.83658299999999</v>
      </c>
      <c r="J21" s="8">
        <v>394.123268</v>
      </c>
      <c r="K21" s="8">
        <v>384.94912399999998</v>
      </c>
      <c r="L21" s="8">
        <v>373.45006899999998</v>
      </c>
    </row>
    <row r="22" spans="1:12">
      <c r="A22" s="9" t="s">
        <v>79</v>
      </c>
      <c r="B22" s="10">
        <v>106.798734</v>
      </c>
      <c r="C22" s="10">
        <v>100.469987</v>
      </c>
      <c r="D22" s="10">
        <v>102.51381600000001</v>
      </c>
      <c r="E22" s="10">
        <v>109.467992</v>
      </c>
      <c r="F22" s="10">
        <v>101.186447</v>
      </c>
      <c r="G22" s="10">
        <v>105.16215699999999</v>
      </c>
      <c r="H22" s="10">
        <v>70.690748999999997</v>
      </c>
      <c r="I22" s="10">
        <v>193.83658299999999</v>
      </c>
      <c r="J22" s="10">
        <v>483.57655799999998</v>
      </c>
      <c r="K22" s="10">
        <v>588.011571</v>
      </c>
      <c r="L22" s="10">
        <v>597.036698</v>
      </c>
    </row>
    <row r="23" spans="1:12">
      <c r="A23" s="15" t="s">
        <v>80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89.453289999999996</v>
      </c>
      <c r="K23" s="14">
        <v>203.06244699999999</v>
      </c>
      <c r="L23" s="14">
        <v>223.58662899999999</v>
      </c>
    </row>
    <row r="24" spans="1:12">
      <c r="A24" s="19" t="s">
        <v>81</v>
      </c>
      <c r="B24" s="6">
        <v>117.62461500000001</v>
      </c>
      <c r="C24" s="6">
        <v>142.90331900000001</v>
      </c>
      <c r="D24" s="6">
        <v>-11.217829</v>
      </c>
      <c r="E24" s="6">
        <v>-75.97193</v>
      </c>
      <c r="F24" s="6">
        <v>14.043393999999999</v>
      </c>
      <c r="G24" s="6">
        <v>-4.3648720000000001</v>
      </c>
      <c r="H24" s="6">
        <v>12.479131000000001</v>
      </c>
      <c r="I24" s="6">
        <v>295.19399800000002</v>
      </c>
      <c r="J24" s="6">
        <v>49.160755999999999</v>
      </c>
      <c r="K24" s="6">
        <v>1.146728</v>
      </c>
      <c r="L24" s="6">
        <v>-35.083505000000002</v>
      </c>
    </row>
    <row r="25" spans="1:12">
      <c r="A25" s="11" t="s">
        <v>82</v>
      </c>
      <c r="B25" s="8">
        <v>39.131425</v>
      </c>
      <c r="C25" s="8">
        <v>86.880799999999994</v>
      </c>
      <c r="D25" s="8">
        <v>3.7902930000000001</v>
      </c>
      <c r="E25" s="8">
        <v>1.4174610000000001</v>
      </c>
      <c r="F25" s="8">
        <v>13.964268000000001</v>
      </c>
      <c r="G25" s="8">
        <v>-9.6940720000000002</v>
      </c>
      <c r="H25" s="8">
        <v>0.46973100000000001</v>
      </c>
      <c r="I25" s="8">
        <v>9.7255579999999995</v>
      </c>
      <c r="J25" s="8">
        <v>28.279339</v>
      </c>
      <c r="K25" s="8">
        <v>1.146728</v>
      </c>
      <c r="L25" s="8">
        <v>1.1573910000000001</v>
      </c>
    </row>
    <row r="26" spans="1:12">
      <c r="A26" s="12" t="s">
        <v>83</v>
      </c>
      <c r="B26" s="20"/>
      <c r="C26" s="10">
        <v>0</v>
      </c>
      <c r="D26" s="10">
        <v>0</v>
      </c>
      <c r="E26" s="10">
        <v>0.44440499999999999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</row>
    <row r="27" spans="1:12">
      <c r="A27" s="13" t="s">
        <v>84</v>
      </c>
      <c r="B27" s="21"/>
      <c r="C27" s="14">
        <v>1.842724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</row>
    <row r="28" spans="1:12">
      <c r="A28" s="12" t="s">
        <v>85</v>
      </c>
      <c r="B28" s="10">
        <v>32.152726999999999</v>
      </c>
      <c r="C28" s="10">
        <v>80.165598000000003</v>
      </c>
      <c r="D28" s="10">
        <v>0</v>
      </c>
      <c r="E28" s="20"/>
      <c r="F28" s="10">
        <v>14.043293999999999</v>
      </c>
      <c r="G28" s="17">
        <v>-9.7495180000000001</v>
      </c>
      <c r="H28" s="10">
        <v>0.345022</v>
      </c>
      <c r="I28" s="10">
        <v>9.8234739999999992</v>
      </c>
      <c r="J28" s="10">
        <v>26.523358000000002</v>
      </c>
      <c r="K28" s="20"/>
      <c r="L28" s="20"/>
    </row>
    <row r="29" spans="1:12">
      <c r="A29" s="13" t="s">
        <v>86</v>
      </c>
      <c r="B29" s="14">
        <v>6.9786979999999996</v>
      </c>
      <c r="C29" s="14">
        <v>4.8724780000000001</v>
      </c>
      <c r="D29" s="14">
        <v>3.7902930000000001</v>
      </c>
      <c r="E29" s="14">
        <v>0.97305600000000003</v>
      </c>
      <c r="F29" s="22">
        <v>-7.9025999999999999E-2</v>
      </c>
      <c r="G29" s="14">
        <v>5.5446000000000002E-2</v>
      </c>
      <c r="H29" s="14">
        <v>0.124709</v>
      </c>
      <c r="I29" s="22">
        <v>-9.7917000000000004E-2</v>
      </c>
      <c r="J29" s="14">
        <v>1.755981</v>
      </c>
      <c r="K29" s="14">
        <v>1.146728</v>
      </c>
      <c r="L29" s="14">
        <v>1.1573910000000001</v>
      </c>
    </row>
    <row r="30" spans="1:12">
      <c r="A30" s="23" t="s">
        <v>87</v>
      </c>
      <c r="B30" s="6">
        <v>-78.493189000000001</v>
      </c>
      <c r="C30" s="6">
        <v>-69.565382</v>
      </c>
      <c r="D30" s="6">
        <v>15.008122</v>
      </c>
      <c r="E30" s="6">
        <v>77.389391000000003</v>
      </c>
      <c r="F30" s="6">
        <v>-7.9126000000000002E-2</v>
      </c>
      <c r="G30" s="6">
        <v>-5.3292000000000002</v>
      </c>
      <c r="H30" s="6">
        <v>-12.009399999999999</v>
      </c>
      <c r="I30" s="6">
        <v>-285.46843999999999</v>
      </c>
      <c r="J30" s="6">
        <v>-20.881416999999999</v>
      </c>
      <c r="K30" s="5"/>
      <c r="L30" s="5"/>
    </row>
    <row r="31" spans="1:12">
      <c r="A31" s="13" t="s">
        <v>88</v>
      </c>
      <c r="B31" s="22">
        <v>-78.493189000000001</v>
      </c>
      <c r="C31" s="22">
        <v>-69.565382</v>
      </c>
      <c r="D31" s="14">
        <v>15.008122</v>
      </c>
      <c r="E31" s="14">
        <v>77.389391000000003</v>
      </c>
      <c r="F31" s="22">
        <v>-7.9126000000000002E-2</v>
      </c>
      <c r="G31" s="22">
        <v>-5.3292000000000002</v>
      </c>
      <c r="H31" s="22">
        <v>-12.009399999999999</v>
      </c>
      <c r="I31" s="22">
        <v>-285.46843999999999</v>
      </c>
      <c r="J31" s="22">
        <v>-20.881416999999999</v>
      </c>
      <c r="K31" s="21"/>
      <c r="L31" s="21"/>
    </row>
    <row r="32" spans="1:12">
      <c r="A32" s="9" t="s">
        <v>89</v>
      </c>
      <c r="B32" s="20"/>
      <c r="C32" s="17">
        <v>-13.542862</v>
      </c>
      <c r="D32" s="20"/>
      <c r="E32" s="20"/>
      <c r="F32" s="20"/>
      <c r="G32" s="20"/>
      <c r="H32" s="20"/>
      <c r="I32" s="20"/>
      <c r="J32" s="20"/>
      <c r="K32" s="20"/>
      <c r="L32" s="20"/>
    </row>
    <row r="33" spans="1:12">
      <c r="A33" s="18" t="s">
        <v>90</v>
      </c>
      <c r="B33" s="8">
        <v>9838.8197710000004</v>
      </c>
      <c r="C33" s="8">
        <v>10905.587302</v>
      </c>
      <c r="D33" s="8">
        <v>11859.046270000001</v>
      </c>
      <c r="E33" s="8">
        <v>12922.816129999999</v>
      </c>
      <c r="F33" s="8">
        <v>13081.064639</v>
      </c>
      <c r="G33" s="8">
        <v>12519.159498000001</v>
      </c>
      <c r="H33" s="8">
        <v>19738.287933</v>
      </c>
      <c r="I33" s="8">
        <v>23540.252048999999</v>
      </c>
      <c r="J33" s="8">
        <v>38117.38553</v>
      </c>
      <c r="K33" s="8">
        <v>31263.264705000001</v>
      </c>
      <c r="L33" s="8">
        <v>31692.141253999998</v>
      </c>
    </row>
    <row r="34" spans="1:12">
      <c r="A34" s="19" t="s">
        <v>91</v>
      </c>
      <c r="B34" s="6">
        <v>1264.4426289999999</v>
      </c>
      <c r="C34" s="6">
        <v>1381.6415959999999</v>
      </c>
      <c r="D34" s="6">
        <v>1600.6157109999999</v>
      </c>
      <c r="E34" s="6">
        <v>1741.6654140000001</v>
      </c>
      <c r="F34" s="6">
        <v>1536.2852499999999</v>
      </c>
      <c r="G34" s="6">
        <v>1439.586849</v>
      </c>
      <c r="H34" s="6">
        <v>2262.5297999999998</v>
      </c>
      <c r="I34" s="6">
        <v>2364.7963070000001</v>
      </c>
      <c r="J34" s="6">
        <v>4269.625454</v>
      </c>
      <c r="K34" s="6">
        <v>4536.3479139999999</v>
      </c>
      <c r="L34" s="6">
        <v>4624.7201679999998</v>
      </c>
    </row>
    <row r="35" spans="1:12">
      <c r="A35" s="15" t="s">
        <v>92</v>
      </c>
      <c r="B35" s="14">
        <v>1188.5223350000001</v>
      </c>
      <c r="C35" s="14">
        <v>1420.6791109999999</v>
      </c>
      <c r="D35" s="14">
        <v>1655.652726</v>
      </c>
      <c r="E35" s="14">
        <v>1865.7270759999999</v>
      </c>
      <c r="F35" s="14">
        <v>1687.0875370000001</v>
      </c>
      <c r="G35" s="14">
        <v>1474.0409</v>
      </c>
      <c r="H35" s="14">
        <v>2475.6489999999999</v>
      </c>
      <c r="I35" s="14">
        <v>3193.6620090000001</v>
      </c>
      <c r="J35" s="14">
        <v>4941.7417509999996</v>
      </c>
      <c r="K35" s="14">
        <v>4403.661994</v>
      </c>
      <c r="L35" s="21"/>
    </row>
    <row r="36" spans="1:12">
      <c r="A36" s="9" t="s">
        <v>93</v>
      </c>
      <c r="B36" s="10">
        <v>75.920293999999998</v>
      </c>
      <c r="C36" s="17">
        <v>-39.037514999999999</v>
      </c>
      <c r="D36" s="17">
        <v>-55.037014999999997</v>
      </c>
      <c r="E36" s="17">
        <v>-124.061663</v>
      </c>
      <c r="F36" s="17">
        <v>-150.80228700000001</v>
      </c>
      <c r="G36" s="17">
        <v>-34.454051</v>
      </c>
      <c r="H36" s="17">
        <v>-213.11920000000001</v>
      </c>
      <c r="I36" s="17">
        <v>-828.86570300000005</v>
      </c>
      <c r="J36" s="17">
        <v>-672.11629600000003</v>
      </c>
      <c r="K36" s="10">
        <v>132.68591900000001</v>
      </c>
      <c r="L36" s="20"/>
    </row>
    <row r="37" spans="1:12">
      <c r="A37" s="24" t="s">
        <v>94</v>
      </c>
      <c r="B37" s="14">
        <v>130.338447</v>
      </c>
      <c r="C37" s="14">
        <v>130.12908300000001</v>
      </c>
      <c r="D37" s="14">
        <v>108.387995</v>
      </c>
      <c r="E37" s="14">
        <v>98.148421999999997</v>
      </c>
      <c r="F37" s="14">
        <v>101.40392799999999</v>
      </c>
      <c r="G37" s="14">
        <v>92.008182000000005</v>
      </c>
      <c r="H37" s="14">
        <v>122.019932</v>
      </c>
      <c r="I37" s="14">
        <v>200.598251</v>
      </c>
      <c r="J37" s="14">
        <v>261.576078</v>
      </c>
      <c r="K37" s="14">
        <v>149.33929000000001</v>
      </c>
      <c r="L37" s="14">
        <v>142.94876600000001</v>
      </c>
    </row>
    <row r="38" spans="1:12">
      <c r="A38" s="5" t="s">
        <v>95</v>
      </c>
      <c r="B38" s="6">
        <v>8704.7155879999991</v>
      </c>
      <c r="C38" s="6">
        <v>9654.0747890000002</v>
      </c>
      <c r="D38" s="6">
        <v>10366.818552999999</v>
      </c>
      <c r="E38" s="6">
        <v>11279.299138</v>
      </c>
      <c r="F38" s="6">
        <v>11646.183317000001</v>
      </c>
      <c r="G38" s="6">
        <v>11171.580830000001</v>
      </c>
      <c r="H38" s="6">
        <v>17597.778064999999</v>
      </c>
      <c r="I38" s="6">
        <v>21376.053993000001</v>
      </c>
      <c r="J38" s="6">
        <v>34109.336153999997</v>
      </c>
      <c r="K38" s="6">
        <v>26876.256081</v>
      </c>
      <c r="L38" s="6">
        <v>27210.369852</v>
      </c>
    </row>
    <row r="39" spans="1:12">
      <c r="A39" s="24" t="s">
        <v>96</v>
      </c>
      <c r="B39" s="22">
        <v>-3.8915009999999999</v>
      </c>
      <c r="C39" s="22">
        <v>-0.55646399999999996</v>
      </c>
      <c r="D39" s="14">
        <v>2.8233709999999999</v>
      </c>
      <c r="E39" s="14">
        <v>1.1626840000000001</v>
      </c>
      <c r="F39" s="14">
        <v>1.7749280000000001</v>
      </c>
      <c r="G39" s="14">
        <v>2.5924939999999999</v>
      </c>
      <c r="H39" s="14">
        <v>9.261317</v>
      </c>
      <c r="I39" s="14">
        <v>19.086478</v>
      </c>
      <c r="J39" s="14">
        <v>12.419629</v>
      </c>
      <c r="K39" s="22">
        <v>-23.423703</v>
      </c>
      <c r="L39" s="22">
        <v>-30.254504000000001</v>
      </c>
    </row>
    <row r="40" spans="1:12">
      <c r="A40" s="5" t="s">
        <v>97</v>
      </c>
      <c r="B40" s="6">
        <v>8708.6070899999995</v>
      </c>
      <c r="C40" s="6">
        <v>9654.6312529999996</v>
      </c>
      <c r="D40" s="6">
        <v>10363.995182000001</v>
      </c>
      <c r="E40" s="6">
        <v>11278.136454</v>
      </c>
      <c r="F40" s="6">
        <v>11644.408389</v>
      </c>
      <c r="G40" s="6">
        <v>11168.988336</v>
      </c>
      <c r="H40" s="6">
        <v>17588.516748999999</v>
      </c>
      <c r="I40" s="6">
        <v>21356.967515</v>
      </c>
      <c r="J40" s="6">
        <v>34096.916525000001</v>
      </c>
      <c r="K40" s="6">
        <v>26899.679785</v>
      </c>
      <c r="L40" s="6">
        <v>27240.624357000001</v>
      </c>
    </row>
    <row r="41" spans="1:12">
      <c r="A41" s="24" t="s">
        <v>98</v>
      </c>
      <c r="B41" s="14">
        <v>8708.6070899999995</v>
      </c>
      <c r="C41" s="14">
        <v>9654.6312529999996</v>
      </c>
      <c r="D41" s="14">
        <v>10363.995182000001</v>
      </c>
      <c r="E41" s="14">
        <v>11278.136454</v>
      </c>
      <c r="F41" s="14">
        <v>11644.408389</v>
      </c>
      <c r="G41" s="14">
        <v>11168.988336</v>
      </c>
      <c r="H41" s="14">
        <v>17588.516748999999</v>
      </c>
      <c r="I41" s="14">
        <v>21356.967515</v>
      </c>
      <c r="J41" s="14">
        <v>34096.916525000001</v>
      </c>
      <c r="K41" s="14">
        <v>26899.679785</v>
      </c>
      <c r="L41" s="14">
        <v>27240.624357000001</v>
      </c>
    </row>
    <row r="42" spans="1:12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24" t="s">
        <v>100</v>
      </c>
      <c r="B43" s="25">
        <v>1.6951229999999999</v>
      </c>
      <c r="C43" s="25">
        <v>1.880933</v>
      </c>
      <c r="D43" s="25">
        <v>1.9969129999999999</v>
      </c>
      <c r="E43" s="25">
        <v>2.1644410000000001</v>
      </c>
      <c r="F43" s="25">
        <v>2.247217</v>
      </c>
      <c r="G43" s="25">
        <v>2.15306</v>
      </c>
      <c r="H43" s="25">
        <v>3.393173</v>
      </c>
      <c r="I43" s="25">
        <v>4.1579810000000004</v>
      </c>
      <c r="J43" s="25">
        <v>6.5815929999999998</v>
      </c>
      <c r="K43" s="25">
        <v>5.1872819999999997</v>
      </c>
      <c r="L43" s="25">
        <v>5.2480370000000001</v>
      </c>
    </row>
    <row r="44" spans="1:12">
      <c r="A44" s="19" t="s">
        <v>101</v>
      </c>
      <c r="B44" s="26">
        <v>1.6797</v>
      </c>
      <c r="C44" s="26">
        <v>1.8612</v>
      </c>
      <c r="D44" s="26">
        <v>1.9984</v>
      </c>
      <c r="E44" s="26">
        <v>2.1743999999999999</v>
      </c>
      <c r="F44" s="26">
        <v>2.2452999999999999</v>
      </c>
      <c r="G44" s="26">
        <v>2.1536</v>
      </c>
      <c r="H44" s="26">
        <v>3.3915000000000002</v>
      </c>
      <c r="I44" s="26">
        <v>4.1181000000000001</v>
      </c>
      <c r="J44" s="26">
        <v>6.5750000000000002</v>
      </c>
      <c r="K44" s="26">
        <v>5.1871</v>
      </c>
      <c r="L44" s="26">
        <v>5.2526999999999999</v>
      </c>
    </row>
    <row r="45" spans="1:12">
      <c r="A45" s="15" t="s">
        <v>102</v>
      </c>
      <c r="B45" s="25">
        <v>5185.8545999999997</v>
      </c>
      <c r="C45" s="25">
        <v>5186.0576000000001</v>
      </c>
      <c r="D45" s="25">
        <v>5186.076</v>
      </c>
      <c r="E45" s="25">
        <v>5186.076</v>
      </c>
      <c r="F45" s="25">
        <v>5186.076</v>
      </c>
      <c r="G45" s="25">
        <v>5186.076</v>
      </c>
      <c r="H45" s="25">
        <v>5186.076</v>
      </c>
      <c r="I45" s="25">
        <v>5186.076</v>
      </c>
      <c r="J45" s="25">
        <v>5185.8379999999997</v>
      </c>
      <c r="K45" s="25">
        <v>5185.8446000000004</v>
      </c>
      <c r="L45" s="25">
        <v>5185.8534</v>
      </c>
    </row>
    <row r="46" spans="1:12">
      <c r="A46" s="9" t="s">
        <v>103</v>
      </c>
      <c r="B46" s="27">
        <v>5185.9323999999997</v>
      </c>
      <c r="C46" s="27">
        <v>5186.076</v>
      </c>
      <c r="D46" s="27">
        <v>5186.076</v>
      </c>
      <c r="E46" s="27">
        <v>5186.076</v>
      </c>
      <c r="F46" s="27">
        <v>5186.076</v>
      </c>
      <c r="G46" s="27">
        <v>5186.076</v>
      </c>
      <c r="H46" s="27">
        <v>5186.076</v>
      </c>
      <c r="I46" s="27">
        <v>5186.076</v>
      </c>
      <c r="J46" s="27">
        <v>5186.076</v>
      </c>
      <c r="K46" s="27">
        <v>5186.4142000000002</v>
      </c>
      <c r="L46" s="27">
        <v>5186.7258000000002</v>
      </c>
    </row>
    <row r="47" spans="1:12">
      <c r="A47" s="7" t="s">
        <v>104</v>
      </c>
      <c r="B47" s="28">
        <v>1.6797</v>
      </c>
      <c r="C47" s="28">
        <v>1.8612</v>
      </c>
      <c r="D47" s="28">
        <v>1.9984</v>
      </c>
      <c r="E47" s="28">
        <v>2.1743999999999999</v>
      </c>
      <c r="F47" s="28">
        <v>2.2452999999999999</v>
      </c>
      <c r="G47" s="28">
        <v>2.1536</v>
      </c>
      <c r="H47" s="28">
        <v>3.3915000000000002</v>
      </c>
      <c r="I47" s="28">
        <v>4.1181000000000001</v>
      </c>
      <c r="J47" s="28">
        <v>6.5750000000000002</v>
      </c>
      <c r="K47" s="28">
        <v>5.1871</v>
      </c>
      <c r="L47" s="28">
        <v>5.2526999999999999</v>
      </c>
    </row>
    <row r="48" spans="1:12">
      <c r="A48" s="9" t="s">
        <v>105</v>
      </c>
      <c r="B48" s="27">
        <v>5186.0208000000002</v>
      </c>
      <c r="C48" s="27">
        <v>5186.076</v>
      </c>
      <c r="D48" s="27">
        <v>5186.076</v>
      </c>
      <c r="E48" s="27">
        <v>5186.076</v>
      </c>
      <c r="F48" s="27">
        <v>5186.076</v>
      </c>
      <c r="G48" s="27">
        <v>5186.076</v>
      </c>
      <c r="H48" s="27">
        <v>5186.076</v>
      </c>
      <c r="I48" s="27">
        <v>5186.076</v>
      </c>
      <c r="J48" s="27">
        <v>5185.8765999999996</v>
      </c>
      <c r="K48" s="27">
        <v>5185.8534</v>
      </c>
      <c r="L48" s="27">
        <v>5185.9513999999999</v>
      </c>
    </row>
    <row r="49" spans="1:17">
      <c r="A49" s="15" t="s">
        <v>103</v>
      </c>
      <c r="B49" s="25">
        <v>5185.9323999999997</v>
      </c>
      <c r="C49" s="25">
        <v>5186.076</v>
      </c>
      <c r="D49" s="25">
        <v>5186.076</v>
      </c>
      <c r="E49" s="25">
        <v>5186.076</v>
      </c>
      <c r="F49" s="25">
        <v>5186.076</v>
      </c>
      <c r="G49" s="25">
        <v>5186.076</v>
      </c>
      <c r="H49" s="25">
        <v>5186.076</v>
      </c>
      <c r="I49" s="25">
        <v>5186.076</v>
      </c>
      <c r="J49" s="25">
        <v>5186.076</v>
      </c>
      <c r="K49" s="25">
        <v>5186.4142000000002</v>
      </c>
      <c r="L49" s="25">
        <v>5186.7258000000002</v>
      </c>
    </row>
    <row r="50" spans="1:17">
      <c r="A50" s="16" t="s">
        <v>106</v>
      </c>
      <c r="B50" s="27">
        <v>85.14</v>
      </c>
      <c r="C50" s="27">
        <v>97.38</v>
      </c>
      <c r="D50" s="27">
        <v>79.228999999999999</v>
      </c>
      <c r="E50" s="27">
        <v>82.32</v>
      </c>
      <c r="F50" s="27">
        <v>87.798000000000002</v>
      </c>
      <c r="G50" s="27">
        <v>82.695999999999998</v>
      </c>
      <c r="H50" s="27">
        <v>78.748000000000005</v>
      </c>
      <c r="I50" s="27">
        <v>77.42</v>
      </c>
      <c r="J50" s="27">
        <v>76.084999999999994</v>
      </c>
      <c r="K50" s="27">
        <v>78.105999999999995</v>
      </c>
      <c r="L50" s="20"/>
    </row>
    <row r="51" spans="1:17">
      <c r="A51" s="7" t="s">
        <v>107</v>
      </c>
      <c r="B51" s="28">
        <v>0.57827899999999999</v>
      </c>
      <c r="C51" s="28">
        <v>0.75155000000000005</v>
      </c>
      <c r="D51" s="28">
        <v>0.92099200000000003</v>
      </c>
      <c r="E51" s="28">
        <v>1.03576</v>
      </c>
      <c r="F51" s="28">
        <v>1.01807</v>
      </c>
      <c r="G51" s="28">
        <v>1.2488060000000001</v>
      </c>
      <c r="H51" s="28">
        <v>1.39585</v>
      </c>
      <c r="I51" s="28">
        <v>1.52108</v>
      </c>
      <c r="J51" s="28">
        <v>1.400077</v>
      </c>
      <c r="K51" s="28">
        <v>1.6165020000000001</v>
      </c>
      <c r="L51" s="28">
        <v>1.735574</v>
      </c>
    </row>
    <row r="52" spans="1:17">
      <c r="A52" s="9" t="s">
        <v>108</v>
      </c>
      <c r="B52" s="27">
        <v>34.427517000000002</v>
      </c>
      <c r="C52" s="27">
        <v>40.379862000000003</v>
      </c>
      <c r="D52" s="27">
        <v>46.086469000000001</v>
      </c>
      <c r="E52" s="27">
        <v>47.63429</v>
      </c>
      <c r="F52" s="27">
        <v>45.342270999999997</v>
      </c>
      <c r="G52" s="27">
        <v>57.986905999999998</v>
      </c>
      <c r="H52" s="27">
        <v>41.157305000000001</v>
      </c>
      <c r="I52" s="27">
        <v>36.936450999999998</v>
      </c>
      <c r="J52" s="27">
        <v>21.293946999999999</v>
      </c>
      <c r="K52" s="27">
        <v>31.163886999999999</v>
      </c>
      <c r="L52" s="27">
        <v>33.041559999999997</v>
      </c>
    </row>
    <row r="53" spans="1:17">
      <c r="A53" s="18" t="s">
        <v>109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7">
      <c r="A54" s="19" t="s">
        <v>109</v>
      </c>
      <c r="B54" s="6">
        <v>16436.949280000001</v>
      </c>
      <c r="C54" s="6">
        <v>17144.542710000002</v>
      </c>
      <c r="D54" s="6">
        <v>18657.869149999999</v>
      </c>
      <c r="E54" s="6">
        <v>21267.10341</v>
      </c>
      <c r="F54" s="6">
        <v>22493.22998</v>
      </c>
      <c r="G54" s="6">
        <v>21352.299559999999</v>
      </c>
      <c r="H54" s="6">
        <v>30489.974440000002</v>
      </c>
      <c r="I54" s="6">
        <v>38399.207929999997</v>
      </c>
      <c r="J54" s="6">
        <v>52289.07821</v>
      </c>
      <c r="K54" s="6">
        <v>46628.177470000002</v>
      </c>
      <c r="L54" s="6">
        <v>48326.165860000001</v>
      </c>
    </row>
    <row r="55" spans="1:17">
      <c r="A55" s="15" t="s">
        <v>19</v>
      </c>
      <c r="B55" s="14">
        <v>9828.6889300000003</v>
      </c>
      <c r="C55" s="14">
        <v>10137.391540000001</v>
      </c>
      <c r="D55" s="14">
        <v>11717.6266</v>
      </c>
      <c r="E55" s="14">
        <v>12716.16574</v>
      </c>
      <c r="F55" s="14">
        <v>12791.63787</v>
      </c>
      <c r="G55" s="14">
        <v>12071.836429999999</v>
      </c>
      <c r="H55" s="14">
        <v>19223.88076</v>
      </c>
      <c r="I55" s="14">
        <v>23276.88034</v>
      </c>
      <c r="J55" s="14">
        <v>37622.497990000003</v>
      </c>
      <c r="K55" s="14">
        <v>29555.064480000001</v>
      </c>
      <c r="L55" s="14">
        <v>29857.763729999999</v>
      </c>
    </row>
    <row r="56" spans="1:17">
      <c r="A56" s="9" t="s">
        <v>66</v>
      </c>
      <c r="B56" s="10">
        <v>6608.2603520000002</v>
      </c>
      <c r="C56" s="10">
        <v>7007.1511689999998</v>
      </c>
      <c r="D56" s="10">
        <v>6940.2425489999996</v>
      </c>
      <c r="E56" s="10">
        <v>8550.9376709999997</v>
      </c>
      <c r="F56" s="10">
        <v>9701.5921080000007</v>
      </c>
      <c r="G56" s="10">
        <v>9280.4631320000008</v>
      </c>
      <c r="H56" s="10">
        <v>11266.093676</v>
      </c>
      <c r="I56" s="10">
        <v>15122.327587</v>
      </c>
      <c r="J56" s="10">
        <v>14666.580223000001</v>
      </c>
      <c r="K56" s="10">
        <v>17073.112990000001</v>
      </c>
      <c r="L56" s="10">
        <v>18468.402127000001</v>
      </c>
    </row>
    <row r="58" spans="1:17">
      <c r="A58" t="s">
        <v>199</v>
      </c>
    </row>
    <row r="60" spans="1:17">
      <c r="A60" s="29" t="s">
        <v>195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1" spans="1:17">
      <c r="A61" s="4"/>
      <c r="B61" s="4" t="s">
        <v>158</v>
      </c>
      <c r="C61" s="4" t="s">
        <v>159</v>
      </c>
      <c r="D61" s="4" t="s">
        <v>160</v>
      </c>
      <c r="E61" s="4" t="s">
        <v>161</v>
      </c>
      <c r="F61" s="4" t="s">
        <v>162</v>
      </c>
      <c r="G61" s="4" t="s">
        <v>163</v>
      </c>
      <c r="H61" s="4" t="s">
        <v>164</v>
      </c>
      <c r="I61" s="4" t="s">
        <v>165</v>
      </c>
      <c r="J61" s="4" t="s">
        <v>166</v>
      </c>
      <c r="K61" s="4" t="s">
        <v>167</v>
      </c>
      <c r="L61" s="4" t="s">
        <v>168</v>
      </c>
      <c r="M61" s="4" t="s">
        <v>169</v>
      </c>
      <c r="N61" s="4" t="s">
        <v>170</v>
      </c>
      <c r="O61" s="4" t="s">
        <v>171</v>
      </c>
      <c r="P61" s="4" t="s">
        <v>172</v>
      </c>
      <c r="Q61" s="4" t="s">
        <v>173</v>
      </c>
    </row>
    <row r="62" spans="1:17">
      <c r="A62" s="4"/>
      <c r="B62" s="4" t="s">
        <v>174</v>
      </c>
      <c r="C62" s="4" t="s">
        <v>175</v>
      </c>
      <c r="D62" s="4" t="s">
        <v>176</v>
      </c>
      <c r="E62" s="4" t="s">
        <v>177</v>
      </c>
      <c r="F62" s="4" t="s">
        <v>178</v>
      </c>
      <c r="G62" s="4" t="s">
        <v>179</v>
      </c>
      <c r="H62" s="4" t="s">
        <v>180</v>
      </c>
      <c r="I62" s="4" t="s">
        <v>181</v>
      </c>
      <c r="J62" s="4" t="s">
        <v>182</v>
      </c>
      <c r="K62" s="4" t="s">
        <v>183</v>
      </c>
      <c r="L62" s="4" t="s">
        <v>184</v>
      </c>
      <c r="M62" s="4" t="s">
        <v>185</v>
      </c>
      <c r="N62" s="4" t="s">
        <v>186</v>
      </c>
      <c r="O62" s="4" t="s">
        <v>187</v>
      </c>
      <c r="P62" s="4" t="s">
        <v>188</v>
      </c>
      <c r="Q62" s="4" t="s">
        <v>189</v>
      </c>
    </row>
    <row r="63" spans="1:17">
      <c r="A63" s="21" t="s">
        <v>63</v>
      </c>
      <c r="B63" s="14">
        <v>24137.9</v>
      </c>
      <c r="C63" s="14">
        <v>25679.5</v>
      </c>
      <c r="D63" s="14">
        <v>29898.2</v>
      </c>
      <c r="E63" s="14">
        <v>33316.1</v>
      </c>
      <c r="F63" s="14">
        <v>33443.800000000003</v>
      </c>
      <c r="G63" s="14">
        <v>35564.800000000003</v>
      </c>
      <c r="H63" s="14">
        <v>47889.7</v>
      </c>
      <c r="I63" s="14">
        <v>57429.7</v>
      </c>
      <c r="J63" s="14">
        <v>74351.5</v>
      </c>
      <c r="K63" s="14">
        <v>68429.899999999994</v>
      </c>
      <c r="L63" s="56">
        <v>84538.6</v>
      </c>
      <c r="M63" s="56">
        <v>101948</v>
      </c>
      <c r="N63" s="56">
        <v>117630</v>
      </c>
      <c r="O63" s="21" t="s">
        <v>190</v>
      </c>
      <c r="P63" s="21" t="s">
        <v>190</v>
      </c>
      <c r="Q63" s="21" t="s">
        <v>190</v>
      </c>
    </row>
    <row r="64" spans="1:17">
      <c r="A64" s="20" t="s">
        <v>196</v>
      </c>
      <c r="B64" s="20" t="s">
        <v>190</v>
      </c>
      <c r="C64" s="10">
        <v>13185.4</v>
      </c>
      <c r="D64" s="10">
        <v>14921.9</v>
      </c>
      <c r="E64" s="10">
        <v>16430.099999999999</v>
      </c>
      <c r="F64" s="10">
        <v>17301</v>
      </c>
      <c r="G64" s="10">
        <v>19174.7</v>
      </c>
      <c r="H64" s="10">
        <v>22460.7</v>
      </c>
      <c r="I64" s="10">
        <v>27780.400000000001</v>
      </c>
      <c r="J64" s="10">
        <v>30068.400000000001</v>
      </c>
      <c r="K64" s="10">
        <v>31231.7</v>
      </c>
      <c r="L64" s="10">
        <v>39875.800000000003</v>
      </c>
      <c r="M64" s="10">
        <v>46282.5</v>
      </c>
      <c r="N64" s="10">
        <v>53387.199999999997</v>
      </c>
      <c r="O64" s="20" t="s">
        <v>190</v>
      </c>
      <c r="P64" s="20" t="s">
        <v>190</v>
      </c>
      <c r="Q64" s="20" t="s">
        <v>190</v>
      </c>
    </row>
    <row r="65" spans="1:17">
      <c r="A65" s="21" t="s">
        <v>69</v>
      </c>
      <c r="B65" s="14">
        <v>11952.8</v>
      </c>
      <c r="C65" s="14">
        <v>12494.1</v>
      </c>
      <c r="D65" s="14">
        <v>14977.2</v>
      </c>
      <c r="E65" s="14">
        <v>16846.2</v>
      </c>
      <c r="F65" s="14">
        <v>16142.7</v>
      </c>
      <c r="G65" s="14">
        <v>16376.7</v>
      </c>
      <c r="H65" s="14">
        <v>25428.799999999999</v>
      </c>
      <c r="I65" s="14">
        <v>29649.3</v>
      </c>
      <c r="J65" s="14">
        <v>44283.1</v>
      </c>
      <c r="K65" s="14">
        <v>37198.199999999997</v>
      </c>
      <c r="L65" s="14">
        <v>44417.9</v>
      </c>
      <c r="M65" s="14">
        <v>54755</v>
      </c>
      <c r="N65" s="14">
        <v>64103</v>
      </c>
      <c r="O65" s="21" t="s">
        <v>190</v>
      </c>
      <c r="P65" s="21" t="s">
        <v>190</v>
      </c>
      <c r="Q65" s="21" t="s">
        <v>190</v>
      </c>
    </row>
    <row r="66" spans="1:17">
      <c r="A66" s="20" t="s">
        <v>109</v>
      </c>
      <c r="B66" s="10">
        <v>15699.7</v>
      </c>
      <c r="C66" s="10">
        <v>16517.599999999999</v>
      </c>
      <c r="D66" s="10">
        <v>18981.3</v>
      </c>
      <c r="E66" s="10">
        <v>21983.4</v>
      </c>
      <c r="F66" s="10">
        <v>21923.7</v>
      </c>
      <c r="G66" s="10">
        <v>21928.799999999999</v>
      </c>
      <c r="H66" s="10">
        <v>32129.200000000001</v>
      </c>
      <c r="I66" s="10">
        <v>38796.6</v>
      </c>
      <c r="J66" s="10">
        <v>51193.5</v>
      </c>
      <c r="K66" s="10">
        <v>46015.6</v>
      </c>
      <c r="L66" s="10">
        <v>56656.5</v>
      </c>
      <c r="M66" s="10">
        <v>69696.600000000006</v>
      </c>
      <c r="N66" s="10">
        <v>80450.899999999994</v>
      </c>
      <c r="O66" s="20" t="s">
        <v>190</v>
      </c>
      <c r="P66" s="20" t="s">
        <v>190</v>
      </c>
      <c r="Q66" s="20" t="s">
        <v>190</v>
      </c>
    </row>
    <row r="67" spans="1:17">
      <c r="A67" s="21" t="s">
        <v>197</v>
      </c>
      <c r="B67" s="14">
        <v>9363.02</v>
      </c>
      <c r="C67" s="14">
        <v>9743.6</v>
      </c>
      <c r="D67" s="14">
        <v>11920.9</v>
      </c>
      <c r="E67" s="14">
        <v>13119.3</v>
      </c>
      <c r="F67" s="14">
        <v>12438.3</v>
      </c>
      <c r="G67" s="14">
        <v>12387</v>
      </c>
      <c r="H67" s="14">
        <v>20267.099999999999</v>
      </c>
      <c r="I67" s="14">
        <v>23515.1</v>
      </c>
      <c r="J67" s="14">
        <v>36825.4</v>
      </c>
      <c r="K67" s="14">
        <v>29169.1</v>
      </c>
      <c r="L67" s="14">
        <v>35364.9</v>
      </c>
      <c r="M67" s="14">
        <v>44579.6</v>
      </c>
      <c r="N67" s="14">
        <v>52465.4</v>
      </c>
      <c r="O67" s="21" t="s">
        <v>190</v>
      </c>
      <c r="P67" s="21" t="s">
        <v>190</v>
      </c>
      <c r="Q67" s="21" t="s">
        <v>190</v>
      </c>
    </row>
    <row r="68" spans="1:17">
      <c r="A68" s="20" t="s">
        <v>90</v>
      </c>
      <c r="B68" s="10">
        <v>9559.4599999999991</v>
      </c>
      <c r="C68" s="10">
        <v>10668.5</v>
      </c>
      <c r="D68" s="10">
        <v>12173.2</v>
      </c>
      <c r="E68" s="10">
        <v>13477.9</v>
      </c>
      <c r="F68" s="10">
        <v>12888.5</v>
      </c>
      <c r="G68" s="10">
        <v>12957.9</v>
      </c>
      <c r="H68" s="10">
        <v>20910.7</v>
      </c>
      <c r="I68" s="10">
        <v>23990.7</v>
      </c>
      <c r="J68" s="10">
        <v>37577.9</v>
      </c>
      <c r="K68" s="10">
        <v>30995.7</v>
      </c>
      <c r="L68" s="10">
        <v>37063.199999999997</v>
      </c>
      <c r="M68" s="10">
        <v>46268.6</v>
      </c>
      <c r="N68" s="10">
        <v>54459.199999999997</v>
      </c>
      <c r="O68" s="20" t="s">
        <v>190</v>
      </c>
      <c r="P68" s="20" t="s">
        <v>190</v>
      </c>
      <c r="Q68" s="20" t="s">
        <v>190</v>
      </c>
    </row>
    <row r="69" spans="1:17">
      <c r="A69" s="21" t="s">
        <v>198</v>
      </c>
      <c r="B69" s="14">
        <v>1212.48</v>
      </c>
      <c r="C69" s="14">
        <v>1335.67</v>
      </c>
      <c r="D69" s="14">
        <v>1628.14</v>
      </c>
      <c r="E69" s="14">
        <v>1805.51</v>
      </c>
      <c r="F69" s="14">
        <v>1502.04</v>
      </c>
      <c r="G69" s="14">
        <v>1483.47</v>
      </c>
      <c r="H69" s="14">
        <v>2382.19</v>
      </c>
      <c r="I69" s="14">
        <v>2389.67</v>
      </c>
      <c r="J69" s="14">
        <v>4180.5</v>
      </c>
      <c r="K69" s="14">
        <v>4476.12</v>
      </c>
      <c r="L69" s="14">
        <v>5695.96</v>
      </c>
      <c r="M69" s="14">
        <v>6880.34</v>
      </c>
      <c r="N69" s="14">
        <v>8156.74</v>
      </c>
      <c r="O69" s="21" t="s">
        <v>190</v>
      </c>
      <c r="P69" s="21" t="s">
        <v>190</v>
      </c>
      <c r="Q69" s="21" t="s">
        <v>190</v>
      </c>
    </row>
    <row r="70" spans="1:17">
      <c r="A70" s="20" t="s">
        <v>97</v>
      </c>
      <c r="B70" s="10">
        <v>8350.7099999999991</v>
      </c>
      <c r="C70" s="10">
        <v>9333.4</v>
      </c>
      <c r="D70" s="10">
        <v>10544.7</v>
      </c>
      <c r="E70" s="10">
        <v>11669.6</v>
      </c>
      <c r="F70" s="10">
        <v>11384.8</v>
      </c>
      <c r="G70" s="10">
        <v>11473.4</v>
      </c>
      <c r="H70" s="10">
        <v>18518.900000000001</v>
      </c>
      <c r="I70" s="10">
        <v>21581.7</v>
      </c>
      <c r="J70" s="10">
        <v>33385.199999999997</v>
      </c>
      <c r="K70" s="10">
        <v>26542.7</v>
      </c>
      <c r="L70" s="10">
        <v>31480.5</v>
      </c>
      <c r="M70" s="10">
        <v>39565</v>
      </c>
      <c r="N70" s="10">
        <v>46655.4</v>
      </c>
      <c r="O70" s="20" t="s">
        <v>190</v>
      </c>
      <c r="P70" s="20" t="s">
        <v>190</v>
      </c>
      <c r="Q70" s="20" t="s">
        <v>190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5958-99DB-2042-9A56-7B7B174D524E}">
  <dimension ref="A1:Q67"/>
  <sheetViews>
    <sheetView workbookViewId="0">
      <selection activeCell="L63" sqref="L63:N63"/>
    </sheetView>
  </sheetViews>
  <sheetFormatPr baseColWidth="10" defaultRowHeight="16"/>
  <cols>
    <col min="1" max="1" width="54" bestFit="1" customWidth="1"/>
  </cols>
  <sheetData>
    <row r="1" spans="1:12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4" t="s">
        <v>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 t="s">
        <v>50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  <c r="H4" s="4" t="s">
        <v>57</v>
      </c>
      <c r="I4" s="4" t="s">
        <v>58</v>
      </c>
      <c r="J4" s="4" t="s">
        <v>59</v>
      </c>
      <c r="K4" s="4" t="s">
        <v>60</v>
      </c>
      <c r="L4" s="4" t="s">
        <v>61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62</v>
      </c>
    </row>
    <row r="6" spans="1:12">
      <c r="A6" s="5" t="s">
        <v>110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24" t="s">
        <v>111</v>
      </c>
      <c r="B7" s="14">
        <v>9969.1582180000005</v>
      </c>
      <c r="C7" s="14">
        <v>11035.716383999999</v>
      </c>
      <c r="D7" s="14">
        <v>11967.434264</v>
      </c>
      <c r="E7" s="14">
        <v>13020.964551999999</v>
      </c>
      <c r="F7" s="14">
        <v>13182.468567</v>
      </c>
      <c r="G7" s="14">
        <v>12611.16768</v>
      </c>
      <c r="H7" s="14">
        <v>19860.307864999999</v>
      </c>
      <c r="I7" s="14">
        <v>23740.850299000002</v>
      </c>
      <c r="J7" s="14">
        <v>38378.961607999998</v>
      </c>
      <c r="K7" s="14">
        <v>31412.603995000001</v>
      </c>
      <c r="L7" s="14">
        <v>31856.835458000001</v>
      </c>
    </row>
    <row r="8" spans="1:12">
      <c r="A8" s="19" t="s">
        <v>112</v>
      </c>
      <c r="B8" s="6">
        <v>6608.2603520000002</v>
      </c>
      <c r="C8" s="6">
        <v>7007.1511689999998</v>
      </c>
      <c r="D8" s="6">
        <v>6940.2425489999996</v>
      </c>
      <c r="E8" s="6">
        <v>8550.9376709999997</v>
      </c>
      <c r="F8" s="6">
        <v>9701.5921080000007</v>
      </c>
      <c r="G8" s="6">
        <v>9280.4631320000008</v>
      </c>
      <c r="H8" s="6">
        <v>11266.093676</v>
      </c>
      <c r="I8" s="6">
        <v>15122.327587</v>
      </c>
      <c r="J8" s="6">
        <v>14666.580223000001</v>
      </c>
      <c r="K8" s="6">
        <v>17073.112990000001</v>
      </c>
      <c r="L8" s="6">
        <v>18502.939159000001</v>
      </c>
    </row>
    <row r="9" spans="1:12">
      <c r="A9" s="15" t="s">
        <v>113</v>
      </c>
      <c r="B9" s="14">
        <v>6522.2513600000002</v>
      </c>
      <c r="C9" s="14">
        <v>6906.3074029999998</v>
      </c>
      <c r="D9" s="14">
        <v>6824.1708390000003</v>
      </c>
      <c r="E9" s="14">
        <v>8408.0596710000009</v>
      </c>
      <c r="F9" s="14">
        <v>9554.9668820000006</v>
      </c>
      <c r="G9" s="14">
        <v>9103.4353179999998</v>
      </c>
      <c r="H9" s="14">
        <v>11022.033028</v>
      </c>
      <c r="I9" s="14">
        <v>14828.499449000001</v>
      </c>
      <c r="J9" s="14">
        <v>14372.879365999999</v>
      </c>
      <c r="K9" s="14">
        <v>16776.100880000002</v>
      </c>
      <c r="L9" s="14">
        <v>18205.587119</v>
      </c>
    </row>
    <row r="10" spans="1:12">
      <c r="A10" s="9" t="s">
        <v>114</v>
      </c>
      <c r="B10" s="10">
        <v>86.008992000000006</v>
      </c>
      <c r="C10" s="10">
        <v>100.843766</v>
      </c>
      <c r="D10" s="10">
        <v>116.07171</v>
      </c>
      <c r="E10" s="10">
        <v>142.87800100000001</v>
      </c>
      <c r="F10" s="10">
        <v>146.625227</v>
      </c>
      <c r="G10" s="10">
        <v>177.02781400000001</v>
      </c>
      <c r="H10" s="10">
        <v>244.06064799999999</v>
      </c>
      <c r="I10" s="10">
        <v>293.82813900000002</v>
      </c>
      <c r="J10" s="10">
        <v>293.70085799999998</v>
      </c>
      <c r="K10" s="10">
        <v>297.01211000000001</v>
      </c>
      <c r="L10" s="10">
        <v>297.35203999999999</v>
      </c>
    </row>
    <row r="11" spans="1:12">
      <c r="A11" s="24" t="s">
        <v>115</v>
      </c>
      <c r="B11" s="22">
        <v>-920.77107599999999</v>
      </c>
      <c r="C11" s="22">
        <v>-1945.2816580000001</v>
      </c>
      <c r="D11" s="22">
        <v>-1433.3422390000001</v>
      </c>
      <c r="E11" s="22">
        <v>-2317.388383</v>
      </c>
      <c r="F11" s="22">
        <v>-1312.87862</v>
      </c>
      <c r="G11" s="22">
        <v>-1847.0036070000001</v>
      </c>
      <c r="H11" s="22">
        <v>-1834.564218</v>
      </c>
      <c r="I11" s="22">
        <v>-3622.0572990000001</v>
      </c>
      <c r="J11" s="22">
        <v>-2833.4272080000001</v>
      </c>
      <c r="K11" s="22">
        <v>-5469.5513490000003</v>
      </c>
      <c r="L11" s="22">
        <v>-5347.9203470000002</v>
      </c>
    </row>
    <row r="12" spans="1:12">
      <c r="A12" s="16" t="s">
        <v>116</v>
      </c>
      <c r="B12" s="10">
        <v>15656.647494000001</v>
      </c>
      <c r="C12" s="10">
        <v>16097.585896000001</v>
      </c>
      <c r="D12" s="10">
        <v>17474.334575000001</v>
      </c>
      <c r="E12" s="10">
        <v>19254.51384</v>
      </c>
      <c r="F12" s="10">
        <v>21571.182055000001</v>
      </c>
      <c r="G12" s="10">
        <v>20044.627204</v>
      </c>
      <c r="H12" s="10">
        <v>29291.837323</v>
      </c>
      <c r="I12" s="10">
        <v>35241.120586999998</v>
      </c>
      <c r="J12" s="10">
        <v>50212.114624000002</v>
      </c>
      <c r="K12" s="10">
        <v>43016.165634999998</v>
      </c>
      <c r="L12" s="10">
        <v>45011.854270999997</v>
      </c>
    </row>
    <row r="13" spans="1:12">
      <c r="A13" s="7" t="s">
        <v>117</v>
      </c>
      <c r="B13" s="8">
        <v>-1639.0557510000001</v>
      </c>
      <c r="C13" s="8">
        <v>738.60235799999998</v>
      </c>
      <c r="D13" s="8">
        <v>-466.957874</v>
      </c>
      <c r="E13" s="8">
        <v>327.99786599999999</v>
      </c>
      <c r="F13" s="8">
        <v>-2044.9636800000001</v>
      </c>
      <c r="G13" s="8">
        <v>350.08531799999997</v>
      </c>
      <c r="H13" s="8">
        <v>-962.37454500000001</v>
      </c>
      <c r="I13" s="8">
        <v>4742.4832290000004</v>
      </c>
      <c r="J13" s="8">
        <v>4154.6672550000003</v>
      </c>
      <c r="K13" s="8">
        <v>-1833.1521660000001</v>
      </c>
      <c r="L13" s="8">
        <v>-2492.4696560000002</v>
      </c>
    </row>
    <row r="14" spans="1:12">
      <c r="A14" s="9" t="s">
        <v>118</v>
      </c>
      <c r="B14" s="17">
        <v>-1423.223207</v>
      </c>
      <c r="C14" s="10">
        <v>834.254096</v>
      </c>
      <c r="D14" s="17">
        <v>-1545.0251900000001</v>
      </c>
      <c r="E14" s="10">
        <v>27.392924000000001</v>
      </c>
      <c r="F14" s="17">
        <v>-416.70534600000002</v>
      </c>
      <c r="G14" s="17">
        <v>-594.70155099999999</v>
      </c>
      <c r="H14" s="17">
        <v>-1622.4134489999999</v>
      </c>
      <c r="I14" s="17">
        <v>-1871.4788659999999</v>
      </c>
      <c r="J14" s="17">
        <v>-1108.441536</v>
      </c>
      <c r="K14" s="10">
        <v>943.13067999999998</v>
      </c>
      <c r="L14" s="17">
        <v>-1797.634714</v>
      </c>
    </row>
    <row r="15" spans="1:12">
      <c r="A15" s="15" t="s">
        <v>119</v>
      </c>
      <c r="B15" s="22">
        <v>-952.75689</v>
      </c>
      <c r="C15" s="22">
        <v>-20.635119</v>
      </c>
      <c r="D15" s="14">
        <v>569.59934499999997</v>
      </c>
      <c r="E15" s="22">
        <v>-829.28512599999999</v>
      </c>
      <c r="F15" s="22">
        <v>-973.98434299999997</v>
      </c>
      <c r="G15" s="14">
        <v>655.06329700000003</v>
      </c>
      <c r="H15" s="22">
        <v>-488.11161700000002</v>
      </c>
      <c r="I15" s="22">
        <v>-1995.8891599999999</v>
      </c>
      <c r="J15" s="22">
        <v>-940.75933299999997</v>
      </c>
      <c r="K15" s="22">
        <v>-957.54593299999999</v>
      </c>
      <c r="L15" s="22">
        <v>-1637.6192940000001</v>
      </c>
    </row>
    <row r="16" spans="1:12">
      <c r="A16" s="9" t="s">
        <v>120</v>
      </c>
      <c r="B16" s="10">
        <v>218.927199</v>
      </c>
      <c r="C16" s="17">
        <v>-84.819299999999998</v>
      </c>
      <c r="D16" s="10">
        <v>226.21113399999999</v>
      </c>
      <c r="E16" s="10">
        <v>97.501306999999997</v>
      </c>
      <c r="F16" s="10">
        <v>150.57747699999999</v>
      </c>
      <c r="G16" s="10">
        <v>191.45747800000001</v>
      </c>
      <c r="H16" s="10">
        <v>36.591701999999998</v>
      </c>
      <c r="I16" s="10">
        <v>273.08545199999998</v>
      </c>
      <c r="J16" s="10">
        <v>261.61622799999998</v>
      </c>
      <c r="K16" s="10">
        <v>24.725061</v>
      </c>
      <c r="L16" s="10">
        <v>335.43273399999998</v>
      </c>
    </row>
    <row r="17" spans="1:12">
      <c r="A17" s="15" t="s">
        <v>121</v>
      </c>
      <c r="B17" s="14">
        <v>528.90912500000002</v>
      </c>
      <c r="C17" s="14">
        <v>0.84896199999999999</v>
      </c>
      <c r="D17" s="14">
        <v>235.91740300000001</v>
      </c>
      <c r="E17" s="14">
        <v>1036.8112140000001</v>
      </c>
      <c r="F17" s="22">
        <v>-644.94147599999997</v>
      </c>
      <c r="G17" s="22">
        <v>-29.221057999999999</v>
      </c>
      <c r="H17" s="14">
        <v>1237.8667829999999</v>
      </c>
      <c r="I17" s="14">
        <v>3182.6468850000001</v>
      </c>
      <c r="J17" s="14">
        <v>2408.4357949999999</v>
      </c>
      <c r="K17" s="22">
        <v>-1426.5286080000001</v>
      </c>
      <c r="L17" s="14">
        <v>1174.3340840000001</v>
      </c>
    </row>
    <row r="18" spans="1:12">
      <c r="A18" s="9" t="s">
        <v>122</v>
      </c>
      <c r="B18" s="17">
        <v>-10.911977</v>
      </c>
      <c r="C18" s="10">
        <v>8.9537180000000003</v>
      </c>
      <c r="D18" s="10">
        <v>46.339433999999997</v>
      </c>
      <c r="E18" s="17">
        <v>-4.422453</v>
      </c>
      <c r="F18" s="17">
        <v>-159.90999299999999</v>
      </c>
      <c r="G18" s="10">
        <v>127.487151</v>
      </c>
      <c r="H18" s="17">
        <v>-126.307963</v>
      </c>
      <c r="I18" s="10">
        <v>5154.1189169999998</v>
      </c>
      <c r="J18" s="10">
        <v>3533.8161009999999</v>
      </c>
      <c r="K18" s="17">
        <v>-416.93336599999998</v>
      </c>
      <c r="L18" s="17">
        <v>-566.98246600000004</v>
      </c>
    </row>
    <row r="19" spans="1:12">
      <c r="A19" s="24" t="s">
        <v>123</v>
      </c>
      <c r="B19" s="14">
        <v>14017.591743000001</v>
      </c>
      <c r="C19" s="14">
        <v>16836.188254000001</v>
      </c>
      <c r="D19" s="14">
        <v>17007.376700000001</v>
      </c>
      <c r="E19" s="14">
        <v>19582.511706000001</v>
      </c>
      <c r="F19" s="14">
        <v>19526.218375</v>
      </c>
      <c r="G19" s="14">
        <v>20394.712522999998</v>
      </c>
      <c r="H19" s="14">
        <v>28329.462779000001</v>
      </c>
      <c r="I19" s="14">
        <v>39983.603817000003</v>
      </c>
      <c r="J19" s="14">
        <v>54366.781879000002</v>
      </c>
      <c r="K19" s="14">
        <v>41183.013468999998</v>
      </c>
      <c r="L19" s="14">
        <v>42519.384615000003</v>
      </c>
    </row>
    <row r="20" spans="1:12">
      <c r="A20" s="5" t="s">
        <v>124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7" t="s">
        <v>125</v>
      </c>
      <c r="B21" s="8">
        <v>-9649.1251140000004</v>
      </c>
      <c r="C21" s="8">
        <v>-8244.6346150000008</v>
      </c>
      <c r="D21" s="8">
        <v>-10328.228477000001</v>
      </c>
      <c r="E21" s="8">
        <v>-11084.333108999999</v>
      </c>
      <c r="F21" s="8">
        <v>-10774.847029</v>
      </c>
      <c r="G21" s="8">
        <v>-15132.994289</v>
      </c>
      <c r="H21" s="8">
        <v>-17698.769023000001</v>
      </c>
      <c r="I21" s="8">
        <v>-30411.014291</v>
      </c>
      <c r="J21" s="8">
        <v>-36548.742499</v>
      </c>
      <c r="K21" s="8">
        <v>-29124.675497</v>
      </c>
      <c r="L21" s="8">
        <v>-24997.910532999998</v>
      </c>
    </row>
    <row r="22" spans="1:12">
      <c r="A22" s="9" t="s">
        <v>126</v>
      </c>
      <c r="B22" s="17">
        <v>-9521.7628519999998</v>
      </c>
      <c r="C22" s="17">
        <v>-8109.7268690000001</v>
      </c>
      <c r="D22" s="17">
        <v>-10171.692691</v>
      </c>
      <c r="E22" s="17">
        <v>-10866.493705999999</v>
      </c>
      <c r="F22" s="17">
        <v>-10465.511494</v>
      </c>
      <c r="G22" s="17">
        <v>-14783.764606000001</v>
      </c>
      <c r="H22" s="17">
        <v>-17190.603587000001</v>
      </c>
      <c r="I22" s="17">
        <v>-30087.34275</v>
      </c>
      <c r="J22" s="17">
        <v>-36315.477357000003</v>
      </c>
      <c r="K22" s="17">
        <v>-28945.614335999999</v>
      </c>
      <c r="L22" s="17">
        <v>-24763.291613000001</v>
      </c>
    </row>
    <row r="23" spans="1:12">
      <c r="A23" s="15" t="s">
        <v>127</v>
      </c>
      <c r="B23" s="22">
        <v>-127.362261</v>
      </c>
      <c r="C23" s="22">
        <v>-134.907746</v>
      </c>
      <c r="D23" s="22">
        <v>-156.535786</v>
      </c>
      <c r="E23" s="22">
        <v>-217.839403</v>
      </c>
      <c r="F23" s="22">
        <v>-309.33553499999999</v>
      </c>
      <c r="G23" s="22">
        <v>-349.22968300000002</v>
      </c>
      <c r="H23" s="22">
        <v>-508.165436</v>
      </c>
      <c r="I23" s="22">
        <v>-323.67154099999999</v>
      </c>
      <c r="J23" s="22">
        <v>-233.265142</v>
      </c>
      <c r="K23" s="22">
        <v>-179.061161</v>
      </c>
      <c r="L23" s="22">
        <v>-234.61892</v>
      </c>
    </row>
    <row r="24" spans="1:12">
      <c r="A24" s="16" t="s">
        <v>128</v>
      </c>
      <c r="B24" s="10">
        <v>0</v>
      </c>
      <c r="C24" s="17">
        <v>-3.2064870000000001</v>
      </c>
      <c r="D24" s="17">
        <v>-7.3093680000000001</v>
      </c>
      <c r="E24" s="17">
        <v>-3.870628</v>
      </c>
      <c r="F24" s="17">
        <v>-2.567215</v>
      </c>
      <c r="G24" s="17">
        <v>-2.4542980000000001</v>
      </c>
      <c r="H24" s="10">
        <v>0</v>
      </c>
      <c r="I24" s="17">
        <v>-4.1176979999999999</v>
      </c>
      <c r="J24" s="10">
        <v>0</v>
      </c>
      <c r="K24" s="10">
        <v>0</v>
      </c>
      <c r="L24" s="10">
        <v>0</v>
      </c>
    </row>
    <row r="25" spans="1:12">
      <c r="A25" s="24" t="s">
        <v>129</v>
      </c>
      <c r="B25" s="14">
        <v>6.6086390000000002</v>
      </c>
      <c r="C25" s="14">
        <v>44.652512000000002</v>
      </c>
      <c r="D25" s="14">
        <v>3.0408230000000001</v>
      </c>
      <c r="E25" s="14">
        <v>10.723305</v>
      </c>
      <c r="F25" s="14">
        <v>6.0173509999999997</v>
      </c>
      <c r="G25" s="14">
        <v>9.2944949999999995</v>
      </c>
      <c r="H25" s="14">
        <v>20.605941000000001</v>
      </c>
      <c r="I25" s="14">
        <v>381.76729599999999</v>
      </c>
      <c r="J25" s="14">
        <v>578.50350700000001</v>
      </c>
      <c r="K25" s="14">
        <v>377.03559200000001</v>
      </c>
      <c r="L25" s="14">
        <v>540.83741699999996</v>
      </c>
    </row>
    <row r="26" spans="1:12">
      <c r="A26" s="19" t="s">
        <v>130</v>
      </c>
      <c r="B26" s="6">
        <v>121.77955300000001</v>
      </c>
      <c r="C26" s="6">
        <v>1121.746345</v>
      </c>
      <c r="D26" s="6">
        <v>-2377.6845490000001</v>
      </c>
      <c r="E26" s="6">
        <v>-534.26262599999995</v>
      </c>
      <c r="F26" s="6">
        <v>-314.38019500000001</v>
      </c>
      <c r="G26" s="6">
        <v>-362.97746000000001</v>
      </c>
      <c r="H26" s="6">
        <v>1.6704300000000001</v>
      </c>
      <c r="I26" s="6">
        <v>157.526983</v>
      </c>
      <c r="J26" s="6">
        <v>-4378.0347579999998</v>
      </c>
      <c r="K26" s="6">
        <v>-1789.5113960000001</v>
      </c>
      <c r="L26" s="6">
        <v>-2179.8814670000002</v>
      </c>
    </row>
    <row r="27" spans="1:12">
      <c r="A27" s="15" t="s">
        <v>131</v>
      </c>
      <c r="B27" s="14">
        <v>199.825793</v>
      </c>
      <c r="C27" s="14">
        <v>1403.4381089999999</v>
      </c>
      <c r="D27" s="14">
        <v>3641.294339</v>
      </c>
      <c r="E27" s="14">
        <v>3412.6185540000001</v>
      </c>
      <c r="F27" s="14">
        <v>3283.6718540000002</v>
      </c>
      <c r="G27" s="14">
        <v>8360.1073489999999</v>
      </c>
      <c r="H27" s="14">
        <v>9076.3600779999997</v>
      </c>
      <c r="I27" s="14">
        <v>9297.2088100000001</v>
      </c>
      <c r="J27" s="14">
        <v>7977.0049239999998</v>
      </c>
      <c r="K27" s="14">
        <v>7259.3077469999998</v>
      </c>
      <c r="L27" s="14">
        <v>7568.5505720000001</v>
      </c>
    </row>
    <row r="28" spans="1:12">
      <c r="A28" s="9" t="s">
        <v>132</v>
      </c>
      <c r="B28" s="10">
        <v>321.60534699999999</v>
      </c>
      <c r="C28" s="10">
        <v>2525.1844540000002</v>
      </c>
      <c r="D28" s="10">
        <v>1263.60979</v>
      </c>
      <c r="E28" s="10">
        <v>2878.3559279999999</v>
      </c>
      <c r="F28" s="10">
        <v>2969.291659</v>
      </c>
      <c r="G28" s="10">
        <v>7997.1298889999998</v>
      </c>
      <c r="H28" s="10">
        <v>9078.0305069999995</v>
      </c>
      <c r="I28" s="10">
        <v>9454.7357929999998</v>
      </c>
      <c r="J28" s="10">
        <v>3598.9701660000001</v>
      </c>
      <c r="K28" s="10">
        <v>5469.7963499999996</v>
      </c>
      <c r="L28" s="10">
        <v>5388.6691049999999</v>
      </c>
    </row>
    <row r="29" spans="1:12">
      <c r="A29" s="7" t="s">
        <v>115</v>
      </c>
      <c r="B29" s="8">
        <v>-11.845476</v>
      </c>
      <c r="C29" s="8">
        <v>-3.05986</v>
      </c>
      <c r="D29" s="8">
        <v>70.347392999999997</v>
      </c>
      <c r="E29" s="8">
        <v>100.730737</v>
      </c>
      <c r="F29" s="8">
        <v>61.605474000000001</v>
      </c>
      <c r="G29" s="8">
        <v>32.973300999999999</v>
      </c>
      <c r="H29" s="8">
        <v>48.628306000000002</v>
      </c>
      <c r="I29" s="8">
        <v>-36.903618000000002</v>
      </c>
      <c r="J29" s="8">
        <v>239.388451</v>
      </c>
      <c r="K29" s="8">
        <v>-83.354078999999999</v>
      </c>
      <c r="L29" s="8">
        <v>-56.020978999999997</v>
      </c>
    </row>
    <row r="30" spans="1:12">
      <c r="A30" s="9" t="s">
        <v>133</v>
      </c>
      <c r="B30" s="17">
        <v>-17.188143</v>
      </c>
      <c r="C30" s="17">
        <v>-15.599512000000001</v>
      </c>
      <c r="D30" s="17">
        <v>-4.4954539999999996</v>
      </c>
      <c r="E30" s="10">
        <v>0</v>
      </c>
      <c r="F30" s="10">
        <v>0</v>
      </c>
      <c r="G30" s="10">
        <v>0</v>
      </c>
      <c r="H30" s="10">
        <v>0</v>
      </c>
      <c r="I30" s="17">
        <v>-71.507461000000006</v>
      </c>
      <c r="J30" s="17">
        <v>-71.010745</v>
      </c>
      <c r="K30" s="17">
        <v>-130.13565600000001</v>
      </c>
      <c r="L30" s="17">
        <v>-133.272356</v>
      </c>
    </row>
    <row r="31" spans="1:12">
      <c r="A31" s="15" t="s">
        <v>134</v>
      </c>
      <c r="B31" s="14">
        <v>5.3426669999999996</v>
      </c>
      <c r="C31" s="14">
        <v>12.539652</v>
      </c>
      <c r="D31" s="14">
        <v>74.842847000000006</v>
      </c>
      <c r="E31" s="14">
        <v>100.730737</v>
      </c>
      <c r="F31" s="14">
        <v>61.605474000000001</v>
      </c>
      <c r="G31" s="14">
        <v>32.973300999999999</v>
      </c>
      <c r="H31" s="14">
        <v>48.628306000000002</v>
      </c>
      <c r="I31" s="14">
        <v>34.603842999999998</v>
      </c>
      <c r="J31" s="14">
        <v>310.39919600000002</v>
      </c>
      <c r="K31" s="14">
        <v>46.781576999999999</v>
      </c>
      <c r="L31" s="14">
        <v>77.251377000000005</v>
      </c>
    </row>
    <row r="32" spans="1:12">
      <c r="A32" s="16" t="s">
        <v>135</v>
      </c>
      <c r="B32" s="17">
        <v>-9532.5823970000001</v>
      </c>
      <c r="C32" s="17">
        <v>-7084.5021040000001</v>
      </c>
      <c r="D32" s="17">
        <v>-12639.834177999999</v>
      </c>
      <c r="E32" s="17">
        <v>-11511.012321</v>
      </c>
      <c r="F32" s="17">
        <v>-11024.171614000001</v>
      </c>
      <c r="G32" s="17">
        <v>-15456.158251000001</v>
      </c>
      <c r="H32" s="17">
        <v>-17627.864345999998</v>
      </c>
      <c r="I32" s="17">
        <v>-29912.741328</v>
      </c>
      <c r="J32" s="17">
        <v>-40108.885299000001</v>
      </c>
      <c r="K32" s="17">
        <v>-30620.505379999999</v>
      </c>
      <c r="L32" s="17">
        <v>-26692.975562</v>
      </c>
    </row>
    <row r="33" spans="1:12">
      <c r="A33" s="18" t="s">
        <v>136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>
      <c r="A34" s="19" t="s">
        <v>137</v>
      </c>
      <c r="B34" s="6">
        <v>-2566.9174280000002</v>
      </c>
      <c r="C34" s="6">
        <v>-3674.5992200000001</v>
      </c>
      <c r="D34" s="6">
        <v>-4824.1365310000001</v>
      </c>
      <c r="E34" s="6">
        <v>-5966.3541580000001</v>
      </c>
      <c r="F34" s="6">
        <v>-6879.3479349999998</v>
      </c>
      <c r="G34" s="6">
        <v>-8388.2592989999994</v>
      </c>
      <c r="H34" s="6">
        <v>-8806.522508</v>
      </c>
      <c r="I34" s="6">
        <v>-9515.5251380000009</v>
      </c>
      <c r="J34" s="6">
        <v>-9567.453802</v>
      </c>
      <c r="K34" s="6">
        <v>-9358.6717549999994</v>
      </c>
      <c r="L34" s="6">
        <v>-9487.9420850000006</v>
      </c>
    </row>
    <row r="35" spans="1:12">
      <c r="A35" s="15" t="s">
        <v>138</v>
      </c>
      <c r="B35" s="22">
        <v>-2566.9174280000002</v>
      </c>
      <c r="C35" s="22">
        <v>-3674.5992200000001</v>
      </c>
      <c r="D35" s="22">
        <v>-4824.1365310000001</v>
      </c>
      <c r="E35" s="22">
        <v>-5966.3541580000001</v>
      </c>
      <c r="F35" s="22">
        <v>-6879.3479349999998</v>
      </c>
      <c r="G35" s="22">
        <v>-8388.2592989999994</v>
      </c>
      <c r="H35" s="22">
        <v>-8806.522508</v>
      </c>
      <c r="I35" s="22">
        <v>-9515.5251380000009</v>
      </c>
      <c r="J35" s="22">
        <v>-9567.453802</v>
      </c>
      <c r="K35" s="22">
        <v>-9358.6717549999994</v>
      </c>
      <c r="L35" s="22">
        <v>-9487.9420850000006</v>
      </c>
    </row>
    <row r="36" spans="1:12">
      <c r="A36" s="19" t="s">
        <v>139</v>
      </c>
      <c r="B36" s="6">
        <v>1.5528059999999999</v>
      </c>
      <c r="C36" s="6">
        <v>1.067296</v>
      </c>
      <c r="D36" s="6">
        <v>0</v>
      </c>
      <c r="E36" s="6">
        <v>0.68491599999999997</v>
      </c>
      <c r="F36" s="6">
        <v>0.33630199999999999</v>
      </c>
      <c r="G36" s="6">
        <v>0.12959100000000001</v>
      </c>
      <c r="H36" s="6">
        <v>0.24687100000000001</v>
      </c>
      <c r="I36" s="6">
        <v>0</v>
      </c>
      <c r="J36" s="6">
        <v>-29.234459999999999</v>
      </c>
      <c r="K36" s="6">
        <v>0</v>
      </c>
      <c r="L36" s="6">
        <v>0</v>
      </c>
    </row>
    <row r="37" spans="1:12">
      <c r="A37" s="15" t="s">
        <v>140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22">
        <v>-29.234459999999999</v>
      </c>
      <c r="K37" s="14">
        <v>0</v>
      </c>
      <c r="L37" s="14">
        <v>0</v>
      </c>
    </row>
    <row r="38" spans="1:12">
      <c r="A38" s="23" t="s">
        <v>141</v>
      </c>
      <c r="B38" s="6">
        <v>1.5528059999999999</v>
      </c>
      <c r="C38" s="6">
        <v>1.067296</v>
      </c>
      <c r="D38" s="6">
        <v>0</v>
      </c>
      <c r="E38" s="6">
        <v>0.68491599999999997</v>
      </c>
      <c r="F38" s="6">
        <v>0.33630199999999999</v>
      </c>
      <c r="G38" s="6">
        <v>0.12959100000000001</v>
      </c>
      <c r="H38" s="6">
        <v>0.24687100000000001</v>
      </c>
      <c r="I38" s="6">
        <v>0</v>
      </c>
      <c r="J38" s="6">
        <v>0</v>
      </c>
      <c r="K38" s="6">
        <v>0</v>
      </c>
      <c r="L38" s="6">
        <v>0</v>
      </c>
    </row>
    <row r="39" spans="1:12">
      <c r="A39" s="13" t="s">
        <v>142</v>
      </c>
      <c r="B39" s="14">
        <v>0</v>
      </c>
      <c r="C39" s="14">
        <v>0</v>
      </c>
      <c r="D39" s="14">
        <v>0</v>
      </c>
      <c r="E39" s="14">
        <v>0.68491599999999997</v>
      </c>
      <c r="F39" s="14">
        <v>0.33630199999999999</v>
      </c>
      <c r="G39" s="14">
        <v>0.12959100000000001</v>
      </c>
      <c r="H39" s="14">
        <v>0.24687100000000001</v>
      </c>
      <c r="I39" s="14">
        <v>0</v>
      </c>
      <c r="J39" s="14">
        <v>0</v>
      </c>
      <c r="K39" s="14">
        <v>0</v>
      </c>
      <c r="L39" s="14">
        <v>0</v>
      </c>
    </row>
    <row r="40" spans="1:12">
      <c r="A40" s="12" t="s">
        <v>143</v>
      </c>
      <c r="B40" s="10">
        <v>1.5528059999999999</v>
      </c>
      <c r="C40" s="10">
        <v>1.067296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</row>
    <row r="41" spans="1:12">
      <c r="A41" s="7" t="s">
        <v>144</v>
      </c>
      <c r="B41" s="8">
        <v>611.654537</v>
      </c>
      <c r="C41" s="8">
        <v>98.843391999999994</v>
      </c>
      <c r="D41" s="8">
        <v>-139.878806</v>
      </c>
      <c r="E41" s="8">
        <v>-911.72580900000003</v>
      </c>
      <c r="F41" s="8">
        <v>-1130.9080449999999</v>
      </c>
      <c r="G41" s="8">
        <v>-100.143218</v>
      </c>
      <c r="H41" s="8">
        <v>5941.6386000000002</v>
      </c>
      <c r="I41" s="8">
        <v>14264.475782</v>
      </c>
      <c r="J41" s="8">
        <v>2818.323813</v>
      </c>
      <c r="K41" s="8">
        <v>3083.3809369999999</v>
      </c>
      <c r="L41" s="8">
        <v>2842.4441350000002</v>
      </c>
    </row>
    <row r="42" spans="1:12">
      <c r="A42" s="9" t="s">
        <v>145</v>
      </c>
      <c r="B42" s="10">
        <v>612.59258899999998</v>
      </c>
      <c r="C42" s="10">
        <v>98.843391999999994</v>
      </c>
      <c r="D42" s="10">
        <v>588.16939400000001</v>
      </c>
      <c r="E42" s="10">
        <v>341.66219799999999</v>
      </c>
      <c r="F42" s="10">
        <v>793.34773299999995</v>
      </c>
      <c r="G42" s="10">
        <v>1028.8423339999999</v>
      </c>
      <c r="H42" s="17">
        <v>-1072.738384</v>
      </c>
      <c r="I42" s="10">
        <v>1276.9785420000001</v>
      </c>
      <c r="J42" s="17">
        <v>-3755.4125960000001</v>
      </c>
      <c r="K42" s="10">
        <v>0</v>
      </c>
      <c r="L42" s="10">
        <v>0</v>
      </c>
    </row>
    <row r="43" spans="1:12">
      <c r="A43" s="11" t="s">
        <v>146</v>
      </c>
      <c r="B43" s="8">
        <v>-0.938052</v>
      </c>
      <c r="C43" s="18"/>
      <c r="D43" s="8">
        <v>-728.04819999999995</v>
      </c>
      <c r="E43" s="8">
        <v>-1253.388007</v>
      </c>
      <c r="F43" s="8">
        <v>-1924.255778</v>
      </c>
      <c r="G43" s="8">
        <v>-1128.9855520000001</v>
      </c>
      <c r="H43" s="8">
        <v>7014.3769849999999</v>
      </c>
      <c r="I43" s="8">
        <v>12987.497240999999</v>
      </c>
      <c r="J43" s="8">
        <v>6573.7364100000004</v>
      </c>
      <c r="K43" s="8">
        <v>3083.3809369999999</v>
      </c>
      <c r="L43" s="8">
        <v>2842.4441350000002</v>
      </c>
    </row>
    <row r="44" spans="1:12">
      <c r="A44" s="12" t="s">
        <v>147</v>
      </c>
      <c r="B44" s="10">
        <v>0</v>
      </c>
      <c r="C44" s="20"/>
      <c r="D44" s="10">
        <v>0</v>
      </c>
      <c r="E44" s="10">
        <v>0</v>
      </c>
      <c r="F44" s="10">
        <v>0</v>
      </c>
      <c r="G44" s="10">
        <v>0</v>
      </c>
      <c r="H44" s="10">
        <v>8107.6443520000003</v>
      </c>
      <c r="I44" s="10">
        <v>13080.58088</v>
      </c>
      <c r="J44" s="10">
        <v>6726.9136159999998</v>
      </c>
      <c r="K44" s="10">
        <v>3720.4076789999999</v>
      </c>
      <c r="L44" s="10">
        <v>3090.2597649999998</v>
      </c>
    </row>
    <row r="45" spans="1:12">
      <c r="A45" s="13" t="s">
        <v>148</v>
      </c>
      <c r="B45" s="22">
        <v>-0.938052</v>
      </c>
      <c r="C45" s="21"/>
      <c r="D45" s="22">
        <v>-728.04819999999995</v>
      </c>
      <c r="E45" s="22">
        <v>-1253.388007</v>
      </c>
      <c r="F45" s="22">
        <v>-1924.255778</v>
      </c>
      <c r="G45" s="22">
        <v>-1128.9855520000001</v>
      </c>
      <c r="H45" s="22">
        <v>-1093.267368</v>
      </c>
      <c r="I45" s="22">
        <v>-93.083640000000003</v>
      </c>
      <c r="J45" s="22">
        <v>-153.17720600000001</v>
      </c>
      <c r="K45" s="22">
        <v>-637.02674200000001</v>
      </c>
      <c r="L45" s="22">
        <v>-247.815631</v>
      </c>
    </row>
    <row r="46" spans="1:12">
      <c r="A46" s="16" t="s">
        <v>149</v>
      </c>
      <c r="B46" s="20"/>
      <c r="C46" s="20"/>
      <c r="D46" s="20"/>
      <c r="E46" s="20"/>
      <c r="F46" s="20"/>
      <c r="G46" s="17">
        <v>-94.802081000000001</v>
      </c>
      <c r="H46" s="17">
        <v>-88.835145999999995</v>
      </c>
      <c r="I46" s="17">
        <v>-71.077879999999993</v>
      </c>
      <c r="J46" s="17">
        <v>-81.450362999999996</v>
      </c>
      <c r="K46" s="17">
        <v>-91.569652000000005</v>
      </c>
      <c r="L46" s="17">
        <v>-92.910921999999999</v>
      </c>
    </row>
    <row r="47" spans="1:12">
      <c r="A47" s="7" t="s">
        <v>115</v>
      </c>
      <c r="B47" s="8">
        <v>992.25062000000003</v>
      </c>
      <c r="C47" s="8">
        <v>-0.52538099999999999</v>
      </c>
      <c r="D47" s="8">
        <v>180.81542899999999</v>
      </c>
      <c r="E47" s="8">
        <v>-94.411542999999995</v>
      </c>
      <c r="F47" s="8">
        <v>-9.2596240000000005</v>
      </c>
      <c r="G47" s="8">
        <v>-20.673245999999999</v>
      </c>
      <c r="H47" s="8">
        <v>4.400582</v>
      </c>
      <c r="I47" s="8">
        <v>15.880069000000001</v>
      </c>
      <c r="J47" s="8">
        <v>7.4635980000000002</v>
      </c>
      <c r="K47" s="8">
        <v>-3.8757139999999999</v>
      </c>
      <c r="L47" s="8">
        <v>-4.3381350000000003</v>
      </c>
    </row>
    <row r="48" spans="1:12">
      <c r="A48" s="9" t="s">
        <v>133</v>
      </c>
      <c r="B48" s="17">
        <v>-2.4564720000000002</v>
      </c>
      <c r="C48" s="17">
        <v>-24.297861999999999</v>
      </c>
      <c r="D48" s="17">
        <v>-16.223904999999998</v>
      </c>
      <c r="E48" s="17">
        <v>-125.668719</v>
      </c>
      <c r="F48" s="17">
        <v>-64.604234000000005</v>
      </c>
      <c r="G48" s="17">
        <v>-22.685459999999999</v>
      </c>
      <c r="H48" s="17">
        <v>-0.54543299999999995</v>
      </c>
      <c r="I48" s="17">
        <v>-1.3161670000000001</v>
      </c>
      <c r="J48" s="17">
        <v>-2.082986</v>
      </c>
      <c r="K48" s="17">
        <v>-11.785686</v>
      </c>
      <c r="L48" s="17">
        <v>-8.0190730000000006</v>
      </c>
    </row>
    <row r="49" spans="1:17">
      <c r="A49" s="15" t="s">
        <v>134</v>
      </c>
      <c r="B49" s="14">
        <v>994.70709199999999</v>
      </c>
      <c r="C49" s="14">
        <v>23.772480000000002</v>
      </c>
      <c r="D49" s="14">
        <v>197.039334</v>
      </c>
      <c r="E49" s="14">
        <v>31.257176000000001</v>
      </c>
      <c r="F49" s="14">
        <v>55.344610000000003</v>
      </c>
      <c r="G49" s="14">
        <v>2.0122149999999999</v>
      </c>
      <c r="H49" s="14">
        <v>4.9460139999999999</v>
      </c>
      <c r="I49" s="14">
        <v>17.196235999999999</v>
      </c>
      <c r="J49" s="14">
        <v>9.5465839999999993</v>
      </c>
      <c r="K49" s="14">
        <v>7.9099719999999998</v>
      </c>
      <c r="L49" s="14">
        <v>3.680939</v>
      </c>
    </row>
    <row r="50" spans="1:17">
      <c r="A50" s="16" t="s">
        <v>150</v>
      </c>
      <c r="B50" s="17">
        <v>-961.45946500000002</v>
      </c>
      <c r="C50" s="17">
        <v>-3575.213913</v>
      </c>
      <c r="D50" s="17">
        <v>-4783.1999079999996</v>
      </c>
      <c r="E50" s="17">
        <v>-6971.8065939999997</v>
      </c>
      <c r="F50" s="17">
        <v>-8019.1793029999999</v>
      </c>
      <c r="G50" s="17">
        <v>-8603.7482540000001</v>
      </c>
      <c r="H50" s="17">
        <v>-2949.0716010000001</v>
      </c>
      <c r="I50" s="10">
        <v>4693.7528339999999</v>
      </c>
      <c r="J50" s="17">
        <v>-6852.3512140000003</v>
      </c>
      <c r="K50" s="17">
        <v>-6370.7361849999998</v>
      </c>
      <c r="L50" s="17">
        <v>-6742.7470069999999</v>
      </c>
    </row>
    <row r="51" spans="1:17">
      <c r="A51" s="18" t="s">
        <v>151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7">
      <c r="A52" s="16" t="s">
        <v>152</v>
      </c>
      <c r="B52" s="10">
        <v>298.98378700000001</v>
      </c>
      <c r="C52" s="10">
        <v>260.08795099999998</v>
      </c>
      <c r="D52" s="17">
        <v>-248.980209</v>
      </c>
      <c r="E52" s="17">
        <v>-700.71903299999997</v>
      </c>
      <c r="F52" s="10">
        <v>327.05924599999997</v>
      </c>
      <c r="G52" s="17">
        <v>-294.83654999999999</v>
      </c>
      <c r="H52" s="17">
        <v>-798.04670299999998</v>
      </c>
      <c r="I52" s="17">
        <v>-271.508937</v>
      </c>
      <c r="J52" s="10">
        <v>1958.777531</v>
      </c>
      <c r="K52" s="17">
        <v>-267.516344</v>
      </c>
      <c r="L52" s="10">
        <v>822.38319300000001</v>
      </c>
    </row>
    <row r="53" spans="1:17">
      <c r="A53" s="24" t="s">
        <v>153</v>
      </c>
      <c r="B53" s="14">
        <v>3822.5336670000002</v>
      </c>
      <c r="C53" s="14">
        <v>6436.560187</v>
      </c>
      <c r="D53" s="22">
        <v>-664.63759600000003</v>
      </c>
      <c r="E53" s="14">
        <v>398.97375899999997</v>
      </c>
      <c r="F53" s="14">
        <v>809.92670499999997</v>
      </c>
      <c r="G53" s="22">
        <v>-3960.0305320000002</v>
      </c>
      <c r="H53" s="14">
        <v>6954.4801289999996</v>
      </c>
      <c r="I53" s="14">
        <v>14493.106385999999</v>
      </c>
      <c r="J53" s="14">
        <v>9364.322897</v>
      </c>
      <c r="K53" s="14">
        <v>3924.2555600000001</v>
      </c>
      <c r="L53" s="14">
        <v>9906.0452389999991</v>
      </c>
    </row>
    <row r="54" spans="1:17">
      <c r="A54" s="19" t="s">
        <v>154</v>
      </c>
      <c r="B54" s="6">
        <v>4495.8288899999998</v>
      </c>
      <c r="C54" s="6">
        <v>8726.4613800000006</v>
      </c>
      <c r="D54" s="6">
        <v>6835.6840099999999</v>
      </c>
      <c r="E54" s="6">
        <v>8716.018</v>
      </c>
      <c r="F54" s="6">
        <v>9060.7068799999997</v>
      </c>
      <c r="G54" s="6">
        <v>5610.9479199999996</v>
      </c>
      <c r="H54" s="6">
        <v>11138.859189999999</v>
      </c>
      <c r="I54" s="6">
        <v>9896.2610700000005</v>
      </c>
      <c r="J54" s="6">
        <v>18051.304520000002</v>
      </c>
      <c r="K54" s="6">
        <v>12237.39913</v>
      </c>
      <c r="L54" s="6">
        <v>17756.093000000001</v>
      </c>
    </row>
    <row r="55" spans="1:17">
      <c r="A55" s="15" t="s">
        <v>155</v>
      </c>
      <c r="B55" s="14">
        <v>0.86691300000000004</v>
      </c>
      <c r="C55" s="14">
        <v>1.682671</v>
      </c>
      <c r="D55" s="14">
        <v>1.318084</v>
      </c>
      <c r="E55" s="14">
        <v>1.680658</v>
      </c>
      <c r="F55" s="14">
        <v>1.7471220000000001</v>
      </c>
      <c r="G55" s="14">
        <v>1.0819259999999999</v>
      </c>
      <c r="H55" s="14">
        <v>2.14784</v>
      </c>
      <c r="I55" s="14">
        <v>1.908237</v>
      </c>
      <c r="J55" s="14">
        <v>3.4808590000000001</v>
      </c>
      <c r="K55" s="14">
        <v>2.359766</v>
      </c>
      <c r="L55" s="14">
        <v>3.423883</v>
      </c>
    </row>
    <row r="56" spans="1:17">
      <c r="A56" s="9" t="s">
        <v>156</v>
      </c>
      <c r="B56" s="27">
        <v>3.8736060000000001</v>
      </c>
      <c r="C56" s="27">
        <v>7.3963570000000001</v>
      </c>
      <c r="D56" s="27">
        <v>4.5846400000000003</v>
      </c>
      <c r="E56" s="27">
        <v>4.2387329999999999</v>
      </c>
      <c r="F56" s="27">
        <v>4.7334649999999998</v>
      </c>
      <c r="G56" s="27">
        <v>1.8621780000000001</v>
      </c>
      <c r="H56" s="27">
        <v>1.9697720000000001</v>
      </c>
      <c r="I56" s="27">
        <v>1.5861000000000001</v>
      </c>
      <c r="J56" s="27">
        <v>4.6729209999999997</v>
      </c>
      <c r="K56" s="27">
        <v>2.2690060000000001</v>
      </c>
      <c r="L56" s="27">
        <v>2.5166360000000001</v>
      </c>
    </row>
    <row r="58" spans="1:17">
      <c r="A58" t="s">
        <v>194</v>
      </c>
    </row>
    <row r="60" spans="1:17">
      <c r="A60" s="29" t="s">
        <v>157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1" spans="1:17">
      <c r="A61" s="4"/>
      <c r="B61" s="4" t="s">
        <v>158</v>
      </c>
      <c r="C61" s="4" t="s">
        <v>159</v>
      </c>
      <c r="D61" s="4" t="s">
        <v>160</v>
      </c>
      <c r="E61" s="4" t="s">
        <v>161</v>
      </c>
      <c r="F61" s="4" t="s">
        <v>162</v>
      </c>
      <c r="G61" s="4" t="s">
        <v>163</v>
      </c>
      <c r="H61" s="4" t="s">
        <v>164</v>
      </c>
      <c r="I61" s="4" t="s">
        <v>165</v>
      </c>
      <c r="J61" s="4" t="s">
        <v>166</v>
      </c>
      <c r="K61" s="4" t="s">
        <v>167</v>
      </c>
      <c r="L61" s="4" t="s">
        <v>168</v>
      </c>
      <c r="M61" s="4" t="s">
        <v>169</v>
      </c>
      <c r="N61" s="4" t="s">
        <v>170</v>
      </c>
      <c r="O61" s="4" t="s">
        <v>171</v>
      </c>
      <c r="P61" s="4" t="s">
        <v>172</v>
      </c>
      <c r="Q61" s="4" t="s">
        <v>173</v>
      </c>
    </row>
    <row r="62" spans="1:17">
      <c r="A62" s="4"/>
      <c r="B62" s="4" t="s">
        <v>174</v>
      </c>
      <c r="C62" s="4" t="s">
        <v>175</v>
      </c>
      <c r="D62" s="4" t="s">
        <v>176</v>
      </c>
      <c r="E62" s="4" t="s">
        <v>177</v>
      </c>
      <c r="F62" s="4" t="s">
        <v>178</v>
      </c>
      <c r="G62" s="4" t="s">
        <v>179</v>
      </c>
      <c r="H62" s="4" t="s">
        <v>180</v>
      </c>
      <c r="I62" s="4" t="s">
        <v>181</v>
      </c>
      <c r="J62" s="4" t="s">
        <v>182</v>
      </c>
      <c r="K62" s="4" t="s">
        <v>183</v>
      </c>
      <c r="L62" s="4" t="s">
        <v>184</v>
      </c>
      <c r="M62" s="4" t="s">
        <v>185</v>
      </c>
      <c r="N62" s="4" t="s">
        <v>186</v>
      </c>
      <c r="O62" s="4" t="s">
        <v>187</v>
      </c>
      <c r="P62" s="4" t="s">
        <v>188</v>
      </c>
      <c r="Q62" s="4" t="s">
        <v>189</v>
      </c>
    </row>
    <row r="63" spans="1:17">
      <c r="A63" s="21" t="s">
        <v>125</v>
      </c>
      <c r="B63" s="14">
        <v>9130.44</v>
      </c>
      <c r="C63" s="14">
        <v>7839.89</v>
      </c>
      <c r="D63" s="14">
        <v>10346.6</v>
      </c>
      <c r="E63" s="14">
        <v>10900</v>
      </c>
      <c r="F63" s="14">
        <v>10500</v>
      </c>
      <c r="G63" s="14">
        <v>14900</v>
      </c>
      <c r="H63" s="14">
        <v>18085.900000000001</v>
      </c>
      <c r="I63" s="14">
        <v>30000</v>
      </c>
      <c r="J63" s="14">
        <v>36300</v>
      </c>
      <c r="K63" s="14">
        <v>30066.5</v>
      </c>
      <c r="L63" s="56">
        <v>29319.7</v>
      </c>
      <c r="M63" s="56">
        <v>33180</v>
      </c>
      <c r="N63" s="56">
        <v>32099.3</v>
      </c>
      <c r="O63" s="21" t="s">
        <v>190</v>
      </c>
      <c r="P63" s="21" t="s">
        <v>190</v>
      </c>
      <c r="Q63" s="21" t="s">
        <v>190</v>
      </c>
    </row>
    <row r="64" spans="1:17">
      <c r="A64" s="20" t="s">
        <v>154</v>
      </c>
      <c r="B64" s="10">
        <v>4212.3500000000004</v>
      </c>
      <c r="C64" s="10">
        <v>8668.59</v>
      </c>
      <c r="D64" s="10">
        <v>6855.48</v>
      </c>
      <c r="E64" s="10">
        <v>8307.48</v>
      </c>
      <c r="F64" s="10">
        <v>8435.15</v>
      </c>
      <c r="G64" s="10">
        <v>5788.42</v>
      </c>
      <c r="H64" s="10">
        <v>11297.7</v>
      </c>
      <c r="I64" s="10">
        <v>6597.05</v>
      </c>
      <c r="J64" s="10">
        <v>15829.2</v>
      </c>
      <c r="K64" s="10">
        <v>11623.8</v>
      </c>
      <c r="L64" s="10">
        <v>20553.900000000001</v>
      </c>
      <c r="M64" s="10">
        <v>29334.6</v>
      </c>
      <c r="N64" s="10">
        <v>39699.9</v>
      </c>
      <c r="O64" s="20" t="s">
        <v>190</v>
      </c>
      <c r="P64" s="20" t="s">
        <v>190</v>
      </c>
      <c r="Q64" s="20" t="s">
        <v>190</v>
      </c>
    </row>
    <row r="65" spans="1:17">
      <c r="A65" s="21" t="s">
        <v>191</v>
      </c>
      <c r="B65" s="14">
        <v>13342.7</v>
      </c>
      <c r="C65" s="14">
        <v>16346.8</v>
      </c>
      <c r="D65" s="14">
        <v>17252.099999999999</v>
      </c>
      <c r="E65" s="14">
        <v>19950.5</v>
      </c>
      <c r="F65" s="14">
        <v>18619.599999999999</v>
      </c>
      <c r="G65" s="14">
        <v>20446.400000000001</v>
      </c>
      <c r="H65" s="14">
        <v>29414.5</v>
      </c>
      <c r="I65" s="14">
        <v>37452.6</v>
      </c>
      <c r="J65" s="14">
        <v>52895.9</v>
      </c>
      <c r="K65" s="14">
        <v>39315.599999999999</v>
      </c>
      <c r="L65" s="14">
        <v>50400.2</v>
      </c>
      <c r="M65" s="14">
        <v>62609.2</v>
      </c>
      <c r="N65" s="14">
        <v>73756.800000000003</v>
      </c>
      <c r="O65" s="21" t="s">
        <v>190</v>
      </c>
      <c r="P65" s="21" t="s">
        <v>190</v>
      </c>
      <c r="Q65" s="21" t="s">
        <v>190</v>
      </c>
    </row>
    <row r="66" spans="1:17">
      <c r="A66" s="20" t="s">
        <v>192</v>
      </c>
      <c r="B66" s="17">
        <v>-8936.81</v>
      </c>
      <c r="C66" s="17">
        <v>-6613.88</v>
      </c>
      <c r="D66" s="17">
        <v>-12256.8</v>
      </c>
      <c r="E66" s="17">
        <v>-11458.1</v>
      </c>
      <c r="F66" s="17">
        <v>-10148.200000000001</v>
      </c>
      <c r="G66" s="17">
        <v>-15176.9</v>
      </c>
      <c r="H66" s="17">
        <v>-18085.900000000001</v>
      </c>
      <c r="I66" s="17">
        <v>-30258.7</v>
      </c>
      <c r="J66" s="17">
        <v>-39111.800000000003</v>
      </c>
      <c r="K66" s="17">
        <v>-29120.5</v>
      </c>
      <c r="L66" s="17">
        <v>-28616.3</v>
      </c>
      <c r="M66" s="17">
        <v>-29527.3</v>
      </c>
      <c r="N66" s="17">
        <v>-26388.9</v>
      </c>
      <c r="O66" s="20" t="s">
        <v>190</v>
      </c>
      <c r="P66" s="20" t="s">
        <v>190</v>
      </c>
      <c r="Q66" s="20" t="s">
        <v>190</v>
      </c>
    </row>
    <row r="67" spans="1:17">
      <c r="A67" s="21" t="s">
        <v>193</v>
      </c>
      <c r="B67" s="22">
        <v>-1424.78</v>
      </c>
      <c r="C67" s="22">
        <v>-3553.87</v>
      </c>
      <c r="D67" s="22">
        <v>-5084.99</v>
      </c>
      <c r="E67" s="22">
        <v>-7358.42</v>
      </c>
      <c r="F67" s="22">
        <v>-7873.99</v>
      </c>
      <c r="G67" s="22">
        <v>-8939.66</v>
      </c>
      <c r="H67" s="22">
        <v>-3177.6</v>
      </c>
      <c r="I67" s="14">
        <v>4942.22</v>
      </c>
      <c r="J67" s="22">
        <v>-6576.48</v>
      </c>
      <c r="K67" s="22">
        <v>-6485.94</v>
      </c>
      <c r="L67" s="22">
        <v>-12299.9</v>
      </c>
      <c r="M67" s="22">
        <v>-10638.4</v>
      </c>
      <c r="N67" s="22">
        <v>-14591.2</v>
      </c>
      <c r="O67" s="21" t="s">
        <v>190</v>
      </c>
      <c r="P67" s="21" t="s">
        <v>190</v>
      </c>
      <c r="Q67" s="21" t="s">
        <v>190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DCF</vt:lpstr>
      <vt:lpstr>Income</vt:lpstr>
      <vt:lpstr>Cashflow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2025-01-07T16:22:36Z</dcterms:created>
  <dcterms:modified xsi:type="dcterms:W3CDTF">2025-01-07T17:38:34Z</dcterms:modified>
</cp:coreProperties>
</file>