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C19BC861-FEA3-294D-8EE9-6F0035A73608}" xr6:coauthVersionLast="47" xr6:coauthVersionMax="47" xr10:uidLastSave="{00000000-0000-0000-0000-000000000000}"/>
  <bookViews>
    <workbookView xWindow="28800" yWindow="500" windowWidth="32000" windowHeight="17500" xr2:uid="{CC6FD07D-BEAE-1B49-A643-CDF502C66AFF}"/>
  </bookViews>
  <sheets>
    <sheet name="DCF" sheetId="1" r:id="rId1"/>
    <sheet name="WACC" sheetId="2" r:id="rId2"/>
    <sheet name="IS -23" sheetId="3" r:id="rId3"/>
    <sheet name="CS -23" sheetId="4" r:id="rId4"/>
    <sheet name="BS -23" sheetId="5" r:id="rId5"/>
  </sheets>
  <externalReferences>
    <externalReference r:id="rId6"/>
  </externalReferences>
  <definedNames>
    <definedName name="tgr">DCF!$E$19</definedName>
    <definedName name="wacc">DCF!$E$18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F4" i="2"/>
  <c r="L6" i="1"/>
  <c r="S81" i="1"/>
  <c r="F17" i="2"/>
  <c r="F15" i="2"/>
  <c r="G5" i="2" l="1"/>
  <c r="F8" i="2" s="1"/>
  <c r="J15" i="1"/>
  <c r="T15" i="1"/>
  <c r="G38" i="1"/>
  <c r="N38" i="1"/>
  <c r="N39" i="1" s="1"/>
  <c r="M38" i="1"/>
  <c r="L38" i="1"/>
  <c r="K38" i="1"/>
  <c r="J38" i="1"/>
  <c r="I38" i="1"/>
  <c r="H38" i="1"/>
  <c r="F38" i="1"/>
  <c r="E38" i="1"/>
  <c r="N36" i="1"/>
  <c r="N35" i="1"/>
  <c r="M35" i="1"/>
  <c r="L35" i="1"/>
  <c r="K35" i="1"/>
  <c r="J35" i="1"/>
  <c r="I35" i="1"/>
  <c r="H35" i="1"/>
  <c r="G35" i="1"/>
  <c r="F35" i="1"/>
  <c r="E35" i="1"/>
  <c r="N32" i="1"/>
  <c r="N33" i="1" s="1"/>
  <c r="M32" i="1"/>
  <c r="L32" i="1"/>
  <c r="K32" i="1"/>
  <c r="J32" i="1"/>
  <c r="I32" i="1"/>
  <c r="H32" i="1"/>
  <c r="G32" i="1"/>
  <c r="F32" i="1"/>
  <c r="E32" i="1"/>
  <c r="N29" i="1"/>
  <c r="N28" i="1" s="1"/>
  <c r="M29" i="1"/>
  <c r="L29" i="1"/>
  <c r="K29" i="1"/>
  <c r="J29" i="1"/>
  <c r="I29" i="1"/>
  <c r="H29" i="1"/>
  <c r="G29" i="1"/>
  <c r="F29" i="1"/>
  <c r="E29" i="1"/>
  <c r="J36" i="1" l="1"/>
  <c r="J63" i="1" s="1"/>
  <c r="K33" i="1"/>
  <c r="K60" i="1" s="1"/>
  <c r="K36" i="1"/>
  <c r="G36" i="1"/>
  <c r="I36" i="1"/>
  <c r="I63" i="1" s="1"/>
  <c r="G39" i="1"/>
  <c r="O23" i="1"/>
  <c r="O12" i="1" s="1"/>
  <c r="P23" i="1"/>
  <c r="P26" i="1"/>
  <c r="O26" i="1"/>
  <c r="O14" i="1" s="1"/>
  <c r="N26" i="1"/>
  <c r="M28" i="1"/>
  <c r="L28" i="1"/>
  <c r="K28" i="1"/>
  <c r="J28" i="1"/>
  <c r="J54" i="1" s="1"/>
  <c r="I28" i="1"/>
  <c r="I54" i="1" s="1"/>
  <c r="H28" i="1"/>
  <c r="H54" i="1" s="1"/>
  <c r="G28" i="1"/>
  <c r="G54" i="1" s="1"/>
  <c r="F28" i="1"/>
  <c r="F54" i="1" s="1"/>
  <c r="E28" i="1"/>
  <c r="I26" i="1"/>
  <c r="M25" i="1"/>
  <c r="L25" i="1"/>
  <c r="L48" i="1" s="1"/>
  <c r="K25" i="1"/>
  <c r="K26" i="1" s="1"/>
  <c r="K49" i="1" s="1"/>
  <c r="J25" i="1"/>
  <c r="I25" i="1"/>
  <c r="H25" i="1"/>
  <c r="H48" i="1" s="1"/>
  <c r="G25" i="1"/>
  <c r="G48" i="1" s="1"/>
  <c r="F25" i="1"/>
  <c r="F48" i="1" s="1"/>
  <c r="E25" i="1"/>
  <c r="M22" i="1"/>
  <c r="L22" i="1"/>
  <c r="L23" i="1" s="1"/>
  <c r="L43" i="1" s="1"/>
  <c r="K22" i="1"/>
  <c r="J22" i="1"/>
  <c r="I22" i="1"/>
  <c r="H22" i="1"/>
  <c r="G22" i="1"/>
  <c r="G23" i="1" s="1"/>
  <c r="F22" i="1"/>
  <c r="E22" i="1"/>
  <c r="E36" i="1" s="1"/>
  <c r="E63" i="1" s="1"/>
  <c r="Y59" i="5"/>
  <c r="Y60" i="5" s="1"/>
  <c r="X59" i="5"/>
  <c r="X60" i="5" s="1"/>
  <c r="W59" i="5"/>
  <c r="W60" i="5" s="1"/>
  <c r="V59" i="5"/>
  <c r="V60" i="5" s="1"/>
  <c r="U59" i="5"/>
  <c r="U60" i="5" s="1"/>
  <c r="T59" i="5"/>
  <c r="T60" i="5" s="1"/>
  <c r="S59" i="5"/>
  <c r="S60" i="5" s="1"/>
  <c r="R59" i="5"/>
  <c r="R60" i="5" s="1"/>
  <c r="Q59" i="5"/>
  <c r="Q60" i="5" s="1"/>
  <c r="P59" i="5"/>
  <c r="P60" i="5" s="1"/>
  <c r="O59" i="5"/>
  <c r="O60" i="5" s="1"/>
  <c r="N59" i="5"/>
  <c r="N60" i="5" s="1"/>
  <c r="M59" i="5"/>
  <c r="M60" i="5" s="1"/>
  <c r="L59" i="5"/>
  <c r="L60" i="5" s="1"/>
  <c r="K59" i="5"/>
  <c r="K60" i="5" s="1"/>
  <c r="J59" i="5"/>
  <c r="J60" i="5" s="1"/>
  <c r="I59" i="5"/>
  <c r="I60" i="5" s="1"/>
  <c r="H59" i="5"/>
  <c r="H60" i="5" s="1"/>
  <c r="G59" i="5"/>
  <c r="G60" i="5" s="1"/>
  <c r="F59" i="5"/>
  <c r="F60" i="5" s="1"/>
  <c r="E59" i="5"/>
  <c r="E60" i="5" s="1"/>
  <c r="D59" i="5"/>
  <c r="D60" i="5" s="1"/>
  <c r="C59" i="5"/>
  <c r="C60" i="5" s="1"/>
  <c r="B59" i="5"/>
  <c r="B60" i="5" s="1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S35" i="4"/>
  <c r="K35" i="4"/>
  <c r="C35" i="4"/>
  <c r="Z34" i="4"/>
  <c r="Y34" i="4"/>
  <c r="X34" i="4"/>
  <c r="W34" i="4"/>
  <c r="V34" i="4"/>
  <c r="U34" i="4"/>
  <c r="T34" i="4"/>
  <c r="T35" i="4" s="1"/>
  <c r="S34" i="4"/>
  <c r="R34" i="4"/>
  <c r="Q34" i="4"/>
  <c r="P34" i="4"/>
  <c r="O34" i="4"/>
  <c r="N34" i="4"/>
  <c r="M34" i="4"/>
  <c r="L34" i="4"/>
  <c r="L35" i="4" s="1"/>
  <c r="K34" i="4"/>
  <c r="J34" i="4"/>
  <c r="I34" i="4"/>
  <c r="H34" i="4"/>
  <c r="G34" i="4"/>
  <c r="F34" i="4"/>
  <c r="E34" i="4"/>
  <c r="D34" i="4"/>
  <c r="D35" i="4" s="1"/>
  <c r="C34" i="4"/>
  <c r="B34" i="4"/>
  <c r="Z33" i="4"/>
  <c r="Z35" i="4" s="1"/>
  <c r="Y33" i="4"/>
  <c r="Y35" i="4" s="1"/>
  <c r="X33" i="4"/>
  <c r="X35" i="4" s="1"/>
  <c r="W33" i="4"/>
  <c r="W35" i="4" s="1"/>
  <c r="V33" i="4"/>
  <c r="V35" i="4" s="1"/>
  <c r="U33" i="4"/>
  <c r="U35" i="4" s="1"/>
  <c r="T33" i="4"/>
  <c r="S33" i="4"/>
  <c r="R33" i="4"/>
  <c r="R35" i="4" s="1"/>
  <c r="Q33" i="4"/>
  <c r="Q35" i="4" s="1"/>
  <c r="P33" i="4"/>
  <c r="P35" i="4" s="1"/>
  <c r="O33" i="4"/>
  <c r="O35" i="4" s="1"/>
  <c r="N33" i="4"/>
  <c r="N35" i="4" s="1"/>
  <c r="M33" i="4"/>
  <c r="M35" i="4" s="1"/>
  <c r="L33" i="4"/>
  <c r="K33" i="4"/>
  <c r="J33" i="4"/>
  <c r="J35" i="4" s="1"/>
  <c r="I33" i="4"/>
  <c r="I35" i="4" s="1"/>
  <c r="H33" i="4"/>
  <c r="H35" i="4" s="1"/>
  <c r="G33" i="4"/>
  <c r="G35" i="4" s="1"/>
  <c r="F33" i="4"/>
  <c r="F35" i="4" s="1"/>
  <c r="E33" i="4"/>
  <c r="E35" i="4" s="1"/>
  <c r="D33" i="4"/>
  <c r="C33" i="4"/>
  <c r="B33" i="4"/>
  <c r="B35" i="4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F20" i="2"/>
  <c r="F16" i="2"/>
  <c r="F10" i="2"/>
  <c r="N65" i="1"/>
  <c r="M65" i="1"/>
  <c r="L65" i="1"/>
  <c r="K65" i="1"/>
  <c r="J65" i="1"/>
  <c r="I65" i="1"/>
  <c r="H65" i="1"/>
  <c r="G65" i="1"/>
  <c r="F65" i="1"/>
  <c r="E65" i="1"/>
  <c r="N62" i="1"/>
  <c r="M62" i="1"/>
  <c r="L62" i="1"/>
  <c r="K62" i="1"/>
  <c r="J62" i="1"/>
  <c r="I62" i="1"/>
  <c r="H62" i="1"/>
  <c r="G62" i="1"/>
  <c r="F62" i="1"/>
  <c r="E62" i="1"/>
  <c r="N59" i="1"/>
  <c r="M59" i="1"/>
  <c r="L59" i="1"/>
  <c r="K59" i="1"/>
  <c r="J59" i="1"/>
  <c r="I59" i="1"/>
  <c r="H59" i="1"/>
  <c r="G59" i="1"/>
  <c r="F59" i="1"/>
  <c r="E59" i="1"/>
  <c r="H55" i="1"/>
  <c r="N49" i="1"/>
  <c r="N48" i="1"/>
  <c r="J42" i="1"/>
  <c r="I42" i="1"/>
  <c r="E43" i="1"/>
  <c r="E42" i="1"/>
  <c r="N66" i="1"/>
  <c r="N63" i="1"/>
  <c r="K63" i="1"/>
  <c r="G63" i="1"/>
  <c r="N60" i="1"/>
  <c r="N55" i="1"/>
  <c r="M55" i="1"/>
  <c r="L55" i="1"/>
  <c r="K55" i="1"/>
  <c r="J55" i="1"/>
  <c r="I55" i="1"/>
  <c r="G55" i="1"/>
  <c r="F55" i="1"/>
  <c r="E55" i="1"/>
  <c r="N54" i="1"/>
  <c r="M54" i="1"/>
  <c r="L54" i="1"/>
  <c r="K54" i="1"/>
  <c r="E54" i="1"/>
  <c r="I49" i="1"/>
  <c r="E48" i="1"/>
  <c r="N42" i="1"/>
  <c r="O71" i="1"/>
  <c r="P72" i="1" s="1"/>
  <c r="Q72" i="1" s="1"/>
  <c r="R72" i="1" s="1"/>
  <c r="S72" i="1" s="1"/>
  <c r="P40" i="1"/>
  <c r="Q40" i="1" s="1"/>
  <c r="R40" i="1" s="1"/>
  <c r="S40" i="1" s="1"/>
  <c r="E3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F21" i="1"/>
  <c r="F31" i="1" s="1"/>
  <c r="E19" i="1"/>
  <c r="M42" i="1" l="1"/>
  <c r="M36" i="1"/>
  <c r="M63" i="1" s="1"/>
  <c r="F42" i="1"/>
  <c r="F36" i="1"/>
  <c r="F63" i="1" s="1"/>
  <c r="M26" i="1"/>
  <c r="M49" i="1" s="1"/>
  <c r="K48" i="1"/>
  <c r="I23" i="1"/>
  <c r="I43" i="1" s="1"/>
  <c r="H39" i="1"/>
  <c r="H66" i="1" s="1"/>
  <c r="J12" i="1"/>
  <c r="T12" i="1"/>
  <c r="O45" i="1"/>
  <c r="H36" i="1"/>
  <c r="H63" i="1" s="1"/>
  <c r="E39" i="1"/>
  <c r="E66" i="1" s="1"/>
  <c r="I33" i="1"/>
  <c r="I60" i="1" s="1"/>
  <c r="I39" i="1"/>
  <c r="F23" i="1"/>
  <c r="F43" i="1" s="1"/>
  <c r="N23" i="1"/>
  <c r="N43" i="1" s="1"/>
  <c r="M33" i="1"/>
  <c r="M60" i="1" s="1"/>
  <c r="L39" i="1"/>
  <c r="L66" i="1" s="1"/>
  <c r="G33" i="1"/>
  <c r="G60" i="1" s="1"/>
  <c r="L42" i="1"/>
  <c r="G42" i="1"/>
  <c r="M48" i="1"/>
  <c r="J23" i="1"/>
  <c r="J43" i="1" s="1"/>
  <c r="J39" i="1"/>
  <c r="J66" i="1" s="1"/>
  <c r="J33" i="1"/>
  <c r="J60" i="1" s="1"/>
  <c r="L36" i="1"/>
  <c r="L63" i="1" s="1"/>
  <c r="E33" i="1"/>
  <c r="E60" i="1" s="1"/>
  <c r="M39" i="1"/>
  <c r="M66" i="1" s="1"/>
  <c r="J14" i="1"/>
  <c r="O50" i="1" s="1"/>
  <c r="P50" i="1" s="1"/>
  <c r="Q50" i="1" s="1"/>
  <c r="R50" i="1" s="1"/>
  <c r="S50" i="1" s="1"/>
  <c r="T14" i="1"/>
  <c r="O52" i="1" s="1"/>
  <c r="O51" i="1"/>
  <c r="P51" i="1" s="1"/>
  <c r="E26" i="1"/>
  <c r="E49" i="1" s="1"/>
  <c r="F26" i="1"/>
  <c r="F49" i="1" s="1"/>
  <c r="F39" i="1"/>
  <c r="O55" i="1"/>
  <c r="F18" i="2" s="1"/>
  <c r="K23" i="1"/>
  <c r="K43" i="1" s="1"/>
  <c r="K39" i="1"/>
  <c r="K66" i="1" s="1"/>
  <c r="O66" i="1" s="1"/>
  <c r="P66" i="1" s="1"/>
  <c r="Q66" i="1" s="1"/>
  <c r="R66" i="1" s="1"/>
  <c r="S66" i="1" s="1"/>
  <c r="J26" i="1"/>
  <c r="J49" i="1" s="1"/>
  <c r="F33" i="1"/>
  <c r="F60" i="1" s="1"/>
  <c r="L33" i="1"/>
  <c r="L60" i="1" s="1"/>
  <c r="H33" i="1"/>
  <c r="H60" i="1" s="1"/>
  <c r="G26" i="1"/>
  <c r="G49" i="1" s="1"/>
  <c r="H42" i="1"/>
  <c r="K42" i="1"/>
  <c r="H26" i="1"/>
  <c r="H49" i="1" s="1"/>
  <c r="H23" i="1"/>
  <c r="H43" i="1" s="1"/>
  <c r="L26" i="1"/>
  <c r="L49" i="1" s="1"/>
  <c r="M23" i="1"/>
  <c r="O63" i="1"/>
  <c r="P63" i="1" s="1"/>
  <c r="Q63" i="1" s="1"/>
  <c r="R63" i="1" s="1"/>
  <c r="S63" i="1" s="1"/>
  <c r="O60" i="1"/>
  <c r="P60" i="1" s="1"/>
  <c r="Q60" i="1" s="1"/>
  <c r="R60" i="1" s="1"/>
  <c r="S60" i="1" s="1"/>
  <c r="F66" i="1"/>
  <c r="I66" i="1"/>
  <c r="I48" i="1"/>
  <c r="J48" i="1"/>
  <c r="G66" i="1"/>
  <c r="G43" i="1"/>
  <c r="F9" i="2"/>
  <c r="F22" i="2"/>
  <c r="O18" i="1" s="1"/>
  <c r="G21" i="1"/>
  <c r="O72" i="1"/>
  <c r="Q51" i="1" l="1"/>
  <c r="P52" i="1"/>
  <c r="P55" i="1"/>
  <c r="Q55" i="1" s="1"/>
  <c r="R55" i="1" s="1"/>
  <c r="S55" i="1" s="1"/>
  <c r="O46" i="1"/>
  <c r="M43" i="1"/>
  <c r="O13" i="1"/>
  <c r="O44" i="1"/>
  <c r="T18" i="1"/>
  <c r="E18" i="1" s="1"/>
  <c r="J18" i="1"/>
  <c r="G31" i="1"/>
  <c r="H21" i="1"/>
  <c r="O43" i="1"/>
  <c r="O42" i="1" s="1"/>
  <c r="T13" i="1" l="1"/>
  <c r="J13" i="1"/>
  <c r="P45" i="1"/>
  <c r="R51" i="1"/>
  <c r="Q52" i="1"/>
  <c r="O65" i="1"/>
  <c r="O59" i="1"/>
  <c r="O62" i="1"/>
  <c r="O49" i="1"/>
  <c r="H31" i="1"/>
  <c r="I21" i="1"/>
  <c r="S51" i="1" l="1"/>
  <c r="S52" i="1" s="1"/>
  <c r="S49" i="1" s="1"/>
  <c r="R52" i="1"/>
  <c r="P46" i="1"/>
  <c r="P43" i="1" s="1"/>
  <c r="P42" i="1" s="1"/>
  <c r="P65" i="1" s="1"/>
  <c r="P44" i="1"/>
  <c r="Q45" i="1"/>
  <c r="O48" i="1"/>
  <c r="O54" i="1" s="1"/>
  <c r="O57" i="1" s="1"/>
  <c r="O68" i="1" s="1"/>
  <c r="O69" i="1" s="1"/>
  <c r="P49" i="1"/>
  <c r="J21" i="1"/>
  <c r="I31" i="1"/>
  <c r="R45" i="1" l="1"/>
  <c r="Q46" i="1"/>
  <c r="Q43" i="1" s="1"/>
  <c r="Q42" i="1" s="1"/>
  <c r="Q65" i="1" s="1"/>
  <c r="Q44" i="1"/>
  <c r="P48" i="1"/>
  <c r="P54" i="1" s="1"/>
  <c r="P59" i="1"/>
  <c r="P62" i="1"/>
  <c r="R49" i="1"/>
  <c r="Q49" i="1"/>
  <c r="K21" i="1"/>
  <c r="J31" i="1"/>
  <c r="S45" i="1" l="1"/>
  <c r="R46" i="1"/>
  <c r="R43" i="1" s="1"/>
  <c r="R42" i="1" s="1"/>
  <c r="R65" i="1" s="1"/>
  <c r="R44" i="1"/>
  <c r="P57" i="1"/>
  <c r="P68" i="1" s="1"/>
  <c r="P69" i="1" s="1"/>
  <c r="Q48" i="1"/>
  <c r="Q54" i="1" s="1"/>
  <c r="Q62" i="1"/>
  <c r="Q59" i="1"/>
  <c r="L21" i="1"/>
  <c r="K31" i="1"/>
  <c r="S44" i="1" l="1"/>
  <c r="S46" i="1"/>
  <c r="S43" i="1" s="1"/>
  <c r="S42" i="1" s="1"/>
  <c r="S65" i="1" s="1"/>
  <c r="R62" i="1"/>
  <c r="R48" i="1"/>
  <c r="R54" i="1" s="1"/>
  <c r="R57" i="1" s="1"/>
  <c r="R59" i="1"/>
  <c r="Q57" i="1"/>
  <c r="Q68" i="1" s="1"/>
  <c r="Q69" i="1" s="1"/>
  <c r="M21" i="1"/>
  <c r="L31" i="1"/>
  <c r="R68" i="1" l="1"/>
  <c r="R69" i="1" s="1"/>
  <c r="S62" i="1"/>
  <c r="S59" i="1"/>
  <c r="S48" i="1"/>
  <c r="S54" i="1" s="1"/>
  <c r="M31" i="1"/>
  <c r="N31" i="1" s="1"/>
  <c r="O31" i="1" s="1"/>
  <c r="P31" i="1" s="1"/>
  <c r="Q31" i="1" s="1"/>
  <c r="R31" i="1" s="1"/>
  <c r="S31" i="1" s="1"/>
  <c r="N21" i="1"/>
  <c r="O21" i="1" s="1"/>
  <c r="P21" i="1" s="1"/>
  <c r="Q21" i="1" s="1"/>
  <c r="R21" i="1" s="1"/>
  <c r="S21" i="1" s="1"/>
  <c r="S57" i="1" l="1"/>
  <c r="S68" i="1" s="1"/>
  <c r="S74" i="1" s="1"/>
  <c r="S75" i="1" s="1"/>
  <c r="S69" i="1" l="1"/>
  <c r="S76" i="1" s="1"/>
  <c r="S79" i="1" s="1"/>
  <c r="S82" i="1" s="1"/>
  <c r="J4" i="1" l="1"/>
  <c r="J6" i="1" s="1"/>
</calcChain>
</file>

<file path=xl/sharedStrings.xml><?xml version="1.0" encoding="utf-8"?>
<sst xmlns="http://schemas.openxmlformats.org/spreadsheetml/2006/main" count="305" uniqueCount="198">
  <si>
    <t>Research &amp; Development</t>
  </si>
  <si>
    <t>Other Operating Expense</t>
  </si>
  <si>
    <t>Other Income (Expense)</t>
  </si>
  <si>
    <t>Net Income</t>
  </si>
  <si>
    <t>Basic Shares Outstanding</t>
  </si>
  <si>
    <t>Diluted Shares Outstanding</t>
  </si>
  <si>
    <t>EBITDA</t>
  </si>
  <si>
    <t>EBIT</t>
  </si>
  <si>
    <t>Inventories</t>
  </si>
  <si>
    <t>Accounts Payable</t>
  </si>
  <si>
    <t>Free Cash Flow</t>
  </si>
  <si>
    <t>Ticker</t>
  </si>
  <si>
    <t>Implied Price Per Share</t>
  </si>
  <si>
    <t>Date</t>
  </si>
  <si>
    <t>Current Share Price</t>
  </si>
  <si>
    <t>Year end</t>
  </si>
  <si>
    <t>Implied Upside / (Downside)</t>
  </si>
  <si>
    <t>Optimistic</t>
  </si>
  <si>
    <t>x</t>
  </si>
  <si>
    <t>Assumptions</t>
  </si>
  <si>
    <t>Switches</t>
  </si>
  <si>
    <t>Conservative</t>
  </si>
  <si>
    <t>Year</t>
  </si>
  <si>
    <t>Metric</t>
  </si>
  <si>
    <t>Revenue</t>
  </si>
  <si>
    <t>WACC</t>
  </si>
  <si>
    <t>TGR</t>
  </si>
  <si>
    <t>Valuation</t>
  </si>
  <si>
    <t>% growth</t>
  </si>
  <si>
    <t>% of sales</t>
  </si>
  <si>
    <t>Taxes</t>
  </si>
  <si>
    <t>Tax rate</t>
  </si>
  <si>
    <t>D&amp;A</t>
  </si>
  <si>
    <t>CapEx</t>
  </si>
  <si>
    <t>Change in NWC</t>
  </si>
  <si>
    <t>DCF</t>
  </si>
  <si>
    <t>Conservative Case</t>
  </si>
  <si>
    <t>Street Case</t>
  </si>
  <si>
    <t>Optimistic Case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</si>
  <si>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</si>
  <si>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</si>
  <si>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</si>
  <si>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</si>
  <si>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</si>
  <si>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</si>
  <si>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</si>
  <si>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</si>
  <si>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</si>
  <si>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</si>
  <si>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</si>
  <si>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</si>
  <si>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</si>
  <si>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</si>
  <si>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</si>
  <si>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</si>
  <si>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</si>
  <si>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</si>
  <si>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</si>
  <si>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</si>
  <si>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</si>
  <si>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</si>
  <si>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</si>
  <si>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</si>
  <si>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Income Statement</t>
  </si>
  <si>
    <t>2003-11</t>
  </si>
  <si>
    <t>2004-11</t>
  </si>
  <si>
    <t>2005-11</t>
  </si>
  <si>
    <t>2006-11</t>
  </si>
  <si>
    <t>2007-11</t>
  </si>
  <si>
    <t>2008-11</t>
  </si>
  <si>
    <t>2009-11</t>
  </si>
  <si>
    <t>2010-11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</si>
  <si>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</si>
  <si>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</si>
  <si>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</si>
  <si>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</si>
  <si>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</si>
  <si>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</si>
  <si>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</si>
  <si>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</si>
  <si>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</si>
  <si>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</si>
  <si>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</si>
  <si>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</si>
  <si>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</si>
  <si>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</si>
  <si>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</si>
  <si>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</si>
  <si>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</si>
  <si>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</si>
  <si>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Special Charges</t>
  </si>
  <si>
    <t>Operating Profit</t>
  </si>
  <si>
    <t>Net Interest Income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</si>
  <si>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</si>
  <si>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</si>
  <si>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</si>
  <si>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</si>
  <si>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</si>
  <si>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Basic EPS</t>
  </si>
  <si>
    <t>Diluted EPS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</si>
  <si>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</si>
  <si>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</si>
  <si>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</si>
  <si>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</si>
  <si>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</si>
  <si>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</si>
  <si>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</si>
  <si>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</si>
  <si>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</si>
  <si>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</si>
  <si>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</si>
  <si>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</si>
  <si>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</si>
  <si>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</si>
  <si>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</si>
  <si>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</si>
  <si>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</si>
  <si>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</si>
  <si>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</si>
  <si>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</si>
  <si>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</si>
  <si>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</si>
  <si>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</si>
  <si>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</si>
  <si>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</si>
  <si>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</si>
  <si>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</si>
  <si>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</si>
  <si>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</si>
  <si>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</si>
  <si>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</si>
  <si>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</si>
  <si>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</si>
  <si>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</si>
  <si>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</si>
  <si>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</si>
  <si>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</si>
  <si>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</si>
  <si>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</si>
  <si>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</si>
  <si>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</si>
  <si>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</si>
  <si>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</si>
  <si>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</si>
  <si>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</si>
  <si>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</si>
  <si>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</si>
  <si>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</si>
  <si>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</si>
  <si>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</si>
  <si>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</si>
  <si>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</si>
  <si>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</si>
  <si>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</si>
  <si>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</si>
  <si>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</si>
  <si>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</si>
  <si>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</si>
  <si>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</si>
  <si>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</si>
  <si>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</si>
  <si>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</si>
  <si>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</si>
  <si>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</si>
  <si>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</si>
  <si>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</si>
  <si>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</si>
  <si>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</si>
  <si>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</si>
  <si>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</si>
  <si>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</si>
  <si>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</si>
  <si>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</si>
  <si>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</si>
  <si>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</si>
  <si>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 xml:space="preserve">Income Statement </t>
  </si>
  <si>
    <t xml:space="preserve">Cash Flow Items </t>
  </si>
  <si>
    <t xml:space="preserve">   Pre-Tax Profit (Pretax Income)</t>
  </si>
  <si>
    <t>Tax rate (ref. EBIT)</t>
  </si>
  <si>
    <t>Forecast from MarketScreener!</t>
  </si>
  <si>
    <t>'25</t>
  </si>
  <si>
    <t>'26-'29</t>
  </si>
  <si>
    <t>'29</t>
  </si>
  <si>
    <t>'26-'28</t>
  </si>
  <si>
    <t>Revenue Growth (Mittelwert)</t>
  </si>
  <si>
    <t xml:space="preserve">Revenue Growth </t>
  </si>
  <si>
    <t>EBIT Growth</t>
  </si>
  <si>
    <t xml:space="preserve">Base </t>
  </si>
  <si>
    <t>MSCI DCF in MUSD</t>
  </si>
  <si>
    <t xml:space="preserve">MSCI </t>
  </si>
  <si>
    <t>https://corporatefinanceinstitute.com/resources/valuation/what-is-terminal-growth-rate/#:~:text=The%20terminal%20growth%20rates%20typically,4%25)%20at%20this%20stage</t>
  </si>
  <si>
    <t>&lt;- Mittelwert</t>
  </si>
  <si>
    <t>&lt;- 2024 TTM CF</t>
  </si>
  <si>
    <t xml:space="preserve">Mittelwert </t>
  </si>
  <si>
    <t>TGR US -&gt;</t>
  </si>
  <si>
    <t xml:space="preserve">Base (ref. Marketscreener) </t>
  </si>
  <si>
    <t xml:space="preserve">Cap </t>
  </si>
  <si>
    <t xml:space="preserve">https://www.marketscreener.com/quote/stock/MSCI-INC-3021165/finances/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</si>
</sst>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0%;\(0%\)"/>
    <numFmt numFmtId="166" formatCode="0.0%"/>
    <numFmt numFmtId="167" formatCode="0\A"/>
    <numFmt numFmtId="168" formatCode="0&quot;E&quot;"/>
    <numFmt numFmtId="169" formatCode="0_);[Red]\(0\)"/>
  </numFmts>
  <fonts count="3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i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i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9"/>
      <color theme="1"/>
      <name val="Aptos Narrow"/>
      <scheme val="minor"/>
    </font>
    <font>
      <b/>
      <i/>
      <sz val="9"/>
      <color theme="1"/>
      <name val="Aptos Narrow"/>
      <scheme val="minor"/>
    </font>
    <font>
      <i/>
      <sz val="9"/>
      <color theme="1"/>
      <name val="Aptos Narrow"/>
      <family val="2"/>
      <scheme val="minor"/>
    </font>
    <font>
      <sz val="9"/>
      <color theme="1"/>
      <name val="Aptos Narrow"/>
      <scheme val="minor"/>
    </font>
    <font>
      <sz val="9"/>
      <name val="Aptos Narrow"/>
      <scheme val="minor"/>
    </font>
    <font>
      <sz val="9"/>
      <color theme="9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u/>
      <sz val="9"/>
      <color theme="10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8" fillId="0" borderId="0" xfId="0" applyFont="1"/>
    <xf numFmtId="37" fontId="9" fillId="0" borderId="0" xfId="0" applyNumberFormat="1" applyFont="1" applyAlignment="1">
      <alignment horizontal="right"/>
    </xf>
    <xf numFmtId="37" fontId="9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horizontal="right"/>
    </xf>
    <xf numFmtId="9" fontId="10" fillId="0" borderId="0" xfId="1" applyFont="1"/>
    <xf numFmtId="0" fontId="8" fillId="0" borderId="0" xfId="0" applyFont="1" applyAlignment="1">
      <alignment horizontal="center"/>
    </xf>
    <xf numFmtId="0" fontId="11" fillId="0" borderId="0" xfId="0" applyFont="1"/>
    <xf numFmtId="37" fontId="8" fillId="0" borderId="0" xfId="0" applyNumberFormat="1" applyFont="1"/>
    <xf numFmtId="37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0" fontId="0" fillId="0" borderId="7" xfId="0" applyBorder="1"/>
    <xf numFmtId="2" fontId="0" fillId="0" borderId="0" xfId="0" applyNumberFormat="1"/>
    <xf numFmtId="0" fontId="4" fillId="2" borderId="0" xfId="0" applyFont="1" applyFill="1"/>
    <xf numFmtId="0" fontId="0" fillId="2" borderId="0" xfId="0" applyFill="1"/>
    <xf numFmtId="3" fontId="0" fillId="0" borderId="0" xfId="0" applyNumberFormat="1"/>
    <xf numFmtId="16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37" fontId="0" fillId="0" borderId="2" xfId="0" applyNumberFormat="1" applyBorder="1"/>
    <xf numFmtId="0" fontId="13" fillId="0" borderId="0" xfId="3"/>
    <xf numFmtId="164" fontId="0" fillId="3" borderId="0" xfId="0" applyNumberFormat="1" applyFill="1"/>
    <xf numFmtId="167" fontId="4" fillId="2" borderId="0" xfId="0" applyNumberFormat="1" applyFont="1" applyFill="1"/>
    <xf numFmtId="168" fontId="4" fillId="2" borderId="0" xfId="0" applyNumberFormat="1" applyFont="1" applyFill="1"/>
    <xf numFmtId="0" fontId="5" fillId="2" borderId="0" xfId="0" applyFont="1" applyFill="1"/>
    <xf numFmtId="38" fontId="14" fillId="4" borderId="0" xfId="0" applyNumberFormat="1" applyFont="1" applyFill="1"/>
    <xf numFmtId="38" fontId="15" fillId="4" borderId="0" xfId="0" applyNumberFormat="1" applyFont="1" applyFill="1"/>
    <xf numFmtId="38" fontId="16" fillId="0" borderId="0" xfId="0" applyNumberFormat="1" applyFont="1"/>
    <xf numFmtId="169" fontId="17" fillId="0" borderId="1" xfId="0" applyNumberFormat="1" applyFont="1" applyBorder="1" applyAlignment="1">
      <alignment horizontal="right"/>
    </xf>
    <xf numFmtId="169" fontId="17" fillId="0" borderId="0" xfId="0" applyNumberFormat="1" applyFont="1"/>
    <xf numFmtId="38" fontId="16" fillId="0" borderId="8" xfId="0" applyNumberFormat="1" applyFont="1" applyBorder="1"/>
    <xf numFmtId="38" fontId="17" fillId="0" borderId="0" xfId="0" applyNumberFormat="1" applyFont="1"/>
    <xf numFmtId="38" fontId="17" fillId="0" borderId="9" xfId="0" applyNumberFormat="1" applyFont="1" applyBorder="1"/>
    <xf numFmtId="0" fontId="16" fillId="0" borderId="0" xfId="0" applyFont="1"/>
    <xf numFmtId="38" fontId="18" fillId="0" borderId="0" xfId="0" applyNumberFormat="1" applyFont="1"/>
    <xf numFmtId="38" fontId="18" fillId="0" borderId="8" xfId="0" applyNumberFormat="1" applyFont="1" applyBorder="1"/>
    <xf numFmtId="0" fontId="16" fillId="0" borderId="0" xfId="0" applyFont="1" applyAlignment="1">
      <alignment vertical="center" wrapText="1"/>
    </xf>
    <xf numFmtId="38" fontId="17" fillId="0" borderId="10" xfId="0" applyNumberFormat="1" applyFont="1" applyBorder="1"/>
    <xf numFmtId="37" fontId="0" fillId="3" borderId="0" xfId="0" applyNumberFormat="1" applyFill="1"/>
    <xf numFmtId="37" fontId="0" fillId="0" borderId="11" xfId="0" applyNumberFormat="1" applyBorder="1"/>
    <xf numFmtId="37" fontId="0" fillId="0" borderId="12" xfId="0" applyNumberFormat="1" applyBorder="1"/>
    <xf numFmtId="0" fontId="19" fillId="0" borderId="0" xfId="0" applyFont="1"/>
    <xf numFmtId="0" fontId="23" fillId="0" borderId="0" xfId="0" applyFont="1"/>
    <xf numFmtId="37" fontId="23" fillId="0" borderId="0" xfId="0" applyNumberFormat="1" applyFont="1"/>
    <xf numFmtId="0" fontId="24" fillId="0" borderId="0" xfId="0" applyFont="1"/>
    <xf numFmtId="9" fontId="25" fillId="0" borderId="0" xfId="1" applyFont="1"/>
    <xf numFmtId="0" fontId="23" fillId="5" borderId="0" xfId="0" applyFont="1" applyFill="1"/>
    <xf numFmtId="0" fontId="26" fillId="5" borderId="0" xfId="0" applyFont="1" applyFill="1"/>
    <xf numFmtId="0" fontId="27" fillId="5" borderId="0" xfId="0" applyFont="1" applyFill="1"/>
    <xf numFmtId="37" fontId="28" fillId="5" borderId="0" xfId="0" applyNumberFormat="1" applyFont="1" applyFill="1"/>
    <xf numFmtId="0" fontId="26" fillId="0" borderId="0" xfId="0" applyFont="1"/>
    <xf numFmtId="0" fontId="5" fillId="5" borderId="0" xfId="0" applyFont="1" applyFill="1"/>
    <xf numFmtId="0" fontId="29" fillId="5" borderId="0" xfId="0" applyFont="1" applyFill="1"/>
    <xf numFmtId="0" fontId="30" fillId="5" borderId="0" xfId="0" applyFont="1" applyFill="1"/>
    <xf numFmtId="0" fontId="31" fillId="0" borderId="0" xfId="3" applyFont="1"/>
    <xf numFmtId="0" fontId="32" fillId="5" borderId="0" xfId="3" applyFont="1" applyFill="1"/>
    <xf numFmtId="9" fontId="10" fillId="0" borderId="0" xfId="1" applyFont="1" applyFill="1"/>
    <xf numFmtId="0" fontId="27" fillId="0" borderId="0" xfId="0" applyFont="1"/>
    <xf numFmtId="0" fontId="13" fillId="0" borderId="0" xfId="3" applyFill="1"/>
    <xf numFmtId="37" fontId="28" fillId="0" borderId="0" xfId="0" applyNumberFormat="1" applyFont="1"/>
    <xf numFmtId="37" fontId="30" fillId="0" borderId="0" xfId="0" applyNumberFormat="1" applyFont="1"/>
    <xf numFmtId="9" fontId="0" fillId="0" borderId="0" xfId="0" quotePrefix="1" applyNumberFormat="1" applyAlignment="1">
      <alignment horizontal="right"/>
    </xf>
    <xf numFmtId="37" fontId="30" fillId="0" borderId="0" xfId="0" applyNumberFormat="1" applyFont="1" applyAlignment="1">
      <alignment horizontal="right"/>
    </xf>
    <xf numFmtId="37" fontId="30" fillId="5" borderId="0" xfId="0" applyNumberFormat="1" applyFont="1" applyFill="1" applyAlignment="1">
      <alignment horizontal="right"/>
    </xf>
    <xf numFmtId="37" fontId="30" fillId="5" borderId="0" xfId="0" applyNumberFormat="1" applyFont="1" applyFill="1"/>
    <xf numFmtId="37" fontId="33" fillId="0" borderId="0" xfId="0" applyNumberFormat="1" applyFont="1"/>
    <xf numFmtId="9" fontId="21" fillId="0" borderId="0" xfId="1" applyFont="1"/>
    <xf numFmtId="0" fontId="34" fillId="0" borderId="0" xfId="0" applyFont="1"/>
    <xf numFmtId="0" fontId="3" fillId="0" borderId="0" xfId="0" applyFont="1"/>
    <xf numFmtId="0" fontId="22" fillId="3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0" fontId="20" fillId="0" borderId="0" xfId="0" applyFont="1"/>
    <xf numFmtId="9" fontId="0" fillId="0" borderId="0" xfId="1" applyFont="1" applyBorder="1" applyAlignment="1">
      <alignment horizontal="center"/>
    </xf>
    <xf numFmtId="9" fontId="10" fillId="0" borderId="0" xfId="1" applyFont="1" applyBorder="1"/>
    <xf numFmtId="9" fontId="10" fillId="3" borderId="0" xfId="0" applyNumberFormat="1" applyFont="1" applyFill="1" applyAlignment="1">
      <alignment horizontal="right"/>
    </xf>
    <xf numFmtId="9" fontId="12" fillId="3" borderId="0" xfId="0" applyNumberFormat="1" applyFont="1" applyFill="1" applyAlignment="1">
      <alignment horizontal="right"/>
    </xf>
    <xf numFmtId="9" fontId="0" fillId="3" borderId="0" xfId="1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0" fontId="0" fillId="3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</cellXfs>
  <cellStyles count="4">
    <cellStyle name="Link" xfId="3" builtinId="8"/>
    <cellStyle name="Normal 2" xfId="2" xr:uid="{C45E246C-B21A-8946-A108-DDFCEB3C97D8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MSCI%20Inc%20(MSCI_US)%20Kopie.xlsx" TargetMode="External"/><Relationship Id="rId1" Type="http://schemas.openxmlformats.org/officeDocument/2006/relationships/externalLinkPath" Target="/Users/oliverschuurmann/Desktop/MSCI%20Inc%20(MSCI_US)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91.277000000000001</v>
          </cell>
          <cell r="C14">
            <v>178.446</v>
          </cell>
          <cell r="D14">
            <v>73.625</v>
          </cell>
          <cell r="E14">
            <v>83.296000000000006</v>
          </cell>
          <cell r="F14">
            <v>129.959</v>
          </cell>
          <cell r="G14">
            <v>135.79</v>
          </cell>
          <cell r="H14">
            <v>150.99199999999999</v>
          </cell>
          <cell r="I14">
            <v>215.01900000000001</v>
          </cell>
          <cell r="J14">
            <v>325.59199999999998</v>
          </cell>
          <cell r="K14">
            <v>318.202</v>
          </cell>
          <cell r="L14">
            <v>340.33100000000002</v>
          </cell>
          <cell r="M14">
            <v>337.166</v>
          </cell>
          <cell r="N14">
            <v>403.89800000000002</v>
          </cell>
          <cell r="O14">
            <v>488.10399999999998</v>
          </cell>
          <cell r="P14">
            <v>579.77</v>
          </cell>
          <cell r="Q14">
            <v>686.89800000000002</v>
          </cell>
          <cell r="R14">
            <v>755.70100000000002</v>
          </cell>
          <cell r="S14">
            <v>884.76400000000001</v>
          </cell>
          <cell r="T14">
            <v>1088.7380000000001</v>
          </cell>
          <cell r="U14">
            <v>1207.6400000000001</v>
          </cell>
          <cell r="V14">
            <v>1384.6089999999999</v>
          </cell>
          <cell r="W14">
            <v>1494.069</v>
          </cell>
        </row>
      </sheetData>
      <sheetData sheetId="2" refreshError="1"/>
      <sheetData sheetId="3">
        <row r="7">
          <cell r="D7">
            <v>32.076999999999998</v>
          </cell>
          <cell r="E7">
            <v>29.655000000000001</v>
          </cell>
          <cell r="F7">
            <v>27.827999999999999</v>
          </cell>
          <cell r="G7">
            <v>33.47</v>
          </cell>
          <cell r="H7">
            <v>37.511000000000003</v>
          </cell>
          <cell r="I7">
            <v>59.012</v>
          </cell>
          <cell r="J7">
            <v>85.23</v>
          </cell>
          <cell r="K7">
            <v>81.998000000000005</v>
          </cell>
          <cell r="L7">
            <v>80.504999999999995</v>
          </cell>
          <cell r="M7">
            <v>74.546999999999997</v>
          </cell>
          <cell r="N7">
            <v>77.799000000000007</v>
          </cell>
          <cell r="O7">
            <v>81.352999999999994</v>
          </cell>
          <cell r="P7">
            <v>79.986999999999995</v>
          </cell>
          <cell r="Q7">
            <v>85.534999999999997</v>
          </cell>
          <cell r="R7">
            <v>101.898</v>
          </cell>
          <cell r="S7">
            <v>110.795</v>
          </cell>
          <cell r="T7">
            <v>134.125</v>
          </cell>
          <cell r="U7">
            <v>142.49600000000001</v>
          </cell>
          <cell r="V7">
            <v>159.21899999999999</v>
          </cell>
          <cell r="W7">
            <v>201.81800000000001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rketscreener.com/quote/stock/MSCI-INC-3021165/finances/" TargetMode="External"/><Relationship Id="rId1" Type="http://schemas.openxmlformats.org/officeDocument/2006/relationships/hyperlink" Target="https://corporatefinanceinstitute.com/resources/valuation/what-is-terminal-growth-r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2E17-DC95-D24F-9755-29D222853CD2}">
  <dimension ref="A2:W82"/>
  <sheetViews>
    <sheetView showGridLines="0" tabSelected="1" workbookViewId="0">
      <pane ySplit="2" topLeftCell="A3" activePane="bottomLeft" state="frozen"/>
      <selection pane="bottomLeft" activeCell="V62" sqref="V62"/>
    </sheetView>
  </sheetViews>
  <sheetFormatPr baseColWidth="10" defaultRowHeight="16" x14ac:dyDescent="0.2"/>
  <cols>
    <col min="1" max="1" width="3.5" customWidth="1"/>
    <col min="22" max="22" width="9.33203125" customWidth="1"/>
  </cols>
  <sheetData>
    <row r="2" spans="1:23" ht="22" x14ac:dyDescent="0.3">
      <c r="B2" s="80" t="s">
        <v>188</v>
      </c>
    </row>
    <row r="3" spans="1:23" x14ac:dyDescent="0.2">
      <c r="R3" s="62" t="s">
        <v>194</v>
      </c>
      <c r="S3" s="66" t="s">
        <v>190</v>
      </c>
    </row>
    <row r="4" spans="1:23" x14ac:dyDescent="0.2">
      <c r="B4" t="s">
        <v>11</v>
      </c>
      <c r="D4" s="81" t="s">
        <v>189</v>
      </c>
      <c r="F4" t="s">
        <v>12</v>
      </c>
      <c r="J4" s="2">
        <f ca="1">S82</f>
        <v>931.81681051630972</v>
      </c>
      <c r="L4" t="str">
        <f>G10</f>
        <v>Conservative</v>
      </c>
      <c r="N4" s="33">
        <v>246</v>
      </c>
      <c r="R4" s="58" t="s">
        <v>179</v>
      </c>
      <c r="S4" s="59"/>
      <c r="T4" s="60"/>
      <c r="U4" s="59"/>
      <c r="V4" s="59"/>
      <c r="W4" s="62"/>
    </row>
    <row r="5" spans="1:23" x14ac:dyDescent="0.2">
      <c r="B5" t="s">
        <v>13</v>
      </c>
      <c r="D5" s="82">
        <v>45672</v>
      </c>
      <c r="F5" t="s">
        <v>14</v>
      </c>
      <c r="J5" s="33">
        <v>600</v>
      </c>
      <c r="L5" t="s">
        <v>187</v>
      </c>
      <c r="N5" s="33">
        <v>496</v>
      </c>
      <c r="R5" s="67" t="s">
        <v>197</v>
      </c>
      <c r="S5" s="61"/>
      <c r="T5" s="60"/>
      <c r="U5" s="59"/>
      <c r="V5" s="59"/>
      <c r="W5" s="62"/>
    </row>
    <row r="6" spans="1:23" x14ac:dyDescent="0.2">
      <c r="B6" t="s">
        <v>15</v>
      </c>
      <c r="D6" s="82">
        <v>46022</v>
      </c>
      <c r="F6" t="s">
        <v>16</v>
      </c>
      <c r="J6" s="3">
        <f ca="1">J4/J5-1</f>
        <v>0.55302801752718289</v>
      </c>
      <c r="L6" t="str">
        <f>Q10</f>
        <v>Optimistic</v>
      </c>
      <c r="N6" s="33">
        <v>931</v>
      </c>
    </row>
    <row r="8" spans="1:23" x14ac:dyDescent="0.2">
      <c r="A8" s="4"/>
      <c r="B8" s="26" t="s">
        <v>19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10" spans="1:23" x14ac:dyDescent="0.2">
      <c r="B10" s="26" t="s">
        <v>20</v>
      </c>
      <c r="C10" s="36"/>
      <c r="D10" s="36"/>
      <c r="E10" s="36"/>
      <c r="G10" s="26" t="s">
        <v>21</v>
      </c>
      <c r="H10" s="36"/>
      <c r="I10" s="36"/>
      <c r="J10" s="36"/>
      <c r="L10" s="64" t="s">
        <v>195</v>
      </c>
      <c r="M10" s="65"/>
      <c r="N10" s="65"/>
      <c r="O10" s="63"/>
      <c r="Q10" s="26" t="s">
        <v>17</v>
      </c>
      <c r="R10" s="36"/>
      <c r="S10" s="36"/>
      <c r="T10" s="36"/>
    </row>
    <row r="11" spans="1:23" x14ac:dyDescent="0.2">
      <c r="B11" s="5" t="s">
        <v>19</v>
      </c>
      <c r="G11" s="5" t="s">
        <v>19</v>
      </c>
      <c r="H11" s="6"/>
      <c r="I11" s="7" t="s">
        <v>22</v>
      </c>
      <c r="J11" s="7" t="s">
        <v>23</v>
      </c>
      <c r="L11" s="5" t="s">
        <v>19</v>
      </c>
      <c r="M11" s="6"/>
      <c r="N11" s="7" t="s">
        <v>22</v>
      </c>
      <c r="O11" s="7" t="s">
        <v>23</v>
      </c>
      <c r="Q11" s="5" t="s">
        <v>19</v>
      </c>
      <c r="R11" s="6"/>
      <c r="S11" s="7" t="s">
        <v>22</v>
      </c>
      <c r="T11" s="7" t="s">
        <v>23</v>
      </c>
    </row>
    <row r="12" spans="1:23" x14ac:dyDescent="0.2">
      <c r="B12" t="s">
        <v>24</v>
      </c>
      <c r="E12" s="83">
        <v>3</v>
      </c>
      <c r="F12" s="4"/>
      <c r="G12" t="s">
        <v>24</v>
      </c>
      <c r="I12" s="84" t="s">
        <v>180</v>
      </c>
      <c r="J12" s="85">
        <f>-O12-0.02</f>
        <v>-0.11265734265734272</v>
      </c>
      <c r="L12" t="s">
        <v>24</v>
      </c>
      <c r="N12" s="84" t="s">
        <v>180</v>
      </c>
      <c r="O12" s="86">
        <f>O23</f>
        <v>9.2657342657342712E-2</v>
      </c>
      <c r="Q12" t="s">
        <v>24</v>
      </c>
      <c r="S12" s="84" t="s">
        <v>180</v>
      </c>
      <c r="T12" s="86">
        <f>O12+0.04</f>
        <v>0.13265734265734272</v>
      </c>
    </row>
    <row r="13" spans="1:23" x14ac:dyDescent="0.2">
      <c r="B13" t="s">
        <v>7</v>
      </c>
      <c r="E13" s="83">
        <v>3</v>
      </c>
      <c r="F13" s="4"/>
      <c r="G13" s="53" t="s">
        <v>185</v>
      </c>
      <c r="I13" s="84" t="s">
        <v>181</v>
      </c>
      <c r="J13" s="85">
        <f>-O13-0.03</f>
        <v>-0.1403400310840914</v>
      </c>
      <c r="L13" s="53" t="s">
        <v>184</v>
      </c>
      <c r="N13" s="84" t="s">
        <v>183</v>
      </c>
      <c r="O13" s="86">
        <f>AVERAGE(M23:P23)</f>
        <v>0.11034003108409141</v>
      </c>
      <c r="Q13" s="87" t="s">
        <v>185</v>
      </c>
      <c r="S13" s="84" t="s">
        <v>181</v>
      </c>
      <c r="T13" s="86">
        <f>O13+0.05</f>
        <v>0.16034003108409139</v>
      </c>
    </row>
    <row r="14" spans="1:23" x14ac:dyDescent="0.2">
      <c r="B14" t="s">
        <v>25</v>
      </c>
      <c r="E14" s="83">
        <v>3</v>
      </c>
      <c r="F14" s="4"/>
      <c r="G14" t="s">
        <v>7</v>
      </c>
      <c r="I14" s="84" t="s">
        <v>180</v>
      </c>
      <c r="J14" s="85">
        <f>O14-0.075</f>
        <v>0.47188000000000002</v>
      </c>
      <c r="L14" t="s">
        <v>7</v>
      </c>
      <c r="N14" s="84" t="s">
        <v>180</v>
      </c>
      <c r="O14" s="86">
        <f>O26</f>
        <v>0.54688000000000003</v>
      </c>
      <c r="Q14" t="s">
        <v>7</v>
      </c>
      <c r="S14" s="84" t="s">
        <v>180</v>
      </c>
      <c r="T14" s="86">
        <f>O14+0.075</f>
        <v>0.62187999999999999</v>
      </c>
    </row>
    <row r="15" spans="1:23" x14ac:dyDescent="0.2">
      <c r="B15" t="s">
        <v>26</v>
      </c>
      <c r="E15" s="83">
        <v>3</v>
      </c>
      <c r="F15" s="4"/>
      <c r="G15" s="53" t="s">
        <v>186</v>
      </c>
      <c r="I15" s="84" t="s">
        <v>182</v>
      </c>
      <c r="J15" s="85">
        <f>O15-0.05</f>
        <v>-1.0000000000000002E-2</v>
      </c>
      <c r="L15" s="53" t="s">
        <v>186</v>
      </c>
      <c r="N15" s="84" t="s">
        <v>182</v>
      </c>
      <c r="O15" s="86">
        <v>0.04</v>
      </c>
      <c r="Q15" s="53" t="s">
        <v>186</v>
      </c>
      <c r="S15" s="84" t="s">
        <v>182</v>
      </c>
      <c r="T15" s="86">
        <f>O15+0.02</f>
        <v>0.06</v>
      </c>
    </row>
    <row r="16" spans="1:23" x14ac:dyDescent="0.2">
      <c r="F16" s="4"/>
      <c r="I16" s="4"/>
      <c r="J16" s="88"/>
      <c r="K16" s="4"/>
      <c r="L16" s="4"/>
      <c r="M16" s="4"/>
      <c r="N16" s="4"/>
      <c r="O16" s="88"/>
      <c r="P16" s="4"/>
      <c r="Q16" s="4"/>
      <c r="R16" s="4"/>
      <c r="S16" s="4"/>
      <c r="T16" s="88"/>
    </row>
    <row r="17" spans="1:23" x14ac:dyDescent="0.2">
      <c r="B17" s="5" t="s">
        <v>27</v>
      </c>
      <c r="F17" s="4"/>
      <c r="I17" s="4"/>
      <c r="J17" s="88"/>
      <c r="K17" s="4"/>
      <c r="L17" s="4"/>
      <c r="M17" s="4"/>
      <c r="N17" s="4"/>
      <c r="O17" s="88"/>
      <c r="P17" s="4"/>
      <c r="Q17" s="4"/>
      <c r="R17" s="4"/>
      <c r="S17" s="4"/>
      <c r="T17" s="88"/>
    </row>
    <row r="18" spans="1:23" x14ac:dyDescent="0.2">
      <c r="B18" t="s">
        <v>25</v>
      </c>
      <c r="E18" s="86">
        <f>CHOOSE(E14,J18,O18,T18)</f>
        <v>6.8950453622336427E-2</v>
      </c>
      <c r="F18" s="4"/>
      <c r="G18" t="s">
        <v>25</v>
      </c>
      <c r="J18" s="86">
        <f>O18+0.02</f>
        <v>0.10895045362233644</v>
      </c>
      <c r="K18" s="4"/>
      <c r="L18" t="s">
        <v>25</v>
      </c>
      <c r="O18" s="86">
        <f>WACC!F22</f>
        <v>8.8950453622336431E-2</v>
      </c>
      <c r="P18" s="4"/>
      <c r="Q18" t="s">
        <v>25</v>
      </c>
      <c r="T18" s="86">
        <f>O18-0.02</f>
        <v>6.8950453622336427E-2</v>
      </c>
    </row>
    <row r="19" spans="1:23" x14ac:dyDescent="0.2">
      <c r="B19" t="s">
        <v>26</v>
      </c>
      <c r="E19" s="86">
        <f>CHOOSE(E15,J19,O19,T19)</f>
        <v>0.03</v>
      </c>
      <c r="G19" t="s">
        <v>26</v>
      </c>
      <c r="J19" s="86">
        <v>0.02</v>
      </c>
      <c r="K19" s="4"/>
      <c r="L19" t="s">
        <v>26</v>
      </c>
      <c r="O19" s="86">
        <v>2.5000000000000001E-2</v>
      </c>
      <c r="P19" s="4"/>
      <c r="Q19" t="s">
        <v>26</v>
      </c>
      <c r="T19" s="86">
        <v>0.03</v>
      </c>
      <c r="W19" s="32"/>
    </row>
    <row r="20" spans="1:23" x14ac:dyDescent="0.2">
      <c r="E20" s="8"/>
      <c r="J20" s="8"/>
      <c r="K20" s="4"/>
      <c r="O20" s="8"/>
      <c r="P20" s="4"/>
      <c r="T20" s="8"/>
    </row>
    <row r="21" spans="1:23" x14ac:dyDescent="0.2">
      <c r="A21" s="4"/>
      <c r="B21" s="26" t="s">
        <v>175</v>
      </c>
      <c r="C21" s="26"/>
      <c r="D21" s="26"/>
      <c r="E21" s="34">
        <v>2015</v>
      </c>
      <c r="F21" s="34">
        <f>E21+1</f>
        <v>2016</v>
      </c>
      <c r="G21" s="34">
        <f t="shared" ref="G21:S21" si="0">F21+1</f>
        <v>2017</v>
      </c>
      <c r="H21" s="34">
        <f t="shared" si="0"/>
        <v>2018</v>
      </c>
      <c r="I21" s="34">
        <f t="shared" si="0"/>
        <v>2019</v>
      </c>
      <c r="J21" s="34">
        <f t="shared" si="0"/>
        <v>2020</v>
      </c>
      <c r="K21" s="34">
        <f t="shared" si="0"/>
        <v>2021</v>
      </c>
      <c r="L21" s="34">
        <f t="shared" si="0"/>
        <v>2022</v>
      </c>
      <c r="M21" s="34">
        <f t="shared" si="0"/>
        <v>2023</v>
      </c>
      <c r="N21" s="34">
        <f t="shared" si="0"/>
        <v>2024</v>
      </c>
      <c r="O21" s="35">
        <f t="shared" si="0"/>
        <v>2025</v>
      </c>
      <c r="P21" s="35">
        <f t="shared" si="0"/>
        <v>2026</v>
      </c>
      <c r="Q21" s="35">
        <f t="shared" si="0"/>
        <v>2027</v>
      </c>
      <c r="R21" s="35">
        <f t="shared" si="0"/>
        <v>2028</v>
      </c>
      <c r="S21" s="35">
        <f t="shared" si="0"/>
        <v>2029</v>
      </c>
      <c r="T21" s="9"/>
    </row>
    <row r="22" spans="1:23" x14ac:dyDescent="0.2">
      <c r="A22" s="4"/>
      <c r="B22" t="s">
        <v>24</v>
      </c>
      <c r="E22" s="74">
        <f>'IS -23'!N5</f>
        <v>1075.0129999999999</v>
      </c>
      <c r="F22" s="74">
        <f>'IS -23'!O5</f>
        <v>1150.6690000000001</v>
      </c>
      <c r="G22" s="74">
        <f>'IS -23'!P5</f>
        <v>1274.172</v>
      </c>
      <c r="H22" s="74">
        <f>'IS -23'!Q5</f>
        <v>1433.9839999999999</v>
      </c>
      <c r="I22" s="74">
        <f>'IS -23'!R5</f>
        <v>1557.796</v>
      </c>
      <c r="J22" s="74">
        <f>'IS -23'!S5</f>
        <v>1695.39</v>
      </c>
      <c r="K22" s="74">
        <f>'IS -23'!T5</f>
        <v>2043.5440000000001</v>
      </c>
      <c r="L22" s="74">
        <f>'IS -23'!U5</f>
        <v>2248.598</v>
      </c>
      <c r="M22" s="74">
        <f>'IS -23'!V5</f>
        <v>2528.92</v>
      </c>
      <c r="N22" s="75">
        <v>2860</v>
      </c>
      <c r="O22" s="75">
        <v>3125</v>
      </c>
      <c r="P22" s="75">
        <v>3416</v>
      </c>
      <c r="Q22" s="10"/>
      <c r="R22" s="10"/>
      <c r="S22" s="10"/>
      <c r="T22" s="9"/>
    </row>
    <row r="23" spans="1:23" x14ac:dyDescent="0.2">
      <c r="A23" s="4"/>
      <c r="B23" s="12" t="s">
        <v>28</v>
      </c>
      <c r="C23" s="12"/>
      <c r="D23" s="12"/>
      <c r="E23" s="13"/>
      <c r="F23" s="14">
        <f>F22/E22-1</f>
        <v>7.0376823350043471E-2</v>
      </c>
      <c r="G23" s="14">
        <f t="shared" ref="G23:M23" si="1">G22/F22-1</f>
        <v>0.1073314741250524</v>
      </c>
      <c r="H23" s="14">
        <f t="shared" si="1"/>
        <v>0.12542419704718033</v>
      </c>
      <c r="I23" s="14">
        <f t="shared" si="1"/>
        <v>8.6341270195483544E-2</v>
      </c>
      <c r="J23" s="14">
        <f t="shared" si="1"/>
        <v>8.8326070936117551E-2</v>
      </c>
      <c r="K23" s="14">
        <f t="shared" si="1"/>
        <v>0.20535334052931775</v>
      </c>
      <c r="L23" s="14">
        <f t="shared" si="1"/>
        <v>0.10034234643345075</v>
      </c>
      <c r="M23" s="14">
        <f t="shared" si="1"/>
        <v>0.12466523584918243</v>
      </c>
      <c r="N23" s="14">
        <f>N22/M22-1</f>
        <v>0.13091754582984039</v>
      </c>
      <c r="O23" s="14">
        <f>O22/N22-1</f>
        <v>9.2657342657342712E-2</v>
      </c>
      <c r="P23" s="14">
        <f>P22/O22-1</f>
        <v>9.3120000000000092E-2</v>
      </c>
      <c r="Q23" s="14"/>
      <c r="R23" s="68"/>
      <c r="S23" s="68"/>
      <c r="T23" s="9"/>
      <c r="V23" s="53"/>
      <c r="W23" s="53"/>
    </row>
    <row r="24" spans="1:23" x14ac:dyDescent="0.2">
      <c r="A24" s="4"/>
      <c r="R24" s="54"/>
      <c r="S24" s="62"/>
      <c r="T24" s="69"/>
      <c r="U24" s="62"/>
      <c r="V24" s="62"/>
      <c r="W24" s="62"/>
    </row>
    <row r="25" spans="1:23" x14ac:dyDescent="0.2">
      <c r="A25" s="4"/>
      <c r="B25" t="s">
        <v>7</v>
      </c>
      <c r="E25" s="72">
        <f>'IS -23'!N14</f>
        <v>403.89800000000002</v>
      </c>
      <c r="F25" s="72">
        <f>'IS -23'!O14</f>
        <v>488.10399999999998</v>
      </c>
      <c r="G25" s="72">
        <f>'IS -23'!P14</f>
        <v>579.77</v>
      </c>
      <c r="H25" s="72">
        <f>'IS -23'!Q14</f>
        <v>686.89800000000002</v>
      </c>
      <c r="I25" s="72">
        <f>'IS -23'!R14</f>
        <v>755.70100000000002</v>
      </c>
      <c r="J25" s="72">
        <f>'IS -23'!S14</f>
        <v>884.76400000000001</v>
      </c>
      <c r="K25" s="72">
        <f>'IS -23'!T14</f>
        <v>1088.7380000000001</v>
      </c>
      <c r="L25" s="72">
        <f>'IS -23'!U14</f>
        <v>1207.6400000000001</v>
      </c>
      <c r="M25" s="72">
        <f>'IS -23'!V14</f>
        <v>1384.6089999999999</v>
      </c>
      <c r="N25" s="76">
        <v>1527</v>
      </c>
      <c r="O25" s="76">
        <v>1709</v>
      </c>
      <c r="P25" s="76">
        <v>1898</v>
      </c>
      <c r="Q25" s="11"/>
      <c r="R25" s="70"/>
      <c r="S25" s="71"/>
      <c r="T25" s="69"/>
      <c r="U25" s="62"/>
      <c r="V25" s="62"/>
      <c r="W25" s="62"/>
    </row>
    <row r="26" spans="1:23" x14ac:dyDescent="0.2">
      <c r="A26" s="4"/>
      <c r="B26" s="12" t="s">
        <v>29</v>
      </c>
      <c r="C26" s="12"/>
      <c r="D26" s="12"/>
      <c r="E26" s="14">
        <f>E25/E22</f>
        <v>0.3757145262429385</v>
      </c>
      <c r="F26" s="14">
        <f t="shared" ref="F26:M26" si="2">F25/F22</f>
        <v>0.42419149207982482</v>
      </c>
      <c r="G26" s="14">
        <f t="shared" si="2"/>
        <v>0.45501706206069509</v>
      </c>
      <c r="H26" s="14">
        <f t="shared" si="2"/>
        <v>0.47901371284477379</v>
      </c>
      <c r="I26" s="14">
        <f t="shared" si="2"/>
        <v>0.48510909002205682</v>
      </c>
      <c r="J26" s="14">
        <f t="shared" si="2"/>
        <v>0.52186458572953709</v>
      </c>
      <c r="K26" s="14">
        <f t="shared" si="2"/>
        <v>0.5327695415415572</v>
      </c>
      <c r="L26" s="14">
        <f t="shared" si="2"/>
        <v>0.53706353914750438</v>
      </c>
      <c r="M26" s="14">
        <f t="shared" si="2"/>
        <v>0.54751000427059771</v>
      </c>
      <c r="N26" s="14">
        <f t="shared" ref="N26" si="3">N25/N22</f>
        <v>0.53391608391608392</v>
      </c>
      <c r="O26" s="14">
        <f>O25/O22</f>
        <v>0.54688000000000003</v>
      </c>
      <c r="P26" s="14">
        <f>P25/P22</f>
        <v>0.55562060889929743</v>
      </c>
      <c r="Q26" s="14"/>
      <c r="R26" s="68"/>
      <c r="S26" s="68"/>
      <c r="T26" s="9"/>
    </row>
    <row r="27" spans="1:23" x14ac:dyDescent="0.2">
      <c r="A27" s="4"/>
      <c r="T27" s="9"/>
    </row>
    <row r="28" spans="1:23" x14ac:dyDescent="0.2">
      <c r="A28" s="4"/>
      <c r="B28" t="s">
        <v>30</v>
      </c>
      <c r="E28" s="72">
        <f>-'IS -23'!N20</f>
        <v>119.51600000000001</v>
      </c>
      <c r="F28" s="72">
        <f>-'IS -23'!O20</f>
        <v>125.083</v>
      </c>
      <c r="G28" s="72">
        <f>-'IS -23'!P20</f>
        <v>162.92699999999999</v>
      </c>
      <c r="H28" s="72">
        <f>-'IS -23'!Q20</f>
        <v>122.011</v>
      </c>
      <c r="I28" s="72">
        <f>-'IS -23'!R20</f>
        <v>39.67</v>
      </c>
      <c r="J28" s="72">
        <f>-'IS -23'!S20</f>
        <v>84.403000000000006</v>
      </c>
      <c r="K28" s="72">
        <f>-'IS -23'!T20</f>
        <v>132.15299999999999</v>
      </c>
      <c r="L28" s="72">
        <f>-'IS -23'!U20</f>
        <v>173.268</v>
      </c>
      <c r="M28" s="72">
        <f>-'IS -23'!V20</f>
        <v>220.46899999999999</v>
      </c>
      <c r="N28" s="72">
        <f>N25*N29</f>
        <v>230.58601567412336</v>
      </c>
      <c r="O28" s="72"/>
      <c r="P28" s="72"/>
      <c r="Q28" s="11"/>
      <c r="R28" s="11"/>
      <c r="S28" s="11"/>
      <c r="T28" s="9"/>
    </row>
    <row r="29" spans="1:23" x14ac:dyDescent="0.2">
      <c r="A29" s="4"/>
      <c r="B29" s="12" t="s">
        <v>178</v>
      </c>
      <c r="C29" s="12"/>
      <c r="D29" s="12"/>
      <c r="E29" s="14">
        <f>-'IS -23'!N20/'IS -23'!N18</f>
        <v>0.34190997671318313</v>
      </c>
      <c r="F29" s="14">
        <f>-'IS -23'!O20/'IS -23'!O18</f>
        <v>0.32410128051655968</v>
      </c>
      <c r="G29" s="14">
        <f>-'IS -23'!P20/'IS -23'!P18</f>
        <v>0.34895555569834158</v>
      </c>
      <c r="H29" s="14">
        <f>-'IS -23'!Q20/'IS -23'!Q18</f>
        <v>0.19370022987921817</v>
      </c>
      <c r="I29" s="14">
        <f>-'IS -23'!R20/'IS -23'!R18</f>
        <v>6.5753052287516697E-2</v>
      </c>
      <c r="J29" s="14">
        <f>-'IS -23'!S20/'IS -23'!S18</f>
        <v>0.1229961018616343</v>
      </c>
      <c r="K29" s="14">
        <f>-'IS -23'!T20/'IS -23'!T18</f>
        <v>0.15400006525772139</v>
      </c>
      <c r="L29" s="14">
        <f>-'IS -23'!U20/'IS -23'!U18</f>
        <v>0.1659907974490368</v>
      </c>
      <c r="M29" s="14">
        <f>-'IS -23'!V20/'IS -23'!V18</f>
        <v>0.16103665212872181</v>
      </c>
      <c r="N29" s="14">
        <f>AVERAGE(J29:M29)</f>
        <v>0.15100590417427856</v>
      </c>
      <c r="O29" s="57" t="s">
        <v>191</v>
      </c>
      <c r="P29" s="14"/>
      <c r="Q29" s="14"/>
      <c r="R29" s="14"/>
      <c r="S29" s="14"/>
      <c r="T29" s="9"/>
    </row>
    <row r="30" spans="1:23" x14ac:dyDescent="0.2">
      <c r="A30" s="4"/>
      <c r="T30" s="9"/>
    </row>
    <row r="31" spans="1:23" x14ac:dyDescent="0.2">
      <c r="A31" s="4"/>
      <c r="B31" s="26" t="s">
        <v>176</v>
      </c>
      <c r="C31" s="26"/>
      <c r="D31" s="26"/>
      <c r="E31" s="34">
        <f>E21</f>
        <v>2015</v>
      </c>
      <c r="F31" s="34">
        <f t="shared" ref="F31:M31" si="4">F21</f>
        <v>2016</v>
      </c>
      <c r="G31" s="34">
        <f t="shared" si="4"/>
        <v>2017</v>
      </c>
      <c r="H31" s="34">
        <f t="shared" si="4"/>
        <v>2018</v>
      </c>
      <c r="I31" s="34">
        <f t="shared" si="4"/>
        <v>2019</v>
      </c>
      <c r="J31" s="34">
        <f t="shared" si="4"/>
        <v>2020</v>
      </c>
      <c r="K31" s="34">
        <f t="shared" si="4"/>
        <v>2021</v>
      </c>
      <c r="L31" s="34">
        <f t="shared" si="4"/>
        <v>2022</v>
      </c>
      <c r="M31" s="34">
        <f t="shared" si="4"/>
        <v>2023</v>
      </c>
      <c r="N31" s="34">
        <f t="shared" ref="N31:S31" si="5">M31+1</f>
        <v>2024</v>
      </c>
      <c r="O31" s="35">
        <f t="shared" si="5"/>
        <v>2025</v>
      </c>
      <c r="P31" s="35">
        <f t="shared" si="5"/>
        <v>2026</v>
      </c>
      <c r="Q31" s="35">
        <f t="shared" si="5"/>
        <v>2027</v>
      </c>
      <c r="R31" s="35">
        <f t="shared" si="5"/>
        <v>2028</v>
      </c>
      <c r="S31" s="35">
        <f t="shared" si="5"/>
        <v>2029</v>
      </c>
      <c r="T31" s="9"/>
    </row>
    <row r="32" spans="1:23" x14ac:dyDescent="0.2">
      <c r="A32" s="15"/>
      <c r="B32" t="s">
        <v>32</v>
      </c>
      <c r="D32" s="16"/>
      <c r="E32" s="77">
        <f>'CS -23'!N7</f>
        <v>77.799000000000007</v>
      </c>
      <c r="F32" s="77">
        <f>'CS -23'!O7</f>
        <v>81.352999999999994</v>
      </c>
      <c r="G32" s="77">
        <f>'CS -23'!P7</f>
        <v>79.986999999999995</v>
      </c>
      <c r="H32" s="77">
        <f>'CS -23'!Q7</f>
        <v>85.534999999999997</v>
      </c>
      <c r="I32" s="77">
        <f>'CS -23'!R7</f>
        <v>101.898</v>
      </c>
      <c r="J32" s="77">
        <f>'CS -23'!S7</f>
        <v>110.795</v>
      </c>
      <c r="K32" s="77">
        <f>'CS -23'!T7</f>
        <v>134.125</v>
      </c>
      <c r="L32" s="77">
        <f>'CS -23'!U7</f>
        <v>142.49600000000001</v>
      </c>
      <c r="M32" s="77">
        <f>'CS -23'!V7</f>
        <v>159.21899999999999</v>
      </c>
      <c r="N32" s="77">
        <f>'CS -23'!W7</f>
        <v>201.81800000000001</v>
      </c>
      <c r="O32" s="55" t="s">
        <v>192</v>
      </c>
      <c r="P32" s="77"/>
      <c r="Q32" s="11"/>
      <c r="R32" s="11"/>
      <c r="S32" s="11"/>
      <c r="T32" s="9"/>
    </row>
    <row r="33" spans="1:20" x14ac:dyDescent="0.2">
      <c r="A33" s="15"/>
      <c r="B33" t="s">
        <v>29</v>
      </c>
      <c r="D33" s="16"/>
      <c r="E33" s="78">
        <f>E32/E22</f>
        <v>7.2370287615126525E-2</v>
      </c>
      <c r="F33" s="78">
        <f t="shared" ref="F33:N33" si="6">F32/F22</f>
        <v>7.0700609819157365E-2</v>
      </c>
      <c r="G33" s="78">
        <f t="shared" si="6"/>
        <v>6.2775669218912353E-2</v>
      </c>
      <c r="H33" s="78">
        <f t="shared" si="6"/>
        <v>5.9648503748995808E-2</v>
      </c>
      <c r="I33" s="78">
        <f t="shared" si="6"/>
        <v>6.5411645684030517E-2</v>
      </c>
      <c r="J33" s="78">
        <f t="shared" si="6"/>
        <v>6.5350745256253714E-2</v>
      </c>
      <c r="K33" s="78">
        <f t="shared" si="6"/>
        <v>6.5633526853348889E-2</v>
      </c>
      <c r="L33" s="78">
        <f t="shared" si="6"/>
        <v>6.3371042756419776E-2</v>
      </c>
      <c r="M33" s="78">
        <f t="shared" si="6"/>
        <v>6.2959286968350126E-2</v>
      </c>
      <c r="N33" s="78">
        <f t="shared" si="6"/>
        <v>7.0565734265734273E-2</v>
      </c>
      <c r="O33" s="56"/>
      <c r="P33" s="79"/>
      <c r="Q33" s="16"/>
      <c r="R33" s="16"/>
      <c r="S33" s="16"/>
      <c r="T33" s="9"/>
    </row>
    <row r="34" spans="1:20" x14ac:dyDescent="0.2">
      <c r="A34" s="15"/>
      <c r="D34" s="1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56"/>
      <c r="P34" s="79"/>
      <c r="Q34" s="16"/>
      <c r="R34" s="16"/>
      <c r="S34" s="16"/>
      <c r="T34" s="9"/>
    </row>
    <row r="35" spans="1:20" x14ac:dyDescent="0.2">
      <c r="A35" s="15"/>
      <c r="B35" t="s">
        <v>33</v>
      </c>
      <c r="D35" s="16"/>
      <c r="E35" s="77">
        <f>-'CS -23'!N34</f>
        <v>49.097000000000001</v>
      </c>
      <c r="F35" s="77">
        <f>-'CS -23'!O34</f>
        <v>42.628</v>
      </c>
      <c r="G35" s="77">
        <f>-'CS -23'!P34</f>
        <v>48.817</v>
      </c>
      <c r="H35" s="77">
        <f>-'CS -23'!Q34</f>
        <v>48.951000000000001</v>
      </c>
      <c r="I35" s="77">
        <f>-'CS -23'!R34</f>
        <v>53.76</v>
      </c>
      <c r="J35" s="77">
        <f>-'CS -23'!S34</f>
        <v>50.975000000000001</v>
      </c>
      <c r="K35" s="77">
        <f>-'CS -23'!T34</f>
        <v>52.793999999999997</v>
      </c>
      <c r="L35" s="77">
        <f>-'CS -23'!U34</f>
        <v>72.894999999999996</v>
      </c>
      <c r="M35" s="77">
        <f>-'CS -23'!V34</f>
        <v>90.850999999999999</v>
      </c>
      <c r="N35" s="77">
        <f>-'CS -23'!W34</f>
        <v>100.992</v>
      </c>
      <c r="O35" s="55" t="s">
        <v>192</v>
      </c>
      <c r="P35" s="79"/>
      <c r="Q35" s="16"/>
      <c r="R35" s="16"/>
      <c r="S35" s="16"/>
      <c r="T35" s="9"/>
    </row>
    <row r="36" spans="1:20" x14ac:dyDescent="0.2">
      <c r="A36" s="15"/>
      <c r="B36" s="12" t="s">
        <v>29</v>
      </c>
      <c r="C36" s="12"/>
      <c r="D36" s="16"/>
      <c r="E36" s="78">
        <f>E35/E22</f>
        <v>4.5671075605597335E-2</v>
      </c>
      <c r="F36" s="78">
        <f t="shared" ref="F36:N36" si="7">F35/F22</f>
        <v>3.7046274819257319E-2</v>
      </c>
      <c r="G36" s="78">
        <f t="shared" si="7"/>
        <v>3.8312723870874574E-2</v>
      </c>
      <c r="H36" s="78">
        <f t="shared" si="7"/>
        <v>3.4136364143532986E-2</v>
      </c>
      <c r="I36" s="78">
        <f t="shared" si="7"/>
        <v>3.4510295314662508E-2</v>
      </c>
      <c r="J36" s="78">
        <f t="shared" si="7"/>
        <v>3.0066828281398381E-2</v>
      </c>
      <c r="K36" s="78">
        <f t="shared" si="7"/>
        <v>2.5834530599781552E-2</v>
      </c>
      <c r="L36" s="78">
        <f t="shared" si="7"/>
        <v>3.2417977779932203E-2</v>
      </c>
      <c r="M36" s="78">
        <f t="shared" si="7"/>
        <v>3.5924821663002385E-2</v>
      </c>
      <c r="N36" s="78">
        <f t="shared" si="7"/>
        <v>3.5311888111888116E-2</v>
      </c>
      <c r="O36" s="56"/>
      <c r="P36" s="79"/>
      <c r="Q36" s="16"/>
      <c r="R36" s="16"/>
      <c r="S36" s="16"/>
      <c r="T36" s="9"/>
    </row>
    <row r="37" spans="1:20" x14ac:dyDescent="0.2">
      <c r="A37" s="15"/>
      <c r="D37" s="16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56"/>
      <c r="P37" s="79"/>
      <c r="Q37" s="16"/>
      <c r="R37" s="16"/>
      <c r="S37" s="16"/>
      <c r="T37" s="9"/>
    </row>
    <row r="38" spans="1:20" x14ac:dyDescent="0.2">
      <c r="A38" s="15"/>
      <c r="B38" t="s">
        <v>34</v>
      </c>
      <c r="D38" s="16"/>
      <c r="E38" s="77">
        <f>'CS -23'!N12</f>
        <v>1.462</v>
      </c>
      <c r="F38" s="77">
        <f>'CS -23'!O12</f>
        <v>81.31</v>
      </c>
      <c r="G38" s="77">
        <f>'CS -23'!P12</f>
        <v>-1.575</v>
      </c>
      <c r="H38" s="77">
        <f>'CS -23'!Q12</f>
        <v>39.1</v>
      </c>
      <c r="I38" s="77">
        <f>'CS -23'!R12</f>
        <v>1.585</v>
      </c>
      <c r="J38" s="77">
        <f>'CS -23'!S12</f>
        <v>51.923999999999999</v>
      </c>
      <c r="K38" s="77">
        <f>'CS -23'!T12</f>
        <v>60.148000000000003</v>
      </c>
      <c r="L38" s="77">
        <f>'CS -23'!U12</f>
        <v>-19.428000000000001</v>
      </c>
      <c r="M38" s="77">
        <f>'CS -23'!V12</f>
        <v>2.4569999999999999</v>
      </c>
      <c r="N38" s="77">
        <f>'CS -23'!W12</f>
        <v>37.165999999999997</v>
      </c>
      <c r="O38" s="55" t="s">
        <v>192</v>
      </c>
      <c r="P38" s="79"/>
      <c r="Q38" s="16"/>
      <c r="R38" s="16"/>
      <c r="S38" s="16"/>
      <c r="T38" s="9"/>
    </row>
    <row r="39" spans="1:20" x14ac:dyDescent="0.2">
      <c r="A39" s="15"/>
      <c r="B39" s="12" t="s">
        <v>29</v>
      </c>
      <c r="C39" s="12"/>
      <c r="D39" s="16"/>
      <c r="E39" s="78">
        <f>E38/E22</f>
        <v>1.3599835536872579E-3</v>
      </c>
      <c r="F39" s="78">
        <f t="shared" ref="F39:N39" si="8">F38/F22</f>
        <v>7.0663240254147802E-2</v>
      </c>
      <c r="G39" s="78">
        <f t="shared" si="8"/>
        <v>-1.2360968534860285E-3</v>
      </c>
      <c r="H39" s="78">
        <f t="shared" si="8"/>
        <v>2.7266691957511382E-2</v>
      </c>
      <c r="I39" s="78">
        <f t="shared" si="8"/>
        <v>1.0174631338121295E-3</v>
      </c>
      <c r="J39" s="78">
        <f t="shared" si="8"/>
        <v>3.0626581494523381E-2</v>
      </c>
      <c r="K39" s="78">
        <f t="shared" si="8"/>
        <v>2.9433180787886142E-2</v>
      </c>
      <c r="L39" s="78">
        <f t="shared" si="8"/>
        <v>-8.640050378057795E-3</v>
      </c>
      <c r="M39" s="78">
        <f t="shared" si="8"/>
        <v>9.7156098255381739E-4</v>
      </c>
      <c r="N39" s="78">
        <f t="shared" si="8"/>
        <v>1.2995104895104893E-2</v>
      </c>
      <c r="O39" s="79"/>
      <c r="P39" s="79"/>
      <c r="Q39" s="16"/>
      <c r="R39" s="16"/>
      <c r="S39" s="16"/>
      <c r="T39" s="9"/>
    </row>
    <row r="40" spans="1:20" x14ac:dyDescent="0.2">
      <c r="A40" s="4"/>
      <c r="O40">
        <v>1</v>
      </c>
      <c r="P40">
        <f>O40+1</f>
        <v>2</v>
      </c>
      <c r="Q40">
        <f>P40+1</f>
        <v>3</v>
      </c>
      <c r="R40">
        <f>Q40+1</f>
        <v>4</v>
      </c>
      <c r="S40">
        <f>R40+1</f>
        <v>5</v>
      </c>
    </row>
    <row r="41" spans="1:20" x14ac:dyDescent="0.2">
      <c r="A41" s="4"/>
      <c r="B41" s="26" t="s">
        <v>35</v>
      </c>
      <c r="C41" s="26"/>
      <c r="D41" s="26"/>
      <c r="E41" s="34">
        <f>E31</f>
        <v>2015</v>
      </c>
      <c r="F41" s="34">
        <f>E41+1</f>
        <v>2016</v>
      </c>
      <c r="G41" s="34">
        <f t="shared" ref="G41:S41" si="9">F41+1</f>
        <v>2017</v>
      </c>
      <c r="H41" s="34">
        <f t="shared" si="9"/>
        <v>2018</v>
      </c>
      <c r="I41" s="34">
        <f t="shared" si="9"/>
        <v>2019</v>
      </c>
      <c r="J41" s="34">
        <f t="shared" si="9"/>
        <v>2020</v>
      </c>
      <c r="K41" s="34">
        <f t="shared" si="9"/>
        <v>2021</v>
      </c>
      <c r="L41" s="34">
        <f t="shared" si="9"/>
        <v>2022</v>
      </c>
      <c r="M41" s="34">
        <f t="shared" si="9"/>
        <v>2023</v>
      </c>
      <c r="N41" s="34">
        <f t="shared" si="9"/>
        <v>2024</v>
      </c>
      <c r="O41" s="35">
        <f t="shared" si="9"/>
        <v>2025</v>
      </c>
      <c r="P41" s="35">
        <f t="shared" si="9"/>
        <v>2026</v>
      </c>
      <c r="Q41" s="35">
        <f t="shared" si="9"/>
        <v>2027</v>
      </c>
      <c r="R41" s="35">
        <f t="shared" si="9"/>
        <v>2028</v>
      </c>
      <c r="S41" s="35">
        <f t="shared" si="9"/>
        <v>2029</v>
      </c>
    </row>
    <row r="42" spans="1:20" x14ac:dyDescent="0.2">
      <c r="B42" t="s">
        <v>24</v>
      </c>
      <c r="E42" s="72">
        <f t="shared" ref="E42:N42" si="10">E22</f>
        <v>1075.0129999999999</v>
      </c>
      <c r="F42" s="72">
        <f t="shared" si="10"/>
        <v>1150.6690000000001</v>
      </c>
      <c r="G42" s="72">
        <f t="shared" si="10"/>
        <v>1274.172</v>
      </c>
      <c r="H42" s="72">
        <f t="shared" si="10"/>
        <v>1433.9839999999999</v>
      </c>
      <c r="I42" s="72">
        <f t="shared" si="10"/>
        <v>1557.796</v>
      </c>
      <c r="J42" s="72">
        <f t="shared" si="10"/>
        <v>1695.39</v>
      </c>
      <c r="K42" s="72">
        <f t="shared" si="10"/>
        <v>2043.5440000000001</v>
      </c>
      <c r="L42" s="72">
        <f t="shared" si="10"/>
        <v>2248.598</v>
      </c>
      <c r="M42" s="72">
        <f t="shared" si="10"/>
        <v>2528.92</v>
      </c>
      <c r="N42" s="72">
        <f t="shared" si="10"/>
        <v>2860</v>
      </c>
      <c r="O42" s="17">
        <f ca="1">N42*(1+O43)</f>
        <v>3160.1541958041962</v>
      </c>
      <c r="P42" s="17">
        <f ca="1">O42*(1+P43)</f>
        <v>3537.4043169722991</v>
      </c>
      <c r="Q42" s="17">
        <f t="shared" ref="Q42:S42" ca="1" si="11">P42*(1+Q43)</f>
        <v>4006.2844300848992</v>
      </c>
      <c r="R42" s="17">
        <f t="shared" ca="1" si="11"/>
        <v>4595.908071515104</v>
      </c>
      <c r="S42" s="17">
        <f t="shared" ca="1" si="11"/>
        <v>5346.9435275377264</v>
      </c>
    </row>
    <row r="43" spans="1:20" x14ac:dyDescent="0.2">
      <c r="B43" s="12" t="s">
        <v>28</v>
      </c>
      <c r="C43" s="12"/>
      <c r="E43" s="73">
        <f t="shared" ref="E43:N43" si="12">E23</f>
        <v>0</v>
      </c>
      <c r="F43" s="73">
        <f t="shared" si="12"/>
        <v>7.0376823350043471E-2</v>
      </c>
      <c r="G43" s="73">
        <f t="shared" si="12"/>
        <v>0.1073314741250524</v>
      </c>
      <c r="H43" s="73">
        <f t="shared" si="12"/>
        <v>0.12542419704718033</v>
      </c>
      <c r="I43" s="73">
        <f t="shared" si="12"/>
        <v>8.6341270195483544E-2</v>
      </c>
      <c r="J43" s="73">
        <f t="shared" si="12"/>
        <v>8.8326070936117551E-2</v>
      </c>
      <c r="K43" s="73">
        <f t="shared" si="12"/>
        <v>0.20535334052931775</v>
      </c>
      <c r="L43" s="73">
        <f t="shared" si="12"/>
        <v>0.10034234643345075</v>
      </c>
      <c r="M43" s="73">
        <f t="shared" si="12"/>
        <v>0.12466523584918243</v>
      </c>
      <c r="N43" s="73">
        <f t="shared" si="12"/>
        <v>0.13091754582984039</v>
      </c>
      <c r="O43" s="89">
        <f ca="1">OFFSET(O43,$E$12,0)</f>
        <v>0.10494901951195665</v>
      </c>
      <c r="P43" s="89">
        <f t="shared" ref="P43:S43" ca="1" si="13">OFFSET(P43,$E$12,0)</f>
        <v>0.11937712459378916</v>
      </c>
      <c r="Q43" s="89">
        <f t="shared" ca="1" si="13"/>
        <v>0.13254920023219732</v>
      </c>
      <c r="R43" s="89">
        <f t="shared" ca="1" si="13"/>
        <v>0.14717468310598944</v>
      </c>
      <c r="S43" s="89">
        <f t="shared" ca="1" si="13"/>
        <v>0.1634139422146956</v>
      </c>
    </row>
    <row r="44" spans="1:20" x14ac:dyDescent="0.2">
      <c r="B44" t="s">
        <v>36</v>
      </c>
      <c r="O44" s="90">
        <f>O45*(1+J12)</f>
        <v>8.2218812655875634E-2</v>
      </c>
      <c r="P44" s="91">
        <f>P45*(1+$J13)</f>
        <v>8.8442811993383733E-2</v>
      </c>
      <c r="Q44" s="91">
        <f t="shared" ref="Q44:S44" si="14">Q45*(1+$J13)</f>
        <v>9.8201594617898139E-2</v>
      </c>
      <c r="R44" s="91">
        <f t="shared" si="14"/>
        <v>0.10903716162054437</v>
      </c>
      <c r="S44" s="91">
        <f t="shared" si="14"/>
        <v>0.12106832542307634</v>
      </c>
    </row>
    <row r="45" spans="1:20" x14ac:dyDescent="0.2">
      <c r="B45" t="s">
        <v>37</v>
      </c>
      <c r="O45" s="90">
        <f>O12</f>
        <v>9.2657342657342712E-2</v>
      </c>
      <c r="P45" s="90">
        <f>O45*(1+$O13)</f>
        <v>0.10288115672632321</v>
      </c>
      <c r="Q45" s="90">
        <f t="shared" ref="Q45:S45" si="15">P45*(1+$O13)</f>
        <v>0.114233066757473</v>
      </c>
      <c r="R45" s="90">
        <f t="shared" si="15"/>
        <v>0.12683754689432367</v>
      </c>
      <c r="S45" s="90">
        <f t="shared" si="15"/>
        <v>0.14083280576127324</v>
      </c>
    </row>
    <row r="46" spans="1:20" x14ac:dyDescent="0.2">
      <c r="B46" t="s">
        <v>38</v>
      </c>
      <c r="O46" s="90">
        <f>O45*(1+T12)</f>
        <v>0.10494901951195665</v>
      </c>
      <c r="P46" s="90">
        <f>P45*(1+$T13)</f>
        <v>0.11937712459378916</v>
      </c>
      <c r="Q46" s="90">
        <f t="shared" ref="Q46:S46" si="16">Q45*(1+$T13)</f>
        <v>0.13254920023219732</v>
      </c>
      <c r="R46" s="90">
        <f t="shared" si="16"/>
        <v>0.14717468310598944</v>
      </c>
      <c r="S46" s="90">
        <f t="shared" si="16"/>
        <v>0.1634139422146956</v>
      </c>
    </row>
    <row r="48" spans="1:20" x14ac:dyDescent="0.2">
      <c r="B48" t="s">
        <v>7</v>
      </c>
      <c r="E48" s="72">
        <f t="shared" ref="E48:N48" si="17">E25</f>
        <v>403.89800000000002</v>
      </c>
      <c r="F48" s="72">
        <f t="shared" si="17"/>
        <v>488.10399999999998</v>
      </c>
      <c r="G48" s="72">
        <f t="shared" si="17"/>
        <v>579.77</v>
      </c>
      <c r="H48" s="72">
        <f t="shared" si="17"/>
        <v>686.89800000000002</v>
      </c>
      <c r="I48" s="72">
        <f t="shared" si="17"/>
        <v>755.70100000000002</v>
      </c>
      <c r="J48" s="72">
        <f t="shared" si="17"/>
        <v>884.76400000000001</v>
      </c>
      <c r="K48" s="72">
        <f t="shared" si="17"/>
        <v>1088.7380000000001</v>
      </c>
      <c r="L48" s="72">
        <f t="shared" si="17"/>
        <v>1207.6400000000001</v>
      </c>
      <c r="M48" s="72">
        <f t="shared" si="17"/>
        <v>1384.6089999999999</v>
      </c>
      <c r="N48" s="72">
        <f t="shared" si="17"/>
        <v>1527</v>
      </c>
      <c r="O48" s="17">
        <f ca="1">O49*O42</f>
        <v>1965.2366912867135</v>
      </c>
      <c r="P48" s="17">
        <f t="shared" ref="P48:S48" ca="1" si="18">P49*P42</f>
        <v>2132.6321257672703</v>
      </c>
      <c r="Q48" s="17">
        <f t="shared" ca="1" si="18"/>
        <v>2511.9232407643012</v>
      </c>
      <c r="R48" s="17">
        <f t="shared" ca="1" si="18"/>
        <v>2996.8793376187718</v>
      </c>
      <c r="S48" s="17">
        <f t="shared" ca="1" si="18"/>
        <v>3626.0756527016538</v>
      </c>
    </row>
    <row r="49" spans="2:20" x14ac:dyDescent="0.2">
      <c r="B49" s="12" t="s">
        <v>29</v>
      </c>
      <c r="C49" s="12"/>
      <c r="E49" s="14">
        <f t="shared" ref="E49:N49" si="19">E26</f>
        <v>0.3757145262429385</v>
      </c>
      <c r="F49" s="14">
        <f t="shared" si="19"/>
        <v>0.42419149207982482</v>
      </c>
      <c r="G49" s="14">
        <f t="shared" si="19"/>
        <v>0.45501706206069509</v>
      </c>
      <c r="H49" s="14">
        <f t="shared" si="19"/>
        <v>0.47901371284477379</v>
      </c>
      <c r="I49" s="14">
        <f t="shared" si="19"/>
        <v>0.48510909002205682</v>
      </c>
      <c r="J49" s="14">
        <f t="shared" si="19"/>
        <v>0.52186458572953709</v>
      </c>
      <c r="K49" s="14">
        <f t="shared" si="19"/>
        <v>0.5327695415415572</v>
      </c>
      <c r="L49" s="14">
        <f t="shared" si="19"/>
        <v>0.53706353914750438</v>
      </c>
      <c r="M49" s="14">
        <f t="shared" si="19"/>
        <v>0.54751000427059771</v>
      </c>
      <c r="N49" s="89">
        <f t="shared" si="19"/>
        <v>0.53391608391608392</v>
      </c>
      <c r="O49" s="89">
        <f ca="1">OFFSET(O49,$E$13:$E$13,0)</f>
        <v>0.62187999999999999</v>
      </c>
      <c r="P49" s="89">
        <f t="shared" ref="P49:S49" ca="1" si="20">OFFSET(P49,$E$13:$E$13,0)</f>
        <v>0.60288051200000004</v>
      </c>
      <c r="Q49" s="89">
        <f t="shared" ca="1" si="20"/>
        <v>0.62699573248000007</v>
      </c>
      <c r="R49" s="89">
        <f t="shared" ca="1" si="20"/>
        <v>0.65207556177920012</v>
      </c>
      <c r="S49" s="89">
        <f t="shared" ca="1" si="20"/>
        <v>0.67815858425036812</v>
      </c>
    </row>
    <row r="50" spans="2:20" x14ac:dyDescent="0.2">
      <c r="B50" t="s">
        <v>36</v>
      </c>
      <c r="C50" s="12"/>
      <c r="O50" s="90">
        <f>J14</f>
        <v>0.47188000000000002</v>
      </c>
      <c r="P50" s="90">
        <f>O50*(1+$J15)</f>
        <v>0.4671612</v>
      </c>
      <c r="Q50" s="90">
        <f t="shared" ref="Q50:S50" si="21">P50*(1+$J15)</f>
        <v>0.46248958800000001</v>
      </c>
      <c r="R50" s="90">
        <f t="shared" si="21"/>
        <v>0.45786469212000003</v>
      </c>
      <c r="S50" s="90">
        <f t="shared" si="21"/>
        <v>0.4532860451988</v>
      </c>
    </row>
    <row r="51" spans="2:20" x14ac:dyDescent="0.2">
      <c r="B51" t="s">
        <v>37</v>
      </c>
      <c r="C51" s="12"/>
      <c r="O51" s="90">
        <f>O14</f>
        <v>0.54688000000000003</v>
      </c>
      <c r="P51" s="90">
        <f>O51*(1+$O15)</f>
        <v>0.56875520000000002</v>
      </c>
      <c r="Q51" s="90">
        <f t="shared" ref="Q51:S51" si="22">P51*(1+$O15)</f>
        <v>0.59150540800000007</v>
      </c>
      <c r="R51" s="90">
        <f t="shared" si="22"/>
        <v>0.6151656243200001</v>
      </c>
      <c r="S51" s="90">
        <f t="shared" si="22"/>
        <v>0.63977224929280008</v>
      </c>
    </row>
    <row r="52" spans="2:20" x14ac:dyDescent="0.2">
      <c r="B52" t="s">
        <v>38</v>
      </c>
      <c r="C52" s="12"/>
      <c r="O52" s="90">
        <f>T14</f>
        <v>0.62187999999999999</v>
      </c>
      <c r="P52" s="90">
        <f>P51*(1+$T15)</f>
        <v>0.60288051200000004</v>
      </c>
      <c r="Q52" s="90">
        <f t="shared" ref="Q52:S52" si="23">Q51*(1+$T15)</f>
        <v>0.62699573248000007</v>
      </c>
      <c r="R52" s="90">
        <f t="shared" si="23"/>
        <v>0.65207556177920012</v>
      </c>
      <c r="S52" s="90">
        <f t="shared" si="23"/>
        <v>0.67815858425036812</v>
      </c>
    </row>
    <row r="54" spans="2:20" x14ac:dyDescent="0.2">
      <c r="B54" t="s">
        <v>30</v>
      </c>
      <c r="E54" s="18">
        <f t="shared" ref="E54:N54" si="24">E28</f>
        <v>119.51600000000001</v>
      </c>
      <c r="F54" s="18">
        <f t="shared" si="24"/>
        <v>125.083</v>
      </c>
      <c r="G54" s="18">
        <f t="shared" si="24"/>
        <v>162.92699999999999</v>
      </c>
      <c r="H54" s="18">
        <f t="shared" si="24"/>
        <v>122.011</v>
      </c>
      <c r="I54" s="18">
        <f t="shared" si="24"/>
        <v>39.67</v>
      </c>
      <c r="J54" s="18">
        <f t="shared" si="24"/>
        <v>84.403000000000006</v>
      </c>
      <c r="K54" s="18">
        <f t="shared" si="24"/>
        <v>132.15299999999999</v>
      </c>
      <c r="L54" s="18">
        <f t="shared" si="24"/>
        <v>173.268</v>
      </c>
      <c r="M54" s="18">
        <f t="shared" si="24"/>
        <v>220.46899999999999</v>
      </c>
      <c r="N54" s="18">
        <f t="shared" si="24"/>
        <v>230.58601567412336</v>
      </c>
      <c r="O54" s="17">
        <f ca="1">O48*O55</f>
        <v>268.83867139010169</v>
      </c>
      <c r="P54" s="17">
        <f t="shared" ref="P54:S54" ca="1" si="25">P48*P55</f>
        <v>291.73788063143587</v>
      </c>
      <c r="Q54" s="17">
        <f t="shared" ca="1" si="25"/>
        <v>343.62380352203166</v>
      </c>
      <c r="R54" s="17">
        <f t="shared" ca="1" si="25"/>
        <v>409.96438902958397</v>
      </c>
      <c r="S54" s="17">
        <f t="shared" ca="1" si="25"/>
        <v>496.03661744888927</v>
      </c>
    </row>
    <row r="55" spans="2:20" x14ac:dyDescent="0.2">
      <c r="B55" s="12" t="s">
        <v>31</v>
      </c>
      <c r="C55" s="12"/>
      <c r="E55" s="14">
        <f t="shared" ref="E55:N55" si="26">E29</f>
        <v>0.34190997671318313</v>
      </c>
      <c r="F55" s="14">
        <f t="shared" si="26"/>
        <v>0.32410128051655968</v>
      </c>
      <c r="G55" s="14">
        <f t="shared" si="26"/>
        <v>0.34895555569834158</v>
      </c>
      <c r="H55" s="14">
        <f t="shared" si="26"/>
        <v>0.19370022987921817</v>
      </c>
      <c r="I55" s="14">
        <f t="shared" si="26"/>
        <v>6.5753052287516697E-2</v>
      </c>
      <c r="J55" s="14">
        <f t="shared" si="26"/>
        <v>0.1229961018616343</v>
      </c>
      <c r="K55" s="14">
        <f t="shared" si="26"/>
        <v>0.15400006525772139</v>
      </c>
      <c r="L55" s="14">
        <f t="shared" si="26"/>
        <v>0.1659907974490368</v>
      </c>
      <c r="M55" s="14">
        <f t="shared" si="26"/>
        <v>0.16103665212872181</v>
      </c>
      <c r="N55" s="89">
        <f t="shared" si="26"/>
        <v>0.15100590417427856</v>
      </c>
      <c r="O55" s="90">
        <f>AVERAGE(I55:N55)</f>
        <v>0.13679709552648492</v>
      </c>
      <c r="P55" s="90">
        <f>O55</f>
        <v>0.13679709552648492</v>
      </c>
      <c r="Q55" s="90">
        <f>P55</f>
        <v>0.13679709552648492</v>
      </c>
      <c r="R55" s="90">
        <f>Q55</f>
        <v>0.13679709552648492</v>
      </c>
      <c r="S55" s="90">
        <f>R55</f>
        <v>0.13679709552648492</v>
      </c>
      <c r="T55" s="54" t="s">
        <v>193</v>
      </c>
    </row>
    <row r="56" spans="2:20" x14ac:dyDescent="0.2">
      <c r="T56" s="54"/>
    </row>
    <row r="57" spans="2:20" x14ac:dyDescent="0.2">
      <c r="B57" s="19" t="s">
        <v>39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2"/>
      <c r="O57" s="23">
        <f ca="1">O48-O54</f>
        <v>1696.3980198966119</v>
      </c>
      <c r="P57" s="23">
        <f t="shared" ref="P57:S57" ca="1" si="27">P48-P54</f>
        <v>1840.8942451358344</v>
      </c>
      <c r="Q57" s="23">
        <f t="shared" ca="1" si="27"/>
        <v>2168.2994372422695</v>
      </c>
      <c r="R57" s="23">
        <f t="shared" ca="1" si="27"/>
        <v>2586.914948589188</v>
      </c>
      <c r="S57" s="51">
        <f t="shared" ca="1" si="27"/>
        <v>3130.0390352527647</v>
      </c>
      <c r="T57" s="54"/>
    </row>
    <row r="58" spans="2:20" x14ac:dyDescent="0.2">
      <c r="T58" s="54"/>
    </row>
    <row r="59" spans="2:20" x14ac:dyDescent="0.2">
      <c r="B59" t="s">
        <v>32</v>
      </c>
      <c r="E59" s="72">
        <f t="shared" ref="E59:N59" si="28">E32</f>
        <v>77.799000000000007</v>
      </c>
      <c r="F59" s="72">
        <f t="shared" si="28"/>
        <v>81.352999999999994</v>
      </c>
      <c r="G59" s="72">
        <f t="shared" si="28"/>
        <v>79.986999999999995</v>
      </c>
      <c r="H59" s="72">
        <f t="shared" si="28"/>
        <v>85.534999999999997</v>
      </c>
      <c r="I59" s="72">
        <f t="shared" si="28"/>
        <v>101.898</v>
      </c>
      <c r="J59" s="72">
        <f t="shared" si="28"/>
        <v>110.795</v>
      </c>
      <c r="K59" s="72">
        <f t="shared" si="28"/>
        <v>134.125</v>
      </c>
      <c r="L59" s="72">
        <f t="shared" si="28"/>
        <v>142.49600000000001</v>
      </c>
      <c r="M59" s="72">
        <f t="shared" si="28"/>
        <v>159.21899999999999</v>
      </c>
      <c r="N59" s="72">
        <f t="shared" si="28"/>
        <v>201.81800000000001</v>
      </c>
      <c r="O59" s="17">
        <f ca="1">O42*O60</f>
        <v>207.23048396968849</v>
      </c>
      <c r="P59" s="17">
        <f t="shared" ref="P59:S59" ca="1" si="29">P42*P60</f>
        <v>231.9690632741692</v>
      </c>
      <c r="Q59" s="17">
        <f t="shared" ca="1" si="29"/>
        <v>262.71637708977227</v>
      </c>
      <c r="R59" s="17">
        <f t="shared" ca="1" si="29"/>
        <v>301.38157663471316</v>
      </c>
      <c r="S59" s="17">
        <f t="shared" ca="1" si="29"/>
        <v>350.63152818347203</v>
      </c>
      <c r="T59" s="54"/>
    </row>
    <row r="60" spans="2:20" x14ac:dyDescent="0.2">
      <c r="B60" t="s">
        <v>29</v>
      </c>
      <c r="E60" s="14">
        <f t="shared" ref="E60:N60" si="30">E33</f>
        <v>7.2370287615126525E-2</v>
      </c>
      <c r="F60" s="14">
        <f t="shared" si="30"/>
        <v>7.0700609819157365E-2</v>
      </c>
      <c r="G60" s="14">
        <f t="shared" si="30"/>
        <v>6.2775669218912353E-2</v>
      </c>
      <c r="H60" s="14">
        <f t="shared" si="30"/>
        <v>5.9648503748995808E-2</v>
      </c>
      <c r="I60" s="14">
        <f t="shared" si="30"/>
        <v>6.5411645684030517E-2</v>
      </c>
      <c r="J60" s="14">
        <f t="shared" si="30"/>
        <v>6.5350745256253714E-2</v>
      </c>
      <c r="K60" s="14">
        <f t="shared" si="30"/>
        <v>6.5633526853348889E-2</v>
      </c>
      <c r="L60" s="14">
        <f t="shared" si="30"/>
        <v>6.3371042756419776E-2</v>
      </c>
      <c r="M60" s="14">
        <f t="shared" si="30"/>
        <v>6.2959286968350126E-2</v>
      </c>
      <c r="N60" s="89">
        <f t="shared" si="30"/>
        <v>7.0565734265734273E-2</v>
      </c>
      <c r="O60" s="90">
        <f>AVERAGE(J60:N60)</f>
        <v>6.557606722002135E-2</v>
      </c>
      <c r="P60" s="90">
        <f>O60</f>
        <v>6.557606722002135E-2</v>
      </c>
      <c r="Q60" s="90">
        <f>P60</f>
        <v>6.557606722002135E-2</v>
      </c>
      <c r="R60" s="90">
        <f>Q60</f>
        <v>6.557606722002135E-2</v>
      </c>
      <c r="S60" s="90">
        <f>R60</f>
        <v>6.557606722002135E-2</v>
      </c>
      <c r="T60" s="54" t="s">
        <v>193</v>
      </c>
    </row>
    <row r="61" spans="2:20" x14ac:dyDescent="0.2">
      <c r="T61" s="54"/>
    </row>
    <row r="62" spans="2:20" x14ac:dyDescent="0.2">
      <c r="B62" t="s">
        <v>33</v>
      </c>
      <c r="E62" s="72">
        <f t="shared" ref="E62:N62" si="31">E35</f>
        <v>49.097000000000001</v>
      </c>
      <c r="F62" s="72">
        <f t="shared" si="31"/>
        <v>42.628</v>
      </c>
      <c r="G62" s="72">
        <f t="shared" si="31"/>
        <v>48.817</v>
      </c>
      <c r="H62" s="72">
        <f t="shared" si="31"/>
        <v>48.951000000000001</v>
      </c>
      <c r="I62" s="72">
        <f t="shared" si="31"/>
        <v>53.76</v>
      </c>
      <c r="J62" s="72">
        <f t="shared" si="31"/>
        <v>50.975000000000001</v>
      </c>
      <c r="K62" s="72">
        <f t="shared" si="31"/>
        <v>52.793999999999997</v>
      </c>
      <c r="L62" s="72">
        <f t="shared" si="31"/>
        <v>72.894999999999996</v>
      </c>
      <c r="M62" s="72">
        <f t="shared" si="31"/>
        <v>90.850999999999999</v>
      </c>
      <c r="N62" s="72">
        <f t="shared" si="31"/>
        <v>100.992</v>
      </c>
      <c r="O62" s="17">
        <f ca="1">O42*O63</f>
        <v>100.84434192213257</v>
      </c>
      <c r="P62" s="17">
        <f t="shared" ref="P62:S62" ca="1" si="32">P42*P63</f>
        <v>112.88284949234965</v>
      </c>
      <c r="Q62" s="17">
        <f t="shared" ca="1" si="32"/>
        <v>127.84538091249209</v>
      </c>
      <c r="R62" s="17">
        <f t="shared" ca="1" si="32"/>
        <v>146.66098433485263</v>
      </c>
      <c r="S62" s="17">
        <f t="shared" ca="1" si="32"/>
        <v>170.62743395409862</v>
      </c>
      <c r="T62" s="54"/>
    </row>
    <row r="63" spans="2:20" x14ac:dyDescent="0.2">
      <c r="B63" s="12" t="s">
        <v>29</v>
      </c>
      <c r="C63" s="12"/>
      <c r="E63" s="14">
        <f t="shared" ref="E63:N63" si="33">E36</f>
        <v>4.5671075605597335E-2</v>
      </c>
      <c r="F63" s="14">
        <f t="shared" si="33"/>
        <v>3.7046274819257319E-2</v>
      </c>
      <c r="G63" s="14">
        <f t="shared" si="33"/>
        <v>3.8312723870874574E-2</v>
      </c>
      <c r="H63" s="14">
        <f t="shared" si="33"/>
        <v>3.4136364143532986E-2</v>
      </c>
      <c r="I63" s="14">
        <f t="shared" si="33"/>
        <v>3.4510295314662508E-2</v>
      </c>
      <c r="J63" s="14">
        <f t="shared" si="33"/>
        <v>3.0066828281398381E-2</v>
      </c>
      <c r="K63" s="14">
        <f t="shared" si="33"/>
        <v>2.5834530599781552E-2</v>
      </c>
      <c r="L63" s="14">
        <f t="shared" si="33"/>
        <v>3.2417977779932203E-2</v>
      </c>
      <c r="M63" s="14">
        <f t="shared" si="33"/>
        <v>3.5924821663002385E-2</v>
      </c>
      <c r="N63" s="89">
        <f t="shared" si="33"/>
        <v>3.5311888111888116E-2</v>
      </c>
      <c r="O63" s="90">
        <f>AVERAGE(J63:N63)</f>
        <v>3.1911209287200523E-2</v>
      </c>
      <c r="P63" s="90">
        <f>O63</f>
        <v>3.1911209287200523E-2</v>
      </c>
      <c r="Q63" s="90">
        <f>P63</f>
        <v>3.1911209287200523E-2</v>
      </c>
      <c r="R63" s="90">
        <f>Q63</f>
        <v>3.1911209287200523E-2</v>
      </c>
      <c r="S63" s="90">
        <f>R63</f>
        <v>3.1911209287200523E-2</v>
      </c>
      <c r="T63" s="54" t="s">
        <v>193</v>
      </c>
    </row>
    <row r="64" spans="2:20" x14ac:dyDescent="0.2">
      <c r="T64" s="54"/>
    </row>
    <row r="65" spans="2:20" x14ac:dyDescent="0.2">
      <c r="B65" t="s">
        <v>34</v>
      </c>
      <c r="E65" s="72">
        <f t="shared" ref="E65:N65" si="34">E38</f>
        <v>1.462</v>
      </c>
      <c r="F65" s="72">
        <f t="shared" si="34"/>
        <v>81.31</v>
      </c>
      <c r="G65" s="72">
        <f t="shared" si="34"/>
        <v>-1.575</v>
      </c>
      <c r="H65" s="72">
        <f t="shared" si="34"/>
        <v>39.1</v>
      </c>
      <c r="I65" s="72">
        <f t="shared" si="34"/>
        <v>1.585</v>
      </c>
      <c r="J65" s="72">
        <f t="shared" si="34"/>
        <v>51.923999999999999</v>
      </c>
      <c r="K65" s="72">
        <f t="shared" si="34"/>
        <v>60.148000000000003</v>
      </c>
      <c r="L65" s="72">
        <f t="shared" si="34"/>
        <v>-19.428000000000001</v>
      </c>
      <c r="M65" s="72">
        <f t="shared" si="34"/>
        <v>2.4569999999999999</v>
      </c>
      <c r="N65" s="72">
        <f t="shared" si="34"/>
        <v>37.165999999999997</v>
      </c>
      <c r="O65" s="17">
        <f ca="1">O42*O66</f>
        <v>41.326207219251707</v>
      </c>
      <c r="P65" s="17">
        <f t="shared" ref="P65:S65" ca="1" si="35">P42*P66</f>
        <v>46.259611007453067</v>
      </c>
      <c r="Q65" s="17">
        <f t="shared" ca="1" si="35"/>
        <v>52.391285449543517</v>
      </c>
      <c r="R65" s="17">
        <f t="shared" ca="1" si="35"/>
        <v>60.101956283095525</v>
      </c>
      <c r="S65" s="17">
        <f t="shared" ca="1" si="35"/>
        <v>69.923453894131455</v>
      </c>
      <c r="T65" s="54"/>
    </row>
    <row r="66" spans="2:20" x14ac:dyDescent="0.2">
      <c r="B66" s="12" t="s">
        <v>29</v>
      </c>
      <c r="C66" s="12"/>
      <c r="E66" s="14">
        <f t="shared" ref="E66:N66" si="36">E39</f>
        <v>1.3599835536872579E-3</v>
      </c>
      <c r="F66" s="14">
        <f t="shared" si="36"/>
        <v>7.0663240254147802E-2</v>
      </c>
      <c r="G66" s="14">
        <f t="shared" si="36"/>
        <v>-1.2360968534860285E-3</v>
      </c>
      <c r="H66" s="14">
        <f t="shared" si="36"/>
        <v>2.7266691957511382E-2</v>
      </c>
      <c r="I66" s="14">
        <f t="shared" si="36"/>
        <v>1.0174631338121295E-3</v>
      </c>
      <c r="J66" s="14">
        <f t="shared" si="36"/>
        <v>3.0626581494523381E-2</v>
      </c>
      <c r="K66" s="14">
        <f t="shared" si="36"/>
        <v>2.9433180787886142E-2</v>
      </c>
      <c r="L66" s="14">
        <f t="shared" si="36"/>
        <v>-8.640050378057795E-3</v>
      </c>
      <c r="M66" s="14">
        <f t="shared" si="36"/>
        <v>9.7156098255381739E-4</v>
      </c>
      <c r="N66" s="89">
        <f t="shared" si="36"/>
        <v>1.2995104895104893E-2</v>
      </c>
      <c r="O66" s="90">
        <f>AVERAGE(J66:N66)</f>
        <v>1.3077275556402087E-2</v>
      </c>
      <c r="P66" s="90">
        <f>O66</f>
        <v>1.3077275556402087E-2</v>
      </c>
      <c r="Q66" s="90">
        <f>P66</f>
        <v>1.3077275556402087E-2</v>
      </c>
      <c r="R66" s="90">
        <f>Q66</f>
        <v>1.3077275556402087E-2</v>
      </c>
      <c r="S66" s="90">
        <f>R66</f>
        <v>1.3077275556402087E-2</v>
      </c>
      <c r="T66" s="54" t="s">
        <v>193</v>
      </c>
    </row>
    <row r="68" spans="2:20" x14ac:dyDescent="0.2">
      <c r="B68" s="21" t="s">
        <v>40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3">
        <f ca="1">O57+O59-O62-O65</f>
        <v>1761.4579547249161</v>
      </c>
      <c r="P68" s="23">
        <f t="shared" ref="P68:S68" ca="1" si="37">P57+P59-P62-P65</f>
        <v>1913.7208479102007</v>
      </c>
      <c r="Q68" s="23">
        <f t="shared" ca="1" si="37"/>
        <v>2250.7791479700063</v>
      </c>
      <c r="R68" s="23">
        <f t="shared" ca="1" si="37"/>
        <v>2681.5335846059529</v>
      </c>
      <c r="S68" s="51">
        <f t="shared" ca="1" si="37"/>
        <v>3240.1196755880069</v>
      </c>
    </row>
    <row r="69" spans="2:20" x14ac:dyDescent="0.2">
      <c r="B69" s="24" t="s">
        <v>41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1">
        <f ca="1">O68/(1+wacc)^O72</f>
        <v>1705.9117369674086</v>
      </c>
      <c r="P69" s="31">
        <f ca="1">P68/(1+wacc)^P72</f>
        <v>1736.0744762828779</v>
      </c>
      <c r="Q69" s="31">
        <f ca="1">Q68/(1+wacc)^Q72</f>
        <v>1910.1394371317808</v>
      </c>
      <c r="R69" s="31">
        <f ca="1">R68/(1+wacc)^R72</f>
        <v>2128.9127005532</v>
      </c>
      <c r="S69" s="52">
        <f ca="1">S68/(1+wacc)^S72</f>
        <v>2406.4568996969656</v>
      </c>
    </row>
    <row r="71" spans="2:20" x14ac:dyDescent="0.2">
      <c r="B71" t="s">
        <v>42</v>
      </c>
      <c r="N71" s="25"/>
      <c r="O71" s="25">
        <f>YEARFRAC(D5,D6)</f>
        <v>0.96111111111111114</v>
      </c>
      <c r="P71" s="25"/>
      <c r="Q71" s="25"/>
      <c r="R71" s="25"/>
      <c r="S71" s="25"/>
    </row>
    <row r="72" spans="2:20" x14ac:dyDescent="0.2">
      <c r="B72" t="s">
        <v>43</v>
      </c>
      <c r="N72" s="25"/>
      <c r="O72" s="25">
        <f>O71/2</f>
        <v>0.48055555555555557</v>
      </c>
      <c r="P72" s="25">
        <f>O71+0.5</f>
        <v>1.4611111111111112</v>
      </c>
      <c r="Q72" s="25">
        <f>P72+1</f>
        <v>2.4611111111111112</v>
      </c>
      <c r="R72" s="25">
        <f t="shared" ref="R72:S72" si="38">Q72+1</f>
        <v>3.4611111111111112</v>
      </c>
      <c r="S72" s="25">
        <f t="shared" si="38"/>
        <v>4.4611111111111112</v>
      </c>
    </row>
    <row r="74" spans="2:20" x14ac:dyDescent="0.2">
      <c r="B74" t="s">
        <v>44</v>
      </c>
      <c r="S74" s="17">
        <f ca="1">(S68*(1+tgr))/(wacc-tgr)</f>
        <v>85681.242591275863</v>
      </c>
    </row>
    <row r="75" spans="2:20" x14ac:dyDescent="0.2">
      <c r="B75" t="s">
        <v>45</v>
      </c>
      <c r="S75" s="17">
        <f ca="1">S74/(1+wacc)^S72</f>
        <v>63635.988189530966</v>
      </c>
    </row>
    <row r="76" spans="2:20" x14ac:dyDescent="0.2">
      <c r="B76" t="s">
        <v>46</v>
      </c>
      <c r="S76" s="18">
        <f ca="1">SUM(O69:S69,S75)</f>
        <v>73523.483440163196</v>
      </c>
    </row>
    <row r="77" spans="2:20" x14ac:dyDescent="0.2">
      <c r="B77" t="s">
        <v>47</v>
      </c>
      <c r="S77" s="17"/>
    </row>
    <row r="78" spans="2:20" x14ac:dyDescent="0.2">
      <c r="B78" t="s">
        <v>48</v>
      </c>
      <c r="S78" s="17">
        <v>497</v>
      </c>
    </row>
    <row r="79" spans="2:20" x14ac:dyDescent="0.2">
      <c r="B79" t="s">
        <v>49</v>
      </c>
      <c r="S79" s="18">
        <f ca="1">S76+S77-S78</f>
        <v>73026.483440163196</v>
      </c>
    </row>
    <row r="81" spans="1:19" x14ac:dyDescent="0.2">
      <c r="B81" t="s">
        <v>50</v>
      </c>
      <c r="S81" s="50">
        <f>WACC!G4/1000000</f>
        <v>78.37</v>
      </c>
    </row>
    <row r="82" spans="1:19" x14ac:dyDescent="0.2">
      <c r="A82" t="s">
        <v>18</v>
      </c>
      <c r="B82" t="s">
        <v>51</v>
      </c>
      <c r="S82" s="2">
        <f ca="1">S79/S81</f>
        <v>931.81681051630972</v>
      </c>
    </row>
  </sheetData>
  <hyperlinks>
    <hyperlink ref="S3" r:id="rId1" location=":~:text=The%20terminal%20growth%20rates%20typically,4%25)%20at%20this%20stage" xr:uid="{653C161E-E8E7-C94A-B307-D91D18E67F0D}"/>
    <hyperlink ref="R5" r:id="rId2" xr:uid="{29CE5262-C211-6841-A88A-D8171EE0391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99B4-613D-2644-BF69-A694902F7D55}">
  <dimension ref="B4:L22"/>
  <sheetViews>
    <sheetView workbookViewId="0">
      <selection activeCell="M28" sqref="M28"/>
    </sheetView>
  </sheetViews>
  <sheetFormatPr baseColWidth="10" defaultRowHeight="16" x14ac:dyDescent="0.2"/>
  <cols>
    <col min="1" max="1" width="4.1640625" customWidth="1"/>
    <col min="2" max="2" width="18.1640625" bestFit="1" customWidth="1"/>
    <col min="6" max="6" width="13" bestFit="1" customWidth="1"/>
    <col min="7" max="7" width="12.83203125" customWidth="1"/>
    <col min="8" max="8" width="8.5" hidden="1" customWidth="1"/>
    <col min="9" max="9" width="10.83203125" hidden="1" customWidth="1"/>
  </cols>
  <sheetData>
    <row r="4" spans="2:12" x14ac:dyDescent="0.2">
      <c r="F4" t="str">
        <f>DCF!B81</f>
        <v>Diluted Shares</v>
      </c>
      <c r="G4">
        <v>78370000</v>
      </c>
    </row>
    <row r="5" spans="2:12" x14ac:dyDescent="0.2">
      <c r="F5" t="s">
        <v>196</v>
      </c>
      <c r="G5">
        <f>G4*DCF!J5</f>
        <v>47022000000</v>
      </c>
    </row>
    <row r="7" spans="2:12" x14ac:dyDescent="0.2">
      <c r="B7" s="26" t="s">
        <v>25</v>
      </c>
      <c r="C7" s="27"/>
      <c r="D7" s="27"/>
      <c r="E7" s="27"/>
      <c r="F7" s="27"/>
    </row>
    <row r="8" spans="2:12" x14ac:dyDescent="0.2">
      <c r="B8" t="s">
        <v>52</v>
      </c>
      <c r="F8" s="28">
        <f>G5/1000000</f>
        <v>47022</v>
      </c>
    </row>
    <row r="9" spans="2:12" x14ac:dyDescent="0.2">
      <c r="B9" t="s">
        <v>53</v>
      </c>
      <c r="F9" s="29">
        <f>F8/(F8+F15)</f>
        <v>0.91301308687041283</v>
      </c>
    </row>
    <row r="10" spans="2:12" x14ac:dyDescent="0.2">
      <c r="B10" t="s">
        <v>54</v>
      </c>
      <c r="F10" s="30">
        <f>F11+F12*F13</f>
        <v>9.4299999999999995E-2</v>
      </c>
    </row>
    <row r="11" spans="2:12" x14ac:dyDescent="0.2">
      <c r="B11" t="s">
        <v>55</v>
      </c>
      <c r="F11" s="92">
        <v>4.48E-2</v>
      </c>
      <c r="L11" s="32"/>
    </row>
    <row r="12" spans="2:12" x14ac:dyDescent="0.2">
      <c r="B12" t="s">
        <v>56</v>
      </c>
      <c r="F12" s="93">
        <v>1.1000000000000001</v>
      </c>
    </row>
    <row r="13" spans="2:12" x14ac:dyDescent="0.2">
      <c r="B13" t="s">
        <v>57</v>
      </c>
      <c r="F13" s="94">
        <v>4.4999999999999998E-2</v>
      </c>
    </row>
    <row r="15" spans="2:12" x14ac:dyDescent="0.2">
      <c r="B15" t="s">
        <v>58</v>
      </c>
      <c r="F15" s="95">
        <f>4480</f>
        <v>4480</v>
      </c>
      <c r="J15" s="32"/>
    </row>
    <row r="16" spans="2:12" x14ac:dyDescent="0.2">
      <c r="B16" t="s">
        <v>59</v>
      </c>
      <c r="F16" s="30">
        <f>F15/(F8+F15)</f>
        <v>8.6986913129587201E-2</v>
      </c>
      <c r="J16" s="32"/>
    </row>
    <row r="17" spans="2:10" x14ac:dyDescent="0.2">
      <c r="B17" t="s">
        <v>60</v>
      </c>
      <c r="F17" s="94">
        <f>(0.04+0.036+0.038)/3</f>
        <v>3.7999999999999999E-2</v>
      </c>
      <c r="J17" s="32"/>
    </row>
    <row r="18" spans="2:10" x14ac:dyDescent="0.2">
      <c r="B18" t="s">
        <v>61</v>
      </c>
      <c r="F18" s="94">
        <f>DCF!O55</f>
        <v>0.13679709552648492</v>
      </c>
    </row>
    <row r="20" spans="2:10" x14ac:dyDescent="0.2">
      <c r="B20" t="s">
        <v>62</v>
      </c>
      <c r="F20" s="28">
        <f>F8+F15</f>
        <v>51502</v>
      </c>
    </row>
    <row r="22" spans="2:10" x14ac:dyDescent="0.2">
      <c r="B22" t="s">
        <v>25</v>
      </c>
      <c r="F22" s="30">
        <f>F9*F10+(F16*F17*(1-F18))</f>
        <v>8.8950453622336431E-2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B1F4-F207-CF44-8867-6769D3947642}">
  <dimension ref="A1:Z38"/>
  <sheetViews>
    <sheetView workbookViewId="0">
      <selection activeCell="A19" sqref="A19"/>
    </sheetView>
  </sheetViews>
  <sheetFormatPr baseColWidth="10" defaultRowHeight="16" x14ac:dyDescent="0.2"/>
  <cols>
    <col min="1" max="1" width="51.1640625" bestFit="1" customWidth="1"/>
  </cols>
  <sheetData>
    <row r="1" spans="1:26" x14ac:dyDescent="0.2">
      <c r="A1" s="37" t="s">
        <v>63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">
      <c r="A3" s="39"/>
      <c r="B3" s="40" t="s">
        <v>64</v>
      </c>
      <c r="C3" s="40" t="s">
        <v>65</v>
      </c>
      <c r="D3" s="40" t="s">
        <v>66</v>
      </c>
      <c r="E3" s="40" t="s">
        <v>67</v>
      </c>
      <c r="F3" s="40" t="s">
        <v>68</v>
      </c>
      <c r="G3" s="40" t="s">
        <v>69</v>
      </c>
      <c r="H3" s="40" t="s">
        <v>70</v>
      </c>
      <c r="I3" s="40" t="s">
        <v>71</v>
      </c>
      <c r="J3" s="40" t="s">
        <v>72</v>
      </c>
      <c r="K3" s="40" t="s">
        <v>73</v>
      </c>
      <c r="L3" s="40" t="s">
        <v>74</v>
      </c>
      <c r="M3" s="40" t="s">
        <v>75</v>
      </c>
      <c r="N3" s="40" t="s">
        <v>76</v>
      </c>
      <c r="O3" s="40" t="s">
        <v>77</v>
      </c>
      <c r="P3" s="40" t="s">
        <v>78</v>
      </c>
      <c r="Q3" s="40" t="s">
        <v>79</v>
      </c>
      <c r="R3" s="40" t="s">
        <v>80</v>
      </c>
      <c r="S3" s="40" t="s">
        <v>81</v>
      </c>
      <c r="T3" s="40" t="s">
        <v>82</v>
      </c>
      <c r="U3" s="40" t="s">
        <v>83</v>
      </c>
      <c r="V3" s="40" t="s">
        <v>84</v>
      </c>
      <c r="W3" s="40" t="s">
        <v>85</v>
      </c>
      <c r="X3" s="40"/>
      <c r="Y3" s="40"/>
      <c r="Z3" s="40"/>
    </row>
    <row r="4" spans="1:26" x14ac:dyDescent="0.2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39" t="s">
        <v>24</v>
      </c>
      <c r="B5" s="39">
        <v>91.277000000000001</v>
      </c>
      <c r="C5" s="39">
        <v>178.446</v>
      </c>
      <c r="D5" s="39">
        <v>278.47399999999999</v>
      </c>
      <c r="E5" s="39">
        <v>310.69799999999998</v>
      </c>
      <c r="F5" s="39">
        <v>369.88600000000002</v>
      </c>
      <c r="G5" s="39">
        <v>430.96100000000001</v>
      </c>
      <c r="H5" s="39">
        <v>442.94799999999998</v>
      </c>
      <c r="I5" s="39">
        <v>662.90099999999995</v>
      </c>
      <c r="J5" s="39">
        <v>900.94100000000003</v>
      </c>
      <c r="K5" s="39">
        <v>826.99</v>
      </c>
      <c r="L5" s="39">
        <v>913.36400000000003</v>
      </c>
      <c r="M5" s="39">
        <v>996.68</v>
      </c>
      <c r="N5" s="39">
        <v>1075.0129999999999</v>
      </c>
      <c r="O5" s="39">
        <v>1150.6690000000001</v>
      </c>
      <c r="P5" s="39">
        <v>1274.172</v>
      </c>
      <c r="Q5" s="39">
        <v>1433.9839999999999</v>
      </c>
      <c r="R5" s="39">
        <v>1557.796</v>
      </c>
      <c r="S5" s="39">
        <v>1695.39</v>
      </c>
      <c r="T5" s="39">
        <v>2043.5440000000001</v>
      </c>
      <c r="U5" s="39">
        <v>2248.598</v>
      </c>
      <c r="V5" s="39">
        <v>2528.92</v>
      </c>
      <c r="W5" s="39">
        <v>2802.7249999999999</v>
      </c>
      <c r="X5" s="39"/>
      <c r="Y5" s="39"/>
      <c r="Z5" s="39"/>
    </row>
    <row r="6" spans="1:26" x14ac:dyDescent="0.2">
      <c r="A6" s="39" t="s">
        <v>86</v>
      </c>
      <c r="B6" s="42"/>
      <c r="C6" s="42"/>
      <c r="D6" s="42">
        <v>106.598</v>
      </c>
      <c r="E6" s="42">
        <v>115.426</v>
      </c>
      <c r="F6" s="42">
        <v>121.752</v>
      </c>
      <c r="G6" s="42">
        <v>123.39</v>
      </c>
      <c r="H6" s="42">
        <v>118.66500000000001</v>
      </c>
      <c r="I6" s="42">
        <v>198.626</v>
      </c>
      <c r="J6" s="42">
        <v>277.14699999999999</v>
      </c>
      <c r="K6" s="42">
        <v>230.28200000000001</v>
      </c>
      <c r="L6" s="42">
        <v>240.697</v>
      </c>
      <c r="M6" s="42">
        <v>276.62299999999999</v>
      </c>
      <c r="N6" s="42">
        <v>267.69499999999999</v>
      </c>
      <c r="O6" s="42">
        <v>252.107</v>
      </c>
      <c r="P6" s="42">
        <v>273.68099999999998</v>
      </c>
      <c r="Q6" s="42">
        <v>287.33499999999998</v>
      </c>
      <c r="R6" s="42">
        <v>294.96100000000001</v>
      </c>
      <c r="S6" s="42">
        <v>291.70400000000001</v>
      </c>
      <c r="T6" s="42">
        <v>358.68400000000003</v>
      </c>
      <c r="U6" s="42">
        <v>404.34100000000001</v>
      </c>
      <c r="V6" s="42">
        <v>446.58100000000002</v>
      </c>
      <c r="W6" s="42">
        <v>505.37200000000001</v>
      </c>
      <c r="X6" s="42"/>
      <c r="Y6" s="42"/>
      <c r="Z6" s="42"/>
    </row>
    <row r="7" spans="1:26" x14ac:dyDescent="0.2">
      <c r="A7" s="39" t="s">
        <v>87</v>
      </c>
      <c r="B7" s="39">
        <v>91.277000000000001</v>
      </c>
      <c r="C7" s="39">
        <v>178.446</v>
      </c>
      <c r="D7" s="39">
        <v>171.876</v>
      </c>
      <c r="E7" s="39">
        <v>195.27199999999999</v>
      </c>
      <c r="F7" s="39">
        <v>248.13399999999999</v>
      </c>
      <c r="G7" s="39">
        <v>307.57100000000003</v>
      </c>
      <c r="H7" s="39">
        <v>324.28300000000002</v>
      </c>
      <c r="I7" s="39">
        <v>464.27499999999998</v>
      </c>
      <c r="J7" s="39">
        <v>623.79399999999998</v>
      </c>
      <c r="K7" s="39">
        <v>596.70799999999997</v>
      </c>
      <c r="L7" s="39">
        <v>672.66700000000003</v>
      </c>
      <c r="M7" s="39">
        <v>720.05700000000002</v>
      </c>
      <c r="N7" s="39">
        <v>807.31799999999998</v>
      </c>
      <c r="O7" s="39">
        <v>898.56200000000001</v>
      </c>
      <c r="P7" s="39">
        <v>1000.491</v>
      </c>
      <c r="Q7" s="39">
        <v>1146.6489999999999</v>
      </c>
      <c r="R7" s="39">
        <v>1262.835</v>
      </c>
      <c r="S7" s="39">
        <v>1403.6859999999999</v>
      </c>
      <c r="T7" s="39">
        <v>1684.86</v>
      </c>
      <c r="U7" s="39">
        <v>1844.2570000000001</v>
      </c>
      <c r="V7" s="39">
        <v>2082.3389999999999</v>
      </c>
      <c r="W7" s="39">
        <v>2297.3530000000001</v>
      </c>
      <c r="X7" s="39"/>
      <c r="Y7" s="39"/>
      <c r="Z7" s="39"/>
    </row>
    <row r="8" spans="1:26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2">
      <c r="A9" s="43" t="s">
        <v>88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">
      <c r="A10" s="39" t="s">
        <v>89</v>
      </c>
      <c r="B10" s="39"/>
      <c r="C10" s="39"/>
      <c r="D10" s="39">
        <v>70.22</v>
      </c>
      <c r="E10" s="39">
        <v>85.82</v>
      </c>
      <c r="F10" s="39">
        <v>91.822000000000003</v>
      </c>
      <c r="G10" s="39">
        <v>138.31100000000001</v>
      </c>
      <c r="H10" s="39">
        <v>135.78</v>
      </c>
      <c r="I10" s="39">
        <v>190.244</v>
      </c>
      <c r="J10" s="39">
        <v>212.97200000000001</v>
      </c>
      <c r="K10" s="39">
        <v>211.905</v>
      </c>
      <c r="L10" s="39">
        <v>206.15100000000001</v>
      </c>
      <c r="M10" s="39">
        <v>240.208</v>
      </c>
      <c r="N10" s="39">
        <v>248.30099999999999</v>
      </c>
      <c r="O10" s="39">
        <v>253.90100000000001</v>
      </c>
      <c r="P10" s="39">
        <v>264.88499999999999</v>
      </c>
      <c r="Q10" s="39">
        <v>292.80500000000001</v>
      </c>
      <c r="R10" s="39">
        <v>329.39100000000002</v>
      </c>
      <c r="S10" s="39">
        <v>331.12299999999999</v>
      </c>
      <c r="T10" s="39">
        <v>391.07799999999997</v>
      </c>
      <c r="U10" s="39">
        <v>411.44</v>
      </c>
      <c r="V10" s="39">
        <v>430.17099999999999</v>
      </c>
      <c r="W10" s="39">
        <v>467.94299999999998</v>
      </c>
      <c r="X10" s="39"/>
      <c r="Y10" s="39"/>
      <c r="Z10" s="39"/>
    </row>
    <row r="11" spans="1:26" x14ac:dyDescent="0.2">
      <c r="A11" s="39" t="s">
        <v>0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>
        <v>61.003</v>
      </c>
      <c r="M11" s="39">
        <v>71.094999999999999</v>
      </c>
      <c r="N11" s="39">
        <v>77.319999999999993</v>
      </c>
      <c r="O11" s="39">
        <v>75.203999999999994</v>
      </c>
      <c r="P11" s="39">
        <v>75.849000000000004</v>
      </c>
      <c r="Q11" s="39">
        <v>81.411000000000001</v>
      </c>
      <c r="R11" s="39">
        <v>98.334000000000003</v>
      </c>
      <c r="S11" s="39">
        <v>101.053</v>
      </c>
      <c r="T11" s="39">
        <v>111.56399999999999</v>
      </c>
      <c r="U11" s="39">
        <v>107.205</v>
      </c>
      <c r="V11" s="39">
        <v>132.12100000000001</v>
      </c>
      <c r="W11" s="39">
        <v>159.40199999999999</v>
      </c>
      <c r="X11" s="39"/>
      <c r="Y11" s="39"/>
      <c r="Z11" s="39"/>
    </row>
    <row r="12" spans="1:26" x14ac:dyDescent="0.2">
      <c r="A12" s="39" t="s">
        <v>90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">
      <c r="A13" s="39" t="s">
        <v>1</v>
      </c>
      <c r="B13" s="42"/>
      <c r="C13" s="42"/>
      <c r="D13" s="42">
        <v>28.030999999999999</v>
      </c>
      <c r="E13" s="42">
        <v>26.155999999999999</v>
      </c>
      <c r="F13" s="42">
        <v>26.353000000000002</v>
      </c>
      <c r="G13" s="42">
        <v>33.47</v>
      </c>
      <c r="H13" s="42">
        <v>37.511000000000003</v>
      </c>
      <c r="I13" s="42">
        <v>59.012</v>
      </c>
      <c r="J13" s="42">
        <v>85.23</v>
      </c>
      <c r="K13" s="42">
        <v>66.600999999999999</v>
      </c>
      <c r="L13" s="42">
        <v>65.182000000000002</v>
      </c>
      <c r="M13" s="42">
        <v>71.587999999999994</v>
      </c>
      <c r="N13" s="42">
        <v>77.799000000000007</v>
      </c>
      <c r="O13" s="42">
        <v>81.352999999999994</v>
      </c>
      <c r="P13" s="42">
        <v>79.986999999999995</v>
      </c>
      <c r="Q13" s="42">
        <v>85.534999999999997</v>
      </c>
      <c r="R13" s="42">
        <v>79.409000000000006</v>
      </c>
      <c r="S13" s="42">
        <v>86.745999999999995</v>
      </c>
      <c r="T13" s="42">
        <v>93.48</v>
      </c>
      <c r="U13" s="42">
        <v>117.97199999999999</v>
      </c>
      <c r="V13" s="42">
        <v>135.43799999999999</v>
      </c>
      <c r="W13" s="42">
        <v>175.93899999999999</v>
      </c>
      <c r="X13" s="42"/>
      <c r="Y13" s="42"/>
      <c r="Z13" s="42"/>
    </row>
    <row r="14" spans="1:26" x14ac:dyDescent="0.2">
      <c r="A14" s="43" t="s">
        <v>91</v>
      </c>
      <c r="B14" s="39">
        <v>91.277000000000001</v>
      </c>
      <c r="C14" s="39">
        <v>178.446</v>
      </c>
      <c r="D14" s="39">
        <v>73.625</v>
      </c>
      <c r="E14" s="39">
        <v>83.296000000000006</v>
      </c>
      <c r="F14" s="39">
        <v>129.959</v>
      </c>
      <c r="G14" s="39">
        <v>135.79</v>
      </c>
      <c r="H14" s="39">
        <v>150.99199999999999</v>
      </c>
      <c r="I14" s="39">
        <v>215.01900000000001</v>
      </c>
      <c r="J14" s="39">
        <v>325.59199999999998</v>
      </c>
      <c r="K14" s="39">
        <v>318.202</v>
      </c>
      <c r="L14" s="39">
        <v>340.33100000000002</v>
      </c>
      <c r="M14" s="39">
        <v>337.166</v>
      </c>
      <c r="N14" s="39">
        <v>403.89800000000002</v>
      </c>
      <c r="O14" s="39">
        <v>488.10399999999998</v>
      </c>
      <c r="P14" s="39">
        <v>579.77</v>
      </c>
      <c r="Q14" s="39">
        <v>686.89800000000002</v>
      </c>
      <c r="R14" s="39">
        <v>755.70100000000002</v>
      </c>
      <c r="S14" s="39">
        <v>884.76400000000001</v>
      </c>
      <c r="T14" s="39">
        <v>1088.7380000000001</v>
      </c>
      <c r="U14" s="39">
        <v>1207.6400000000001</v>
      </c>
      <c r="V14" s="39">
        <v>1384.6089999999999</v>
      </c>
      <c r="W14" s="39">
        <v>1494.069</v>
      </c>
      <c r="X14" s="39"/>
      <c r="Y14" s="39"/>
      <c r="Z14" s="39"/>
    </row>
    <row r="15" spans="1:26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">
      <c r="A16" s="39" t="s">
        <v>92</v>
      </c>
      <c r="B16" s="39"/>
      <c r="C16" s="39"/>
      <c r="D16" s="39"/>
      <c r="E16" s="39"/>
      <c r="F16" s="39"/>
      <c r="G16" s="39">
        <v>-18.79</v>
      </c>
      <c r="H16" s="39">
        <v>-18.63</v>
      </c>
      <c r="I16" s="39">
        <v>-50.344000000000001</v>
      </c>
      <c r="J16" s="39">
        <v>-54.970999999999997</v>
      </c>
      <c r="K16" s="39">
        <v>-55.701999999999998</v>
      </c>
      <c r="L16" s="39">
        <v>-25.367000000000001</v>
      </c>
      <c r="M16" s="39">
        <v>-30.969000000000001</v>
      </c>
      <c r="N16" s="39">
        <v>-61.220999999999997</v>
      </c>
      <c r="O16" s="39">
        <v>-98.745000000000005</v>
      </c>
      <c r="P16" s="39">
        <v>-109.78400000000001</v>
      </c>
      <c r="Q16" s="39">
        <v>-113.44499999999999</v>
      </c>
      <c r="R16" s="39">
        <v>-131.63800000000001</v>
      </c>
      <c r="S16" s="39">
        <v>-151.29400000000001</v>
      </c>
      <c r="T16" s="39">
        <v>-158.11699999999999</v>
      </c>
      <c r="U16" s="39">
        <v>-159.80199999999999</v>
      </c>
      <c r="V16" s="39">
        <v>-152.19999999999999</v>
      </c>
      <c r="W16" s="39">
        <v>-166.17400000000001</v>
      </c>
      <c r="X16" s="39"/>
      <c r="Y16" s="39"/>
      <c r="Z16" s="39"/>
    </row>
    <row r="17" spans="1:26" x14ac:dyDescent="0.2">
      <c r="A17" s="39" t="s">
        <v>2</v>
      </c>
      <c r="B17" s="42">
        <v>-85.801000000000002</v>
      </c>
      <c r="C17" s="42">
        <v>-178.446</v>
      </c>
      <c r="D17" s="42">
        <v>7.2720000000000002</v>
      </c>
      <c r="E17" s="42">
        <v>16.172999999999998</v>
      </c>
      <c r="F17" s="42">
        <v>3.3330000000000002</v>
      </c>
      <c r="G17" s="42">
        <v>-7.3570000000000002</v>
      </c>
      <c r="H17" s="42">
        <v>-0.64100000000000001</v>
      </c>
      <c r="I17" s="42">
        <v>-11.183999999999999</v>
      </c>
      <c r="J17" s="42">
        <v>-7.2080000000000002</v>
      </c>
      <c r="K17" s="42">
        <v>-1.6990000000000001</v>
      </c>
      <c r="L17" s="42">
        <v>-2.1360000000000001</v>
      </c>
      <c r="M17" s="42">
        <v>2.141</v>
      </c>
      <c r="N17" s="42">
        <v>6.8769999999999998</v>
      </c>
      <c r="O17" s="42">
        <v>-3.4209999999999998</v>
      </c>
      <c r="P17" s="42">
        <v>-3.0870000000000002</v>
      </c>
      <c r="Q17" s="42">
        <v>56.442999999999998</v>
      </c>
      <c r="R17" s="42">
        <v>-20.745000000000001</v>
      </c>
      <c r="S17" s="42">
        <v>-47.244999999999997</v>
      </c>
      <c r="T17" s="42">
        <v>-72.484999999999999</v>
      </c>
      <c r="U17" s="42">
        <v>-3.9969999999999999</v>
      </c>
      <c r="V17" s="42">
        <v>136.65199999999999</v>
      </c>
      <c r="W17" s="42">
        <v>132.803</v>
      </c>
      <c r="X17" s="42"/>
      <c r="Y17" s="42"/>
      <c r="Z17" s="42"/>
    </row>
    <row r="18" spans="1:26" x14ac:dyDescent="0.2">
      <c r="A18" s="39" t="s">
        <v>177</v>
      </c>
      <c r="B18" s="43">
        <v>5.476</v>
      </c>
      <c r="C18" s="43"/>
      <c r="D18" s="43">
        <v>80.897000000000006</v>
      </c>
      <c r="E18" s="43">
        <v>99.468999999999994</v>
      </c>
      <c r="F18" s="43">
        <v>133.292</v>
      </c>
      <c r="G18" s="43">
        <v>109.643</v>
      </c>
      <c r="H18" s="43">
        <v>131.721</v>
      </c>
      <c r="I18" s="43">
        <v>153.49100000000001</v>
      </c>
      <c r="J18" s="43">
        <v>263.41300000000001</v>
      </c>
      <c r="K18" s="43">
        <v>260.80099999999999</v>
      </c>
      <c r="L18" s="43">
        <v>312.82799999999997</v>
      </c>
      <c r="M18" s="43">
        <v>308.33800000000002</v>
      </c>
      <c r="N18" s="43">
        <v>349.55399999999997</v>
      </c>
      <c r="O18" s="43">
        <v>385.93799999999999</v>
      </c>
      <c r="P18" s="43">
        <v>466.899</v>
      </c>
      <c r="Q18" s="43">
        <v>629.89599999999996</v>
      </c>
      <c r="R18" s="43">
        <v>603.31799999999998</v>
      </c>
      <c r="S18" s="43">
        <v>686.22500000000002</v>
      </c>
      <c r="T18" s="43">
        <v>858.13599999999997</v>
      </c>
      <c r="U18" s="43">
        <v>1043.8409999999999</v>
      </c>
      <c r="V18" s="43">
        <v>1369.0609999999999</v>
      </c>
      <c r="W18" s="43">
        <v>1460.6980000000001</v>
      </c>
      <c r="X18" s="43"/>
      <c r="Y18" s="43"/>
      <c r="Z18" s="43"/>
    </row>
    <row r="19" spans="1:26" x14ac:dyDescent="0.2">
      <c r="A19" s="39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">
      <c r="A20" s="39" t="s">
        <v>93</v>
      </c>
      <c r="B20" s="42">
        <v>5.9210000000000003</v>
      </c>
      <c r="C20" s="42"/>
      <c r="D20" s="42">
        <v>-30.449000000000002</v>
      </c>
      <c r="E20" s="42">
        <v>-36.097000000000001</v>
      </c>
      <c r="F20" s="42">
        <v>-52.180999999999997</v>
      </c>
      <c r="G20" s="42">
        <v>-41.375</v>
      </c>
      <c r="H20" s="42">
        <v>-49.92</v>
      </c>
      <c r="I20" s="42">
        <v>-61.320999999999998</v>
      </c>
      <c r="J20" s="42">
        <v>-89.959000000000003</v>
      </c>
      <c r="K20" s="42">
        <v>-96.01</v>
      </c>
      <c r="L20" s="42">
        <v>-112.91800000000001</v>
      </c>
      <c r="M20" s="42">
        <v>-109.396</v>
      </c>
      <c r="N20" s="42">
        <v>-119.51600000000001</v>
      </c>
      <c r="O20" s="42">
        <v>-125.083</v>
      </c>
      <c r="P20" s="42">
        <v>-162.92699999999999</v>
      </c>
      <c r="Q20" s="42">
        <v>-122.011</v>
      </c>
      <c r="R20" s="42">
        <v>-39.67</v>
      </c>
      <c r="S20" s="42">
        <v>-84.403000000000006</v>
      </c>
      <c r="T20" s="42">
        <v>-132.15299999999999</v>
      </c>
      <c r="U20" s="42">
        <v>-173.268</v>
      </c>
      <c r="V20" s="42">
        <v>-220.46899999999999</v>
      </c>
      <c r="W20" s="42">
        <v>-253.70500000000001</v>
      </c>
      <c r="X20" s="42"/>
      <c r="Y20" s="42"/>
      <c r="Z20" s="42"/>
    </row>
    <row r="21" spans="1:26" x14ac:dyDescent="0.2">
      <c r="A21" s="39" t="s">
        <v>94</v>
      </c>
      <c r="B21" s="43">
        <v>11.397</v>
      </c>
      <c r="C21" s="43"/>
      <c r="D21" s="43">
        <v>50.448</v>
      </c>
      <c r="E21" s="43">
        <v>63.372</v>
      </c>
      <c r="F21" s="43">
        <v>81.111000000000004</v>
      </c>
      <c r="G21" s="43">
        <v>68.268000000000001</v>
      </c>
      <c r="H21" s="43">
        <v>81.801000000000002</v>
      </c>
      <c r="I21" s="43">
        <v>92.17</v>
      </c>
      <c r="J21" s="43">
        <v>173.45400000000001</v>
      </c>
      <c r="K21" s="43">
        <v>164.791</v>
      </c>
      <c r="L21" s="43">
        <v>199.91</v>
      </c>
      <c r="M21" s="43">
        <v>198.94200000000001</v>
      </c>
      <c r="N21" s="43">
        <v>230.03800000000001</v>
      </c>
      <c r="O21" s="43">
        <v>260.85500000000002</v>
      </c>
      <c r="P21" s="43">
        <v>303.97199999999998</v>
      </c>
      <c r="Q21" s="43">
        <v>507.88499999999999</v>
      </c>
      <c r="R21" s="43">
        <v>563.64800000000002</v>
      </c>
      <c r="S21" s="43">
        <v>601.822</v>
      </c>
      <c r="T21" s="43">
        <v>725.98299999999995</v>
      </c>
      <c r="U21" s="43">
        <v>870.57299999999998</v>
      </c>
      <c r="V21" s="43">
        <v>1148.5920000000001</v>
      </c>
      <c r="W21" s="43">
        <v>1206.9929999999999</v>
      </c>
      <c r="X21" s="43"/>
      <c r="Y21" s="43"/>
      <c r="Z21" s="43"/>
    </row>
    <row r="22" spans="1:26" x14ac:dyDescent="0.2">
      <c r="A22" s="39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2">
      <c r="A23" s="39" t="s">
        <v>95</v>
      </c>
      <c r="B23" s="39"/>
      <c r="C23" s="39">
        <v>-5.3999999999999999E-2</v>
      </c>
      <c r="D23" s="39">
        <v>3.7930000000000001</v>
      </c>
      <c r="E23" s="39">
        <v>8.0730000000000004</v>
      </c>
      <c r="F23" s="39"/>
      <c r="G23" s="39"/>
      <c r="H23" s="39"/>
      <c r="I23" s="39"/>
      <c r="J23" s="39"/>
      <c r="K23" s="39">
        <v>19.446999999999999</v>
      </c>
      <c r="L23" s="39">
        <v>22.646999999999998</v>
      </c>
      <c r="M23" s="39">
        <v>85.171000000000006</v>
      </c>
      <c r="N23" s="39">
        <v>-6.39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">
      <c r="A24" s="39" t="s">
        <v>96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">
      <c r="A25" s="39" t="s">
        <v>97</v>
      </c>
      <c r="B25" s="39"/>
      <c r="C25" s="39">
        <v>20.907</v>
      </c>
      <c r="D25" s="39">
        <v>0.313</v>
      </c>
      <c r="E25" s="39"/>
      <c r="F25" s="39"/>
      <c r="G25" s="39"/>
      <c r="H25" s="39"/>
      <c r="I25" s="39">
        <v>-1.4210854715202001E-14</v>
      </c>
      <c r="J25" s="39"/>
      <c r="K25" s="39"/>
      <c r="L25" s="39">
        <v>2.8421709430404001E-14</v>
      </c>
      <c r="M25" s="39"/>
      <c r="N25" s="39">
        <v>2.8421709430404001E-14</v>
      </c>
      <c r="O25" s="39"/>
      <c r="P25" s="39"/>
      <c r="Q25" s="39"/>
      <c r="R25" s="39"/>
      <c r="S25" s="39"/>
      <c r="T25" s="39"/>
      <c r="U25" s="39">
        <v>1.1368683772161999E-13</v>
      </c>
      <c r="V25" s="39">
        <v>2.2737367544322999E-13</v>
      </c>
      <c r="W25" s="39">
        <v>2.8421709430404001E-14</v>
      </c>
      <c r="X25" s="39"/>
      <c r="Y25" s="39"/>
      <c r="Z25" s="39"/>
    </row>
    <row r="26" spans="1:26" ht="17" thickBot="1" x14ac:dyDescent="0.25">
      <c r="A26" s="43" t="s">
        <v>3</v>
      </c>
      <c r="B26" s="44">
        <v>11.397</v>
      </c>
      <c r="C26" s="44">
        <v>20.853000000000002</v>
      </c>
      <c r="D26" s="44">
        <v>54.554000000000002</v>
      </c>
      <c r="E26" s="44">
        <v>71.444999999999993</v>
      </c>
      <c r="F26" s="44">
        <v>81.111000000000004</v>
      </c>
      <c r="G26" s="44">
        <v>68.268000000000001</v>
      </c>
      <c r="H26" s="44">
        <v>81.801000000000002</v>
      </c>
      <c r="I26" s="44">
        <v>92.17</v>
      </c>
      <c r="J26" s="44">
        <v>173.45400000000001</v>
      </c>
      <c r="K26" s="44">
        <v>184.238</v>
      </c>
      <c r="L26" s="44">
        <v>222.55699999999999</v>
      </c>
      <c r="M26" s="44">
        <v>284.113</v>
      </c>
      <c r="N26" s="44">
        <v>223.648</v>
      </c>
      <c r="O26" s="44">
        <v>260.85500000000002</v>
      </c>
      <c r="P26" s="44">
        <v>303.97199999999998</v>
      </c>
      <c r="Q26" s="44">
        <v>507.88499999999999</v>
      </c>
      <c r="R26" s="44">
        <v>563.64800000000002</v>
      </c>
      <c r="S26" s="44">
        <v>601.822</v>
      </c>
      <c r="T26" s="44">
        <v>725.98299999999995</v>
      </c>
      <c r="U26" s="44">
        <v>870.57299999999998</v>
      </c>
      <c r="V26" s="44">
        <v>1148.5920000000001</v>
      </c>
      <c r="W26" s="44">
        <v>1206.9929999999999</v>
      </c>
      <c r="X26" s="44"/>
      <c r="Y26" s="44"/>
      <c r="Z26" s="44"/>
    </row>
    <row r="27" spans="1:26" ht="17" thickTop="1" x14ac:dyDescent="0.2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x14ac:dyDescent="0.2">
      <c r="A28" s="39" t="s">
        <v>98</v>
      </c>
      <c r="B28" s="45">
        <v>0.4</v>
      </c>
      <c r="C28" s="45">
        <v>0.37</v>
      </c>
      <c r="D28" s="45">
        <v>0.65</v>
      </c>
      <c r="E28" s="45">
        <v>0.85</v>
      </c>
      <c r="F28" s="45">
        <v>0.96</v>
      </c>
      <c r="G28" s="45">
        <v>0.68</v>
      </c>
      <c r="H28" s="45">
        <v>0.8</v>
      </c>
      <c r="I28" s="45">
        <v>0.82</v>
      </c>
      <c r="J28" s="45">
        <v>1.43</v>
      </c>
      <c r="K28" s="45">
        <v>1.5</v>
      </c>
      <c r="L28" s="45">
        <v>1.85</v>
      </c>
      <c r="M28" s="45">
        <v>2.4500000000000002</v>
      </c>
      <c r="N28" s="45">
        <v>2.0499999999999998</v>
      </c>
      <c r="O28" s="45">
        <v>2.72</v>
      </c>
      <c r="P28" s="45">
        <v>3.36</v>
      </c>
      <c r="Q28" s="45">
        <v>5.83</v>
      </c>
      <c r="R28" s="45">
        <v>6.66</v>
      </c>
      <c r="S28" s="45">
        <v>7.19</v>
      </c>
      <c r="T28" s="45">
        <v>8.8000000000000007</v>
      </c>
      <c r="U28" s="45">
        <v>10.78</v>
      </c>
      <c r="V28" s="45">
        <v>14.45</v>
      </c>
      <c r="W28" s="45">
        <v>15.28</v>
      </c>
      <c r="X28" s="45"/>
      <c r="Y28" s="45"/>
      <c r="Z28" s="45"/>
    </row>
    <row r="29" spans="1:26" x14ac:dyDescent="0.2">
      <c r="A29" s="39" t="s">
        <v>99</v>
      </c>
      <c r="B29" s="45">
        <v>0.4</v>
      </c>
      <c r="C29" s="45">
        <v>0.37</v>
      </c>
      <c r="D29" s="45">
        <v>0.65</v>
      </c>
      <c r="E29" s="45">
        <v>0.85</v>
      </c>
      <c r="F29" s="45">
        <v>0.96</v>
      </c>
      <c r="G29" s="45">
        <v>0.67</v>
      </c>
      <c r="H29" s="45">
        <v>0.8</v>
      </c>
      <c r="I29" s="45">
        <v>0.81</v>
      </c>
      <c r="J29" s="45">
        <v>1.41</v>
      </c>
      <c r="K29" s="45">
        <v>1.48</v>
      </c>
      <c r="L29" s="45">
        <v>1.83</v>
      </c>
      <c r="M29" s="45">
        <v>2.4300000000000002</v>
      </c>
      <c r="N29" s="45">
        <v>2.0299999999999998</v>
      </c>
      <c r="O29" s="45">
        <v>2.7</v>
      </c>
      <c r="P29" s="45">
        <v>3.31</v>
      </c>
      <c r="Q29" s="45">
        <v>5.66</v>
      </c>
      <c r="R29" s="45">
        <v>6.59</v>
      </c>
      <c r="S29" s="45">
        <v>7.12</v>
      </c>
      <c r="T29" s="45">
        <v>8.6999999999999993</v>
      </c>
      <c r="U29" s="45">
        <v>10.72</v>
      </c>
      <c r="V29" s="45">
        <v>14.39</v>
      </c>
      <c r="W29" s="45">
        <v>15.23</v>
      </c>
      <c r="X29" s="45"/>
      <c r="Y29" s="45"/>
      <c r="Z29" s="45"/>
    </row>
    <row r="30" spans="1:26" x14ac:dyDescent="0.2">
      <c r="A30" s="39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x14ac:dyDescent="0.2">
      <c r="A31" s="39" t="s">
        <v>4</v>
      </c>
      <c r="B31" s="39">
        <v>83.9</v>
      </c>
      <c r="C31" s="39">
        <v>56.256</v>
      </c>
      <c r="D31" s="39">
        <v>83.9</v>
      </c>
      <c r="E31" s="39">
        <v>83.9</v>
      </c>
      <c r="F31" s="39">
        <v>84.608000000000004</v>
      </c>
      <c r="G31" s="39">
        <v>100.03700000000001</v>
      </c>
      <c r="H31" s="39">
        <v>100.607</v>
      </c>
      <c r="I31" s="39">
        <v>112.074</v>
      </c>
      <c r="J31" s="39">
        <v>120.717</v>
      </c>
      <c r="K31" s="39">
        <v>122.023</v>
      </c>
      <c r="L31" s="39">
        <v>120.1</v>
      </c>
      <c r="M31" s="39">
        <v>115.73699999999999</v>
      </c>
      <c r="N31" s="39">
        <v>109.124</v>
      </c>
      <c r="O31" s="39">
        <v>95.986000000000004</v>
      </c>
      <c r="P31" s="39">
        <v>90.335999999999999</v>
      </c>
      <c r="Q31" s="39">
        <v>87.179000000000002</v>
      </c>
      <c r="R31" s="39">
        <v>84.644000000000005</v>
      </c>
      <c r="S31" s="39">
        <v>83.715999999999994</v>
      </c>
      <c r="T31" s="39">
        <v>82.507999999999996</v>
      </c>
      <c r="U31" s="39">
        <v>80.745999999999995</v>
      </c>
      <c r="V31" s="39">
        <v>79.462000000000003</v>
      </c>
      <c r="W31" s="39">
        <v>79.462000000000003</v>
      </c>
      <c r="X31" s="39"/>
      <c r="Y31" s="39"/>
      <c r="Z31" s="39"/>
    </row>
    <row r="32" spans="1:26" x14ac:dyDescent="0.2">
      <c r="A32" s="39" t="s">
        <v>5</v>
      </c>
      <c r="B32" s="39">
        <v>83.9</v>
      </c>
      <c r="C32" s="39">
        <v>56.256</v>
      </c>
      <c r="D32" s="39">
        <v>83.9</v>
      </c>
      <c r="E32" s="39">
        <v>83.9</v>
      </c>
      <c r="F32" s="39">
        <v>84.623999999999995</v>
      </c>
      <c r="G32" s="39">
        <v>101.194</v>
      </c>
      <c r="H32" s="39">
        <v>100.86</v>
      </c>
      <c r="I32" s="39">
        <v>113.357</v>
      </c>
      <c r="J32" s="39">
        <v>122.276</v>
      </c>
      <c r="K32" s="39">
        <v>123.20399999999999</v>
      </c>
      <c r="L32" s="39">
        <v>121.074</v>
      </c>
      <c r="M32" s="39">
        <v>116.706</v>
      </c>
      <c r="N32" s="39">
        <v>109.926</v>
      </c>
      <c r="O32" s="39">
        <v>96.54</v>
      </c>
      <c r="P32" s="39">
        <v>91.914000000000001</v>
      </c>
      <c r="Q32" s="39">
        <v>89.700999999999993</v>
      </c>
      <c r="R32" s="39">
        <v>85.536000000000001</v>
      </c>
      <c r="S32" s="39">
        <v>84.516999999999996</v>
      </c>
      <c r="T32" s="39">
        <v>83.478999999999999</v>
      </c>
      <c r="U32" s="39">
        <v>81.215000000000003</v>
      </c>
      <c r="V32" s="39">
        <v>79.843000000000004</v>
      </c>
      <c r="W32" s="39">
        <v>79.843000000000004</v>
      </c>
      <c r="X32" s="39"/>
      <c r="Y32" s="39"/>
      <c r="Z32" s="39"/>
    </row>
    <row r="33" spans="1:26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">
      <c r="A34" s="43" t="s">
        <v>6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">
      <c r="A35" s="39" t="s">
        <v>91</v>
      </c>
      <c r="B35" s="46">
        <f>'[1]Income Statement'!B14</f>
        <v>91.277000000000001</v>
      </c>
      <c r="C35" s="46">
        <f>'[1]Income Statement'!C14</f>
        <v>178.446</v>
      </c>
      <c r="D35" s="46">
        <f>'[1]Income Statement'!D14</f>
        <v>73.625</v>
      </c>
      <c r="E35" s="46">
        <f>'[1]Income Statement'!E14</f>
        <v>83.296000000000006</v>
      </c>
      <c r="F35" s="46">
        <f>'[1]Income Statement'!F14</f>
        <v>129.959</v>
      </c>
      <c r="G35" s="46">
        <f>'[1]Income Statement'!G14</f>
        <v>135.79</v>
      </c>
      <c r="H35" s="46">
        <f>'[1]Income Statement'!H14</f>
        <v>150.99199999999999</v>
      </c>
      <c r="I35" s="46">
        <f>'[1]Income Statement'!I14</f>
        <v>215.01900000000001</v>
      </c>
      <c r="J35" s="46">
        <f>'[1]Income Statement'!J14</f>
        <v>325.59199999999998</v>
      </c>
      <c r="K35" s="46">
        <f>'[1]Income Statement'!K14</f>
        <v>318.202</v>
      </c>
      <c r="L35" s="46">
        <f>'[1]Income Statement'!L14</f>
        <v>340.33100000000002</v>
      </c>
      <c r="M35" s="46">
        <f>'[1]Income Statement'!M14</f>
        <v>337.166</v>
      </c>
      <c r="N35" s="46">
        <f>'[1]Income Statement'!N14</f>
        <v>403.89800000000002</v>
      </c>
      <c r="O35" s="46">
        <f>'[1]Income Statement'!O14</f>
        <v>488.10399999999998</v>
      </c>
      <c r="P35" s="46">
        <f>'[1]Income Statement'!P14</f>
        <v>579.77</v>
      </c>
      <c r="Q35" s="46">
        <f>'[1]Income Statement'!Q14</f>
        <v>686.89800000000002</v>
      </c>
      <c r="R35" s="46">
        <f>'[1]Income Statement'!R14</f>
        <v>755.70100000000002</v>
      </c>
      <c r="S35" s="46">
        <f>'[1]Income Statement'!S14</f>
        <v>884.76400000000001</v>
      </c>
      <c r="T35" s="46">
        <f>'[1]Income Statement'!T14</f>
        <v>1088.7380000000001</v>
      </c>
      <c r="U35" s="46">
        <f>'[1]Income Statement'!U14</f>
        <v>1207.6400000000001</v>
      </c>
      <c r="V35" s="46">
        <f>'[1]Income Statement'!V14</f>
        <v>1384.6089999999999</v>
      </c>
      <c r="W35" s="46">
        <f>'[1]Income Statement'!W14</f>
        <v>1494.069</v>
      </c>
      <c r="X35" s="46">
        <f>'[1]Income Statement'!X14</f>
        <v>0</v>
      </c>
      <c r="Y35" s="46">
        <f>'[1]Income Statement'!Y14</f>
        <v>0</v>
      </c>
      <c r="Z35" s="46">
        <f>'[1]Income Statement'!Z14</f>
        <v>0</v>
      </c>
    </row>
    <row r="36" spans="1:26" x14ac:dyDescent="0.2">
      <c r="A36" s="39" t="s">
        <v>100</v>
      </c>
      <c r="B36" s="47">
        <f>'[1]Cash Flow Statement'!B7</f>
        <v>0</v>
      </c>
      <c r="C36" s="47">
        <f>'[1]Cash Flow Statement'!C7</f>
        <v>0</v>
      </c>
      <c r="D36" s="47">
        <f>'[1]Cash Flow Statement'!D7</f>
        <v>32.076999999999998</v>
      </c>
      <c r="E36" s="47">
        <f>'[1]Cash Flow Statement'!E7</f>
        <v>29.655000000000001</v>
      </c>
      <c r="F36" s="47">
        <f>'[1]Cash Flow Statement'!F7</f>
        <v>27.827999999999999</v>
      </c>
      <c r="G36" s="47">
        <f>'[1]Cash Flow Statement'!G7</f>
        <v>33.47</v>
      </c>
      <c r="H36" s="47">
        <f>'[1]Cash Flow Statement'!H7</f>
        <v>37.511000000000003</v>
      </c>
      <c r="I36" s="47">
        <f>'[1]Cash Flow Statement'!I7</f>
        <v>59.012</v>
      </c>
      <c r="J36" s="47">
        <f>'[1]Cash Flow Statement'!J7</f>
        <v>85.23</v>
      </c>
      <c r="K36" s="47">
        <f>'[1]Cash Flow Statement'!K7</f>
        <v>81.998000000000005</v>
      </c>
      <c r="L36" s="47">
        <f>'[1]Cash Flow Statement'!L7</f>
        <v>80.504999999999995</v>
      </c>
      <c r="M36" s="47">
        <f>'[1]Cash Flow Statement'!M7</f>
        <v>74.546999999999997</v>
      </c>
      <c r="N36" s="47">
        <f>'[1]Cash Flow Statement'!N7</f>
        <v>77.799000000000007</v>
      </c>
      <c r="O36" s="47">
        <f>'[1]Cash Flow Statement'!O7</f>
        <v>81.352999999999994</v>
      </c>
      <c r="P36" s="47">
        <f>'[1]Cash Flow Statement'!P7</f>
        <v>79.986999999999995</v>
      </c>
      <c r="Q36" s="47">
        <f>'[1]Cash Flow Statement'!Q7</f>
        <v>85.534999999999997</v>
      </c>
      <c r="R36" s="47">
        <f>'[1]Cash Flow Statement'!R7</f>
        <v>101.898</v>
      </c>
      <c r="S36" s="47">
        <f>'[1]Cash Flow Statement'!S7</f>
        <v>110.795</v>
      </c>
      <c r="T36" s="47">
        <f>'[1]Cash Flow Statement'!T7</f>
        <v>134.125</v>
      </c>
      <c r="U36" s="47">
        <f>'[1]Cash Flow Statement'!U7</f>
        <v>142.49600000000001</v>
      </c>
      <c r="V36" s="47">
        <f>'[1]Cash Flow Statement'!V7</f>
        <v>159.21899999999999</v>
      </c>
      <c r="W36" s="47">
        <f>'[1]Cash Flow Statement'!W7</f>
        <v>201.81800000000001</v>
      </c>
      <c r="X36" s="47">
        <f>'[1]Cash Flow Statement'!X7</f>
        <v>0</v>
      </c>
      <c r="Y36" s="47">
        <f>'[1]Cash Flow Statement'!Y7</f>
        <v>0</v>
      </c>
      <c r="Z36" s="47">
        <f>'[1]Cash Flow Statement'!Z7</f>
        <v>0</v>
      </c>
    </row>
    <row r="37" spans="1:26" x14ac:dyDescent="0.2">
      <c r="A37" s="39" t="s">
        <v>101</v>
      </c>
      <c r="B37" s="39">
        <f t="shared" ref="B37:Z37" si="0">B35+B36</f>
        <v>91.277000000000001</v>
      </c>
      <c r="C37" s="39">
        <f t="shared" si="0"/>
        <v>178.446</v>
      </c>
      <c r="D37" s="39">
        <f t="shared" si="0"/>
        <v>105.702</v>
      </c>
      <c r="E37" s="39">
        <f t="shared" si="0"/>
        <v>112.95100000000001</v>
      </c>
      <c r="F37" s="39">
        <f t="shared" si="0"/>
        <v>157.78700000000001</v>
      </c>
      <c r="G37" s="39">
        <f t="shared" si="0"/>
        <v>169.26</v>
      </c>
      <c r="H37" s="39">
        <f t="shared" si="0"/>
        <v>188.50299999999999</v>
      </c>
      <c r="I37" s="39">
        <f t="shared" si="0"/>
        <v>274.03100000000001</v>
      </c>
      <c r="J37" s="39">
        <f t="shared" si="0"/>
        <v>410.822</v>
      </c>
      <c r="K37" s="39">
        <f t="shared" si="0"/>
        <v>400.2</v>
      </c>
      <c r="L37" s="39">
        <f t="shared" si="0"/>
        <v>420.83600000000001</v>
      </c>
      <c r="M37" s="39">
        <f t="shared" si="0"/>
        <v>411.71299999999997</v>
      </c>
      <c r="N37" s="39">
        <f t="shared" si="0"/>
        <v>481.697</v>
      </c>
      <c r="O37" s="39">
        <f t="shared" si="0"/>
        <v>569.45699999999999</v>
      </c>
      <c r="P37" s="39">
        <f t="shared" si="0"/>
        <v>659.75699999999995</v>
      </c>
      <c r="Q37" s="39">
        <f t="shared" si="0"/>
        <v>772.43299999999999</v>
      </c>
      <c r="R37" s="39">
        <f t="shared" si="0"/>
        <v>857.59900000000005</v>
      </c>
      <c r="S37" s="39">
        <f t="shared" si="0"/>
        <v>995.55899999999997</v>
      </c>
      <c r="T37" s="39">
        <f t="shared" si="0"/>
        <v>1222.8630000000001</v>
      </c>
      <c r="U37" s="39">
        <f t="shared" si="0"/>
        <v>1350.1360000000002</v>
      </c>
      <c r="V37" s="39">
        <f t="shared" si="0"/>
        <v>1543.828</v>
      </c>
      <c r="W37" s="39">
        <f t="shared" si="0"/>
        <v>1695.8869999999999</v>
      </c>
      <c r="X37" s="39">
        <f t="shared" si="0"/>
        <v>0</v>
      </c>
      <c r="Y37" s="39">
        <f t="shared" si="0"/>
        <v>0</v>
      </c>
      <c r="Z37" s="39">
        <f t="shared" si="0"/>
        <v>0</v>
      </c>
    </row>
    <row r="38" spans="1:26" x14ac:dyDescent="0.2">
      <c r="A38" s="4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3DB-A771-264F-ABAF-9208FFD0C9D9}">
  <dimension ref="A1:Z37"/>
  <sheetViews>
    <sheetView workbookViewId="0">
      <selection activeCell="N34" sqref="N34"/>
    </sheetView>
  </sheetViews>
  <sheetFormatPr baseColWidth="10" defaultRowHeight="16" x14ac:dyDescent="0.2"/>
  <cols>
    <col min="1" max="1" width="51.1640625" bestFit="1" customWidth="1"/>
  </cols>
  <sheetData>
    <row r="1" spans="1:26" x14ac:dyDescent="0.2">
      <c r="A1" s="37" t="s">
        <v>102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">
      <c r="A3" s="39"/>
      <c r="B3" s="40" t="s">
        <v>64</v>
      </c>
      <c r="C3" s="40" t="s">
        <v>65</v>
      </c>
      <c r="D3" s="40" t="s">
        <v>66</v>
      </c>
      <c r="E3" s="40" t="s">
        <v>67</v>
      </c>
      <c r="F3" s="40" t="s">
        <v>68</v>
      </c>
      <c r="G3" s="40" t="s">
        <v>69</v>
      </c>
      <c r="H3" s="40" t="s">
        <v>70</v>
      </c>
      <c r="I3" s="40" t="s">
        <v>71</v>
      </c>
      <c r="J3" s="40" t="s">
        <v>72</v>
      </c>
      <c r="K3" s="40" t="s">
        <v>73</v>
      </c>
      <c r="L3" s="40" t="s">
        <v>74</v>
      </c>
      <c r="M3" s="40" t="s">
        <v>75</v>
      </c>
      <c r="N3" s="40" t="s">
        <v>76</v>
      </c>
      <c r="O3" s="40" t="s">
        <v>77</v>
      </c>
      <c r="P3" s="40" t="s">
        <v>78</v>
      </c>
      <c r="Q3" s="40" t="s">
        <v>79</v>
      </c>
      <c r="R3" s="40" t="s">
        <v>80</v>
      </c>
      <c r="S3" s="40" t="s">
        <v>81</v>
      </c>
      <c r="T3" s="40" t="s">
        <v>82</v>
      </c>
      <c r="U3" s="40" t="s">
        <v>83</v>
      </c>
      <c r="V3" s="40" t="s">
        <v>84</v>
      </c>
      <c r="W3" s="40" t="s">
        <v>85</v>
      </c>
      <c r="X3" s="40"/>
      <c r="Y3" s="40"/>
      <c r="Z3" s="40"/>
    </row>
    <row r="4" spans="1:26" x14ac:dyDescent="0.2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43" t="s">
        <v>3</v>
      </c>
      <c r="B5" s="43">
        <v>11.397</v>
      </c>
      <c r="C5" s="43">
        <v>20.907</v>
      </c>
      <c r="D5" s="43">
        <v>54.554000000000002</v>
      </c>
      <c r="E5" s="43">
        <v>71.444999999999993</v>
      </c>
      <c r="F5" s="43">
        <v>81.111000000000004</v>
      </c>
      <c r="G5" s="43">
        <v>68.268000000000001</v>
      </c>
      <c r="H5" s="43">
        <v>81.801000000000002</v>
      </c>
      <c r="I5" s="43">
        <v>92.17</v>
      </c>
      <c r="J5" s="43">
        <v>173.45400000000001</v>
      </c>
      <c r="K5" s="43">
        <v>184.238</v>
      </c>
      <c r="L5" s="43">
        <v>222.55699999999999</v>
      </c>
      <c r="M5" s="43">
        <v>284.113</v>
      </c>
      <c r="N5" s="43">
        <v>223.648</v>
      </c>
      <c r="O5" s="43">
        <v>260.85500000000002</v>
      </c>
      <c r="P5" s="43">
        <v>303.97199999999998</v>
      </c>
      <c r="Q5" s="43">
        <v>507.88499999999999</v>
      </c>
      <c r="R5" s="43">
        <v>563.64800000000002</v>
      </c>
      <c r="S5" s="43">
        <v>601.822</v>
      </c>
      <c r="T5" s="43">
        <v>725.98299999999995</v>
      </c>
      <c r="U5" s="43">
        <v>870.57299999999998</v>
      </c>
      <c r="V5" s="43">
        <v>1148.5920000000001</v>
      </c>
      <c r="W5" s="43">
        <v>1206.9929999999999</v>
      </c>
      <c r="X5" s="43"/>
      <c r="Y5" s="43"/>
      <c r="Z5" s="43"/>
    </row>
    <row r="6" spans="1:26" x14ac:dyDescent="0.2">
      <c r="A6" s="39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">
      <c r="A7" s="39" t="s">
        <v>103</v>
      </c>
      <c r="B7" s="39"/>
      <c r="C7" s="39"/>
      <c r="D7" s="39">
        <v>32.076999999999998</v>
      </c>
      <c r="E7" s="39">
        <v>29.655000000000001</v>
      </c>
      <c r="F7" s="39">
        <v>27.827999999999999</v>
      </c>
      <c r="G7" s="39">
        <v>33.47</v>
      </c>
      <c r="H7" s="39">
        <v>37.511000000000003</v>
      </c>
      <c r="I7" s="39">
        <v>59.012</v>
      </c>
      <c r="J7" s="39">
        <v>85.23</v>
      </c>
      <c r="K7" s="39">
        <v>81.998000000000005</v>
      </c>
      <c r="L7" s="39">
        <v>80.504999999999995</v>
      </c>
      <c r="M7" s="39">
        <v>74.546999999999997</v>
      </c>
      <c r="N7" s="39">
        <v>77.799000000000007</v>
      </c>
      <c r="O7" s="39">
        <v>81.352999999999994</v>
      </c>
      <c r="P7" s="39">
        <v>79.986999999999995</v>
      </c>
      <c r="Q7" s="39">
        <v>85.534999999999997</v>
      </c>
      <c r="R7" s="39">
        <v>101.898</v>
      </c>
      <c r="S7" s="39">
        <v>110.795</v>
      </c>
      <c r="T7" s="39">
        <v>134.125</v>
      </c>
      <c r="U7" s="39">
        <v>142.49600000000001</v>
      </c>
      <c r="V7" s="39">
        <v>159.21899999999999</v>
      </c>
      <c r="W7" s="39">
        <v>201.81800000000001</v>
      </c>
      <c r="X7" s="39"/>
      <c r="Y7" s="39"/>
      <c r="Z7" s="39"/>
    </row>
    <row r="8" spans="1:26" x14ac:dyDescent="0.2">
      <c r="A8" s="39" t="s">
        <v>104</v>
      </c>
      <c r="B8" s="39"/>
      <c r="C8" s="39"/>
      <c r="D8" s="39">
        <v>-20.029</v>
      </c>
      <c r="E8" s="39">
        <v>-12.076000000000001</v>
      </c>
      <c r="F8" s="39">
        <v>19.681000000000001</v>
      </c>
      <c r="G8" s="39">
        <v>-6.8860000000000001</v>
      </c>
      <c r="H8" s="39">
        <v>10.324999999999999</v>
      </c>
      <c r="I8" s="39">
        <v>-35.850999999999999</v>
      </c>
      <c r="J8" s="39">
        <v>-42.283999999999999</v>
      </c>
      <c r="K8" s="39">
        <v>35.472999999999999</v>
      </c>
      <c r="L8" s="39">
        <v>-16.411999999999999</v>
      </c>
      <c r="M8" s="39">
        <v>-26.821000000000002</v>
      </c>
      <c r="N8" s="39">
        <v>-30.9</v>
      </c>
      <c r="O8" s="39">
        <v>-18.494</v>
      </c>
      <c r="P8" s="39">
        <v>-105.593</v>
      </c>
      <c r="Q8" s="39">
        <v>-153.94200000000001</v>
      </c>
      <c r="R8" s="39">
        <v>-25.922999999999998</v>
      </c>
      <c r="S8" s="39">
        <v>-57.606000000000002</v>
      </c>
      <c r="T8" s="39">
        <v>-99.203000000000003</v>
      </c>
      <c r="U8" s="39">
        <v>-6.6239999999999997</v>
      </c>
      <c r="V8" s="39">
        <v>-149.529</v>
      </c>
      <c r="W8" s="39">
        <v>-13.428000000000001</v>
      </c>
      <c r="X8" s="39"/>
      <c r="Y8" s="39"/>
      <c r="Z8" s="39"/>
    </row>
    <row r="9" spans="1:26" x14ac:dyDescent="0.2">
      <c r="A9" s="39" t="s">
        <v>105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">
      <c r="A10" s="39" t="s">
        <v>106</v>
      </c>
      <c r="B10" s="39"/>
      <c r="C10" s="39"/>
      <c r="D10" s="39">
        <v>0.70199999999999996</v>
      </c>
      <c r="E10" s="39">
        <v>-2.2189999999999999</v>
      </c>
      <c r="F10" s="39">
        <v>0.49099999999999999</v>
      </c>
      <c r="G10" s="39">
        <v>-9.26</v>
      </c>
      <c r="H10" s="39">
        <v>-3.39</v>
      </c>
      <c r="I10" s="39">
        <v>20.548999999999999</v>
      </c>
      <c r="J10" s="39">
        <v>-19.268000000000001</v>
      </c>
      <c r="K10" s="39">
        <v>5.883</v>
      </c>
      <c r="L10" s="39">
        <v>3.468</v>
      </c>
      <c r="M10" s="39">
        <v>-24.855</v>
      </c>
      <c r="N10" s="39">
        <v>-3.1890000000000001</v>
      </c>
      <c r="O10" s="39">
        <v>41.956000000000003</v>
      </c>
      <c r="P10" s="39">
        <v>-7.5389999999999997</v>
      </c>
      <c r="Q10" s="39">
        <v>-6.0839999999999996</v>
      </c>
      <c r="R10" s="39">
        <v>-20.898</v>
      </c>
      <c r="S10" s="39">
        <v>11.198</v>
      </c>
      <c r="T10" s="39">
        <v>11.023999999999999</v>
      </c>
      <c r="U10" s="39">
        <v>-35.465000000000003</v>
      </c>
      <c r="V10" s="39">
        <v>-20.367000000000001</v>
      </c>
      <c r="W10" s="39">
        <v>-28.460999999999999</v>
      </c>
      <c r="X10" s="39"/>
      <c r="Y10" s="39"/>
      <c r="Z10" s="39"/>
    </row>
    <row r="11" spans="1:26" x14ac:dyDescent="0.2">
      <c r="A11" s="39" t="s">
        <v>107</v>
      </c>
      <c r="B11" s="42"/>
      <c r="C11" s="42"/>
      <c r="D11" s="42">
        <v>51.58</v>
      </c>
      <c r="E11" s="42">
        <v>6.194</v>
      </c>
      <c r="F11" s="42">
        <v>2.6040000000000001</v>
      </c>
      <c r="G11" s="42">
        <v>38.082000000000001</v>
      </c>
      <c r="H11" s="42">
        <v>-12.308</v>
      </c>
      <c r="I11" s="42">
        <v>10.127000000000001</v>
      </c>
      <c r="J11" s="42">
        <v>19.411000000000001</v>
      </c>
      <c r="K11" s="42">
        <v>22.082000000000001</v>
      </c>
      <c r="L11" s="42">
        <v>18.981000000000002</v>
      </c>
      <c r="M11" s="42">
        <v>52.706000000000003</v>
      </c>
      <c r="N11" s="42">
        <v>35.551000000000002</v>
      </c>
      <c r="O11" s="42">
        <v>57.847999999999999</v>
      </c>
      <c r="P11" s="42">
        <v>111.557</v>
      </c>
      <c r="Q11" s="42">
        <v>199.126</v>
      </c>
      <c r="R11" s="42">
        <v>48.405999999999999</v>
      </c>
      <c r="S11" s="42">
        <v>98.331999999999994</v>
      </c>
      <c r="T11" s="42">
        <v>148.327</v>
      </c>
      <c r="U11" s="42">
        <v>22.661000000000001</v>
      </c>
      <c r="V11" s="42">
        <v>172.35300000000001</v>
      </c>
      <c r="W11" s="42">
        <v>79.055000000000007</v>
      </c>
      <c r="X11" s="42"/>
      <c r="Y11" s="42"/>
      <c r="Z11" s="42"/>
    </row>
    <row r="12" spans="1:26" x14ac:dyDescent="0.2">
      <c r="A12" s="39" t="s">
        <v>108</v>
      </c>
      <c r="B12" s="39"/>
      <c r="C12" s="39"/>
      <c r="D12" s="39">
        <v>32.253</v>
      </c>
      <c r="E12" s="39">
        <v>-8.1010000000000009</v>
      </c>
      <c r="F12" s="39">
        <v>22.776</v>
      </c>
      <c r="G12" s="39">
        <v>21.936</v>
      </c>
      <c r="H12" s="39">
        <v>-5.3730000000000002</v>
      </c>
      <c r="I12" s="39">
        <v>-5.1749999999999998</v>
      </c>
      <c r="J12" s="39">
        <v>-42.140999999999998</v>
      </c>
      <c r="K12" s="39">
        <v>63.438000000000002</v>
      </c>
      <c r="L12" s="39">
        <v>6.0369999999999999</v>
      </c>
      <c r="M12" s="39">
        <v>1.03</v>
      </c>
      <c r="N12" s="39">
        <v>1.462</v>
      </c>
      <c r="O12" s="39">
        <v>81.31</v>
      </c>
      <c r="P12" s="39">
        <v>-1.575</v>
      </c>
      <c r="Q12" s="39">
        <v>39.1</v>
      </c>
      <c r="R12" s="39">
        <v>1.585</v>
      </c>
      <c r="S12" s="39">
        <v>51.923999999999999</v>
      </c>
      <c r="T12" s="39">
        <v>60.148000000000003</v>
      </c>
      <c r="U12" s="39">
        <v>-19.428000000000001</v>
      </c>
      <c r="V12" s="39">
        <v>2.4569999999999999</v>
      </c>
      <c r="W12" s="39">
        <v>37.165999999999997</v>
      </c>
      <c r="X12" s="39"/>
      <c r="Y12" s="39"/>
      <c r="Z12" s="39"/>
    </row>
    <row r="13" spans="1:26" x14ac:dyDescent="0.2">
      <c r="A13" s="39" t="s">
        <v>109</v>
      </c>
      <c r="B13" s="39"/>
      <c r="C13" s="39"/>
      <c r="D13" s="39">
        <v>-52.213000000000001</v>
      </c>
      <c r="E13" s="39">
        <v>-10.013</v>
      </c>
      <c r="F13" s="39">
        <v>-22.643000000000001</v>
      </c>
      <c r="G13" s="39">
        <v>-7.1779999999999999</v>
      </c>
      <c r="H13" s="39">
        <v>-14.337999999999999</v>
      </c>
      <c r="I13" s="39">
        <v>0.92600000000000005</v>
      </c>
      <c r="J13" s="39">
        <v>5.625</v>
      </c>
      <c r="K13" s="39">
        <v>-30.195</v>
      </c>
      <c r="L13" s="39">
        <v>-15.066000000000001</v>
      </c>
      <c r="M13" s="39">
        <v>-4.96</v>
      </c>
      <c r="N13" s="39">
        <v>-10.288</v>
      </c>
      <c r="O13" s="39">
        <v>-16.966999999999999</v>
      </c>
      <c r="P13" s="39">
        <v>-18.902000000000001</v>
      </c>
      <c r="Q13" s="39">
        <v>-0.78</v>
      </c>
      <c r="R13" s="39">
        <v>-20.766999999999999</v>
      </c>
      <c r="S13" s="39">
        <v>-55.645000000000003</v>
      </c>
      <c r="T13" s="39">
        <v>-111.369</v>
      </c>
      <c r="U13" s="39">
        <v>36.436</v>
      </c>
      <c r="V13" s="39">
        <v>-15.257999999999999</v>
      </c>
      <c r="W13" s="39">
        <v>47.8</v>
      </c>
      <c r="X13" s="39"/>
      <c r="Y13" s="39"/>
      <c r="Z13" s="39"/>
    </row>
    <row r="14" spans="1:26" x14ac:dyDescent="0.2">
      <c r="A14" s="39" t="s">
        <v>110</v>
      </c>
      <c r="B14" s="39"/>
      <c r="C14" s="39"/>
      <c r="D14" s="39"/>
      <c r="E14" s="39"/>
      <c r="F14" s="39"/>
      <c r="G14" s="39">
        <v>30.34</v>
      </c>
      <c r="H14" s="39">
        <v>35.159999999999997</v>
      </c>
      <c r="I14" s="39">
        <v>32.29</v>
      </c>
      <c r="J14" s="39">
        <v>31.72</v>
      </c>
      <c r="K14" s="39">
        <v>25.32</v>
      </c>
      <c r="L14" s="39">
        <v>25</v>
      </c>
      <c r="M14" s="39">
        <v>26.59</v>
      </c>
      <c r="N14" s="39">
        <v>28.56</v>
      </c>
      <c r="O14" s="39">
        <v>32</v>
      </c>
      <c r="P14" s="39">
        <v>36.58</v>
      </c>
      <c r="Q14" s="39">
        <v>38.9</v>
      </c>
      <c r="R14" s="39">
        <v>41.2</v>
      </c>
      <c r="S14" s="39">
        <v>51.09</v>
      </c>
      <c r="T14" s="39">
        <v>54.92</v>
      </c>
      <c r="U14" s="39">
        <v>58.09</v>
      </c>
      <c r="V14" s="39">
        <v>71.650000000000006</v>
      </c>
      <c r="W14" s="39">
        <v>88.52</v>
      </c>
      <c r="X14" s="39"/>
      <c r="Y14" s="39"/>
      <c r="Z14" s="39"/>
    </row>
    <row r="15" spans="1:26" x14ac:dyDescent="0.2">
      <c r="A15" s="39" t="s">
        <v>111</v>
      </c>
      <c r="B15" s="42">
        <v>-11.397</v>
      </c>
      <c r="C15" s="42">
        <v>-20.907</v>
      </c>
      <c r="D15" s="42">
        <v>-6.79</v>
      </c>
      <c r="E15" s="42">
        <v>0.67900000000002003</v>
      </c>
      <c r="F15" s="42">
        <v>1.153</v>
      </c>
      <c r="G15" s="42">
        <v>8.2449999999999992</v>
      </c>
      <c r="H15" s="42">
        <v>-3.819</v>
      </c>
      <c r="I15" s="42">
        <v>4.1310000000000002</v>
      </c>
      <c r="J15" s="42">
        <v>1.109</v>
      </c>
      <c r="K15" s="42">
        <v>22.276</v>
      </c>
      <c r="L15" s="42">
        <v>2.15</v>
      </c>
      <c r="M15" s="42">
        <v>-75.647000000000006</v>
      </c>
      <c r="N15" s="42">
        <v>6.6000000000030992E-2</v>
      </c>
      <c r="O15" s="42">
        <v>3.8119999999999998</v>
      </c>
      <c r="P15" s="42">
        <v>4.0960000000000001</v>
      </c>
      <c r="Q15" s="42">
        <v>-57.878</v>
      </c>
      <c r="R15" s="42">
        <v>21.959</v>
      </c>
      <c r="S15" s="42">
        <v>51.122999999999998</v>
      </c>
      <c r="T15" s="42">
        <v>72.262</v>
      </c>
      <c r="U15" s="42">
        <v>7.202</v>
      </c>
      <c r="V15" s="42">
        <v>-130.631</v>
      </c>
      <c r="W15" s="42">
        <v>-122.35</v>
      </c>
      <c r="X15" s="42"/>
      <c r="Y15" s="42"/>
      <c r="Z15" s="42"/>
    </row>
    <row r="16" spans="1:26" x14ac:dyDescent="0.2">
      <c r="A16" s="43" t="s">
        <v>112</v>
      </c>
      <c r="B16" s="43"/>
      <c r="C16" s="43"/>
      <c r="D16" s="43">
        <v>59.881</v>
      </c>
      <c r="E16" s="43">
        <v>83.665000000000006</v>
      </c>
      <c r="F16" s="43">
        <v>110.22499999999999</v>
      </c>
      <c r="G16" s="43">
        <v>155.08099999999999</v>
      </c>
      <c r="H16" s="43">
        <v>130.94200000000001</v>
      </c>
      <c r="I16" s="43">
        <v>183.35400000000001</v>
      </c>
      <c r="J16" s="43">
        <v>254.99700000000001</v>
      </c>
      <c r="K16" s="43">
        <v>347.07499999999999</v>
      </c>
      <c r="L16" s="43">
        <v>321.18299999999999</v>
      </c>
      <c r="M16" s="43">
        <v>305.673</v>
      </c>
      <c r="N16" s="43">
        <v>321.24700000000001</v>
      </c>
      <c r="O16" s="43">
        <v>442.363</v>
      </c>
      <c r="P16" s="43">
        <v>404.15800000000002</v>
      </c>
      <c r="Q16" s="43">
        <v>612.76199999999994</v>
      </c>
      <c r="R16" s="43">
        <v>709.52300000000002</v>
      </c>
      <c r="S16" s="43">
        <v>811.10900000000004</v>
      </c>
      <c r="T16" s="43">
        <v>936.06899999999996</v>
      </c>
      <c r="U16" s="43">
        <v>1095.3689999999999</v>
      </c>
      <c r="V16" s="43">
        <v>1236.029</v>
      </c>
      <c r="W16" s="43">
        <v>1459.9469999999999</v>
      </c>
      <c r="X16" s="43"/>
      <c r="Y16" s="43"/>
      <c r="Z16" s="43"/>
    </row>
    <row r="17" spans="1:26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">
      <c r="A18" s="39" t="s">
        <v>113</v>
      </c>
      <c r="B18" s="39"/>
      <c r="C18" s="39"/>
      <c r="D18" s="39">
        <v>-0.34599999999999997</v>
      </c>
      <c r="E18" s="39">
        <v>-2.4350000000000001</v>
      </c>
      <c r="F18" s="39">
        <v>-0.53500000000000003</v>
      </c>
      <c r="G18" s="39">
        <v>-25.556000000000001</v>
      </c>
      <c r="H18" s="39">
        <v>-13.412000000000001</v>
      </c>
      <c r="I18" s="39">
        <v>-13.167999999999999</v>
      </c>
      <c r="J18" s="39">
        <v>-23.111000000000001</v>
      </c>
      <c r="K18" s="39">
        <v>-44.533000000000001</v>
      </c>
      <c r="L18" s="39">
        <v>-43.511000000000003</v>
      </c>
      <c r="M18" s="39">
        <v>-50.853000000000002</v>
      </c>
      <c r="N18" s="39">
        <v>-49.097000000000001</v>
      </c>
      <c r="O18" s="39">
        <v>-42.628</v>
      </c>
      <c r="P18" s="39">
        <v>-48.817</v>
      </c>
      <c r="Q18" s="39">
        <v>-48.951000000000001</v>
      </c>
      <c r="R18" s="39">
        <v>-53.76</v>
      </c>
      <c r="S18" s="39">
        <v>-50.975000000000001</v>
      </c>
      <c r="T18" s="39">
        <v>-52.793999999999997</v>
      </c>
      <c r="U18" s="39">
        <v>-72.894999999999996</v>
      </c>
      <c r="V18" s="39">
        <v>-90.850999999999999</v>
      </c>
      <c r="W18" s="39">
        <v>-100.992</v>
      </c>
      <c r="X18" s="39"/>
      <c r="Y18" s="39"/>
      <c r="Z18" s="39"/>
    </row>
    <row r="19" spans="1:26" x14ac:dyDescent="0.2">
      <c r="A19" s="39" t="s">
        <v>114</v>
      </c>
      <c r="B19" s="39"/>
      <c r="C19" s="39"/>
      <c r="D19" s="39"/>
      <c r="E19" s="39"/>
      <c r="F19" s="39"/>
      <c r="G19" s="39"/>
      <c r="H19" s="39"/>
      <c r="I19" s="39">
        <v>-1101.2429999999999</v>
      </c>
      <c r="J19" s="39"/>
      <c r="K19" s="39">
        <v>-119.554</v>
      </c>
      <c r="L19" s="39">
        <v>-23.268000000000001</v>
      </c>
      <c r="M19" s="39">
        <v>347.89</v>
      </c>
      <c r="N19" s="39">
        <v>-6.5</v>
      </c>
      <c r="O19" s="39">
        <v>0.59699999999999998</v>
      </c>
      <c r="P19" s="39"/>
      <c r="Q19" s="39">
        <v>83.825000000000003</v>
      </c>
      <c r="R19" s="39">
        <v>-18.177</v>
      </c>
      <c r="S19" s="39">
        <v>-190.816</v>
      </c>
      <c r="T19" s="39">
        <v>-975.35</v>
      </c>
      <c r="U19" s="39">
        <v>-5.0000000000000001E-3</v>
      </c>
      <c r="V19" s="39">
        <v>-727.34199999999998</v>
      </c>
      <c r="W19" s="39">
        <v>-27.466999999999999</v>
      </c>
      <c r="X19" s="39"/>
      <c r="Y19" s="39"/>
      <c r="Z19" s="39"/>
    </row>
    <row r="20" spans="1:26" x14ac:dyDescent="0.2">
      <c r="A20" s="39" t="s">
        <v>115</v>
      </c>
      <c r="B20" s="39"/>
      <c r="C20" s="39"/>
      <c r="D20" s="39">
        <v>0.64700000000000002</v>
      </c>
      <c r="E20" s="39">
        <v>0.02</v>
      </c>
      <c r="F20" s="39"/>
      <c r="G20" s="39"/>
      <c r="H20" s="39">
        <v>-294.80399999999997</v>
      </c>
      <c r="I20" s="39">
        <v>222.13399999999999</v>
      </c>
      <c r="J20" s="39">
        <v>-67.5</v>
      </c>
      <c r="K20" s="39">
        <v>69.725999999999999</v>
      </c>
      <c r="L20" s="39">
        <v>70.900000000000006</v>
      </c>
      <c r="M20" s="39"/>
      <c r="N20" s="39">
        <v>6.7359999999999998</v>
      </c>
      <c r="O20" s="39"/>
      <c r="P20" s="39">
        <v>0.77100000000000002</v>
      </c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">
      <c r="A21" s="39" t="s">
        <v>116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">
      <c r="A22" s="39" t="s">
        <v>117</v>
      </c>
      <c r="B22" s="42"/>
      <c r="C22" s="42"/>
      <c r="D22" s="42">
        <v>-64.009</v>
      </c>
      <c r="E22" s="42">
        <v>-77.349000000000004</v>
      </c>
      <c r="F22" s="42">
        <v>192.60599999999999</v>
      </c>
      <c r="G22" s="42">
        <v>137.625</v>
      </c>
      <c r="H22" s="42">
        <v>-5.6843418860808002E-14</v>
      </c>
      <c r="I22" s="42">
        <v>-2.2737367544322999E-13</v>
      </c>
      <c r="J22" s="42"/>
      <c r="K22" s="42">
        <v>-1.4210854715202001E-14</v>
      </c>
      <c r="L22" s="42">
        <v>-8.8817841970012997E-15</v>
      </c>
      <c r="M22" s="42"/>
      <c r="N22" s="42">
        <v>7.1054273576010003E-15</v>
      </c>
      <c r="O22" s="42"/>
      <c r="P22" s="42"/>
      <c r="Q22" s="42"/>
      <c r="R22" s="42">
        <v>1.4210854715202001E-14</v>
      </c>
      <c r="S22" s="42"/>
      <c r="T22" s="42">
        <v>-7.569</v>
      </c>
      <c r="U22" s="42">
        <v>-6.4349999999999996</v>
      </c>
      <c r="V22" s="42">
        <v>-1.1850000000001</v>
      </c>
      <c r="W22" s="42">
        <v>-729.03</v>
      </c>
      <c r="X22" s="42"/>
      <c r="Y22" s="42"/>
      <c r="Z22" s="42"/>
    </row>
    <row r="23" spans="1:26" x14ac:dyDescent="0.2">
      <c r="A23" s="43" t="s">
        <v>118</v>
      </c>
      <c r="B23" s="43"/>
      <c r="C23" s="43"/>
      <c r="D23" s="43">
        <v>-63.707999999999998</v>
      </c>
      <c r="E23" s="43">
        <v>-79.763999999999996</v>
      </c>
      <c r="F23" s="43">
        <v>192.071</v>
      </c>
      <c r="G23" s="43">
        <v>112.069</v>
      </c>
      <c r="H23" s="43">
        <v>-308.21600000000001</v>
      </c>
      <c r="I23" s="43">
        <v>-892.27700000000004</v>
      </c>
      <c r="J23" s="43">
        <v>-90.611000000000004</v>
      </c>
      <c r="K23" s="43">
        <v>-94.361000000000004</v>
      </c>
      <c r="L23" s="43">
        <v>4.1210000000000004</v>
      </c>
      <c r="M23" s="43">
        <v>297.03699999999998</v>
      </c>
      <c r="N23" s="43">
        <v>-48.860999999999997</v>
      </c>
      <c r="O23" s="43">
        <v>-42.030999999999999</v>
      </c>
      <c r="P23" s="43">
        <v>-48.045999999999999</v>
      </c>
      <c r="Q23" s="43">
        <v>34.874000000000002</v>
      </c>
      <c r="R23" s="43">
        <v>-71.936999999999998</v>
      </c>
      <c r="S23" s="43">
        <v>-241.791</v>
      </c>
      <c r="T23" s="43">
        <v>-1035.713</v>
      </c>
      <c r="U23" s="43">
        <v>-79.334999999999994</v>
      </c>
      <c r="V23" s="43">
        <v>-819.37800000000004</v>
      </c>
      <c r="W23" s="43">
        <v>-857.48900000000003</v>
      </c>
      <c r="X23" s="43"/>
      <c r="Y23" s="43"/>
      <c r="Z23" s="43"/>
    </row>
    <row r="24" spans="1:26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">
      <c r="A25" s="39" t="s">
        <v>119</v>
      </c>
      <c r="B25" s="39"/>
      <c r="C25" s="39"/>
      <c r="D25" s="39"/>
      <c r="E25" s="39"/>
      <c r="F25" s="39">
        <v>265.03500000000003</v>
      </c>
      <c r="G25" s="39">
        <v>-0.68100000000000005</v>
      </c>
      <c r="H25" s="39">
        <v>97.268000000000001</v>
      </c>
      <c r="I25" s="39">
        <v>-14.151</v>
      </c>
      <c r="J25" s="39">
        <v>-14.625999999999999</v>
      </c>
      <c r="K25" s="39">
        <v>-105.989</v>
      </c>
      <c r="L25" s="39">
        <v>-112.18300000000001</v>
      </c>
      <c r="M25" s="39">
        <v>-409.65100000000001</v>
      </c>
      <c r="N25" s="39">
        <v>-700.71500000000003</v>
      </c>
      <c r="O25" s="39">
        <v>-774.56500000000005</v>
      </c>
      <c r="P25" s="39">
        <v>-150.46100000000001</v>
      </c>
      <c r="Q25" s="39">
        <v>-949.88800000000003</v>
      </c>
      <c r="R25" s="39">
        <v>-292.07499999999999</v>
      </c>
      <c r="S25" s="39">
        <v>-778.51900000000001</v>
      </c>
      <c r="T25" s="39">
        <v>-198.374</v>
      </c>
      <c r="U25" s="39">
        <v>-1397.5060000000001</v>
      </c>
      <c r="V25" s="39">
        <v>-504.18799999999999</v>
      </c>
      <c r="W25" s="39">
        <v>-511.245</v>
      </c>
      <c r="X25" s="39"/>
      <c r="Y25" s="39"/>
      <c r="Z25" s="39"/>
    </row>
    <row r="26" spans="1:26" x14ac:dyDescent="0.2">
      <c r="A26" s="39" t="s">
        <v>120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">
      <c r="A27" s="39" t="s">
        <v>121</v>
      </c>
      <c r="B27" s="39"/>
      <c r="C27" s="39"/>
      <c r="D27" s="39"/>
      <c r="E27" s="39"/>
      <c r="F27" s="39">
        <v>415.90100000000001</v>
      </c>
      <c r="G27" s="39">
        <v>-22.25</v>
      </c>
      <c r="H27" s="39">
        <v>-22.25</v>
      </c>
      <c r="I27" s="39">
        <v>740.23599999999999</v>
      </c>
      <c r="J27" s="39">
        <v>-187.06200000000001</v>
      </c>
      <c r="K27" s="39">
        <v>-227.476</v>
      </c>
      <c r="L27" s="39">
        <v>-48</v>
      </c>
      <c r="M27" s="39">
        <v>-10</v>
      </c>
      <c r="N27" s="39">
        <v>800</v>
      </c>
      <c r="O27" s="39">
        <v>500</v>
      </c>
      <c r="P27" s="39"/>
      <c r="Q27" s="39">
        <v>500</v>
      </c>
      <c r="R27" s="39">
        <v>486.875</v>
      </c>
      <c r="S27" s="39">
        <v>262.61799999999999</v>
      </c>
      <c r="T27" s="39">
        <v>751.94</v>
      </c>
      <c r="U27" s="39">
        <v>347.81200000000001</v>
      </c>
      <c r="V27" s="39">
        <v>-8.75</v>
      </c>
      <c r="W27" s="39">
        <v>-29.375</v>
      </c>
      <c r="X27" s="39"/>
      <c r="Y27" s="39"/>
      <c r="Z27" s="39"/>
    </row>
    <row r="28" spans="1:26" x14ac:dyDescent="0.2">
      <c r="A28" s="39" t="s">
        <v>122</v>
      </c>
      <c r="B28" s="39"/>
      <c r="C28" s="39"/>
      <c r="D28" s="39"/>
      <c r="E28" s="39">
        <v>-5</v>
      </c>
      <c r="F28" s="39">
        <v>-973</v>
      </c>
      <c r="G28" s="39"/>
      <c r="H28" s="39"/>
      <c r="I28" s="39"/>
      <c r="J28" s="39"/>
      <c r="K28" s="39"/>
      <c r="L28" s="39"/>
      <c r="M28" s="39">
        <v>-20.393000000000001</v>
      </c>
      <c r="N28" s="39">
        <v>-87.742999999999995</v>
      </c>
      <c r="O28" s="39">
        <v>-96.191000000000003</v>
      </c>
      <c r="P28" s="39">
        <v>-119.717</v>
      </c>
      <c r="Q28" s="39">
        <v>-170.93799999999999</v>
      </c>
      <c r="R28" s="39">
        <v>-222.922</v>
      </c>
      <c r="S28" s="39">
        <v>-246.44399999999999</v>
      </c>
      <c r="T28" s="39">
        <v>-302.44900000000001</v>
      </c>
      <c r="U28" s="39">
        <v>-372.91500000000002</v>
      </c>
      <c r="V28" s="39">
        <v>-440.99299999999999</v>
      </c>
      <c r="W28" s="39">
        <v>-493.33300000000003</v>
      </c>
      <c r="X28" s="39"/>
      <c r="Y28" s="39"/>
      <c r="Z28" s="39"/>
    </row>
    <row r="29" spans="1:26" x14ac:dyDescent="0.2">
      <c r="A29" s="39" t="s">
        <v>123</v>
      </c>
      <c r="B29" s="42"/>
      <c r="C29" s="42"/>
      <c r="D29" s="42"/>
      <c r="E29" s="42"/>
      <c r="F29" s="42">
        <v>-5.6843418860808002E-14</v>
      </c>
      <c r="G29" s="42">
        <v>-2.1000000000001001E-2</v>
      </c>
      <c r="H29" s="42">
        <v>7.524</v>
      </c>
      <c r="I29" s="42">
        <v>31.972999999999999</v>
      </c>
      <c r="J29" s="42">
        <v>23.693999999999999</v>
      </c>
      <c r="K29" s="42">
        <v>10.489000000000001</v>
      </c>
      <c r="L29" s="42">
        <v>13.599</v>
      </c>
      <c r="M29" s="42">
        <v>-2.2839999999999998</v>
      </c>
      <c r="N29" s="42">
        <v>-6.8460000000000001</v>
      </c>
      <c r="O29" s="42">
        <v>-2.1429999999998999</v>
      </c>
      <c r="P29" s="42">
        <v>2.6349999999999998</v>
      </c>
      <c r="Q29" s="42">
        <v>-5.6569999999999014</v>
      </c>
      <c r="R29" s="42">
        <v>-8.5449999999999999</v>
      </c>
      <c r="S29" s="42">
        <v>-16.693000000000001</v>
      </c>
      <c r="T29" s="42">
        <v>-21.611999999999998</v>
      </c>
      <c r="U29" s="42">
        <v>-2.7710000000002002</v>
      </c>
      <c r="V29" s="42"/>
      <c r="W29" s="42">
        <v>-3.7390000000000998</v>
      </c>
      <c r="X29" s="42"/>
      <c r="Y29" s="42"/>
      <c r="Z29" s="42"/>
    </row>
    <row r="30" spans="1:26" x14ac:dyDescent="0.2">
      <c r="A30" s="43" t="s">
        <v>124</v>
      </c>
      <c r="B30" s="43"/>
      <c r="C30" s="43"/>
      <c r="D30" s="43"/>
      <c r="E30" s="43">
        <v>-5</v>
      </c>
      <c r="F30" s="43">
        <v>-292.06400000000002</v>
      </c>
      <c r="G30" s="43">
        <v>-22.952000000000002</v>
      </c>
      <c r="H30" s="43">
        <v>82.542000000000002</v>
      </c>
      <c r="I30" s="43">
        <v>758.05799999999999</v>
      </c>
      <c r="J30" s="43">
        <v>-177.994</v>
      </c>
      <c r="K30" s="43">
        <v>-322.976</v>
      </c>
      <c r="L30" s="43">
        <v>-146.584</v>
      </c>
      <c r="M30" s="43">
        <v>-442.32799999999997</v>
      </c>
      <c r="N30" s="43">
        <v>4.6959999999999997</v>
      </c>
      <c r="O30" s="43">
        <v>-372.899</v>
      </c>
      <c r="P30" s="43">
        <v>-267.54300000000001</v>
      </c>
      <c r="Q30" s="43">
        <v>-626.48299999999995</v>
      </c>
      <c r="R30" s="43">
        <v>-36.667000000000002</v>
      </c>
      <c r="S30" s="43">
        <v>-779.03800000000001</v>
      </c>
      <c r="T30" s="43">
        <v>229.505</v>
      </c>
      <c r="U30" s="43">
        <v>-1425.38</v>
      </c>
      <c r="V30" s="43">
        <v>-953.93100000000004</v>
      </c>
      <c r="W30" s="43">
        <v>-1037.692</v>
      </c>
      <c r="X30" s="43"/>
      <c r="Y30" s="43"/>
      <c r="Z30" s="43"/>
    </row>
    <row r="31" spans="1:26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">
      <c r="A32" s="43" t="s">
        <v>10</v>
      </c>
      <c r="B32" s="39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x14ac:dyDescent="0.2">
      <c r="A33" s="39" t="s">
        <v>125</v>
      </c>
      <c r="B33" s="46">
        <f t="shared" ref="B33:Z33" si="0">B16</f>
        <v>0</v>
      </c>
      <c r="C33" s="46">
        <f t="shared" si="0"/>
        <v>0</v>
      </c>
      <c r="D33" s="46">
        <f t="shared" si="0"/>
        <v>59.881</v>
      </c>
      <c r="E33" s="46">
        <f t="shared" si="0"/>
        <v>83.665000000000006</v>
      </c>
      <c r="F33" s="46">
        <f t="shared" si="0"/>
        <v>110.22499999999999</v>
      </c>
      <c r="G33" s="46">
        <f t="shared" si="0"/>
        <v>155.08099999999999</v>
      </c>
      <c r="H33" s="46">
        <f t="shared" si="0"/>
        <v>130.94200000000001</v>
      </c>
      <c r="I33" s="46">
        <f t="shared" si="0"/>
        <v>183.35400000000001</v>
      </c>
      <c r="J33" s="46">
        <f t="shared" si="0"/>
        <v>254.99700000000001</v>
      </c>
      <c r="K33" s="46">
        <f t="shared" si="0"/>
        <v>347.07499999999999</v>
      </c>
      <c r="L33" s="46">
        <f t="shared" si="0"/>
        <v>321.18299999999999</v>
      </c>
      <c r="M33" s="46">
        <f t="shared" si="0"/>
        <v>305.673</v>
      </c>
      <c r="N33" s="46">
        <f t="shared" si="0"/>
        <v>321.24700000000001</v>
      </c>
      <c r="O33" s="46">
        <f t="shared" si="0"/>
        <v>442.363</v>
      </c>
      <c r="P33" s="46">
        <f t="shared" si="0"/>
        <v>404.15800000000002</v>
      </c>
      <c r="Q33" s="46">
        <f t="shared" si="0"/>
        <v>612.76199999999994</v>
      </c>
      <c r="R33" s="46">
        <f t="shared" si="0"/>
        <v>709.52300000000002</v>
      </c>
      <c r="S33" s="46">
        <f t="shared" si="0"/>
        <v>811.10900000000004</v>
      </c>
      <c r="T33" s="46">
        <f t="shared" si="0"/>
        <v>936.06899999999996</v>
      </c>
      <c r="U33" s="46">
        <f t="shared" si="0"/>
        <v>1095.3689999999999</v>
      </c>
      <c r="V33" s="46">
        <f t="shared" si="0"/>
        <v>1236.029</v>
      </c>
      <c r="W33" s="46">
        <f t="shared" si="0"/>
        <v>1459.9469999999999</v>
      </c>
      <c r="X33" s="46">
        <f t="shared" si="0"/>
        <v>0</v>
      </c>
      <c r="Y33" s="46">
        <f t="shared" si="0"/>
        <v>0</v>
      </c>
      <c r="Z33" s="46">
        <f t="shared" si="0"/>
        <v>0</v>
      </c>
    </row>
    <row r="34" spans="1:26" x14ac:dyDescent="0.2">
      <c r="A34" s="39" t="s">
        <v>126</v>
      </c>
      <c r="B34" s="47">
        <f t="shared" ref="B34:Z34" si="1">B18</f>
        <v>0</v>
      </c>
      <c r="C34" s="47">
        <f t="shared" si="1"/>
        <v>0</v>
      </c>
      <c r="D34" s="47">
        <f t="shared" si="1"/>
        <v>-0.34599999999999997</v>
      </c>
      <c r="E34" s="47">
        <f t="shared" si="1"/>
        <v>-2.4350000000000001</v>
      </c>
      <c r="F34" s="47">
        <f t="shared" si="1"/>
        <v>-0.53500000000000003</v>
      </c>
      <c r="G34" s="47">
        <f t="shared" si="1"/>
        <v>-25.556000000000001</v>
      </c>
      <c r="H34" s="47">
        <f t="shared" si="1"/>
        <v>-13.412000000000001</v>
      </c>
      <c r="I34" s="47">
        <f t="shared" si="1"/>
        <v>-13.167999999999999</v>
      </c>
      <c r="J34" s="47">
        <f t="shared" si="1"/>
        <v>-23.111000000000001</v>
      </c>
      <c r="K34" s="47">
        <f t="shared" si="1"/>
        <v>-44.533000000000001</v>
      </c>
      <c r="L34" s="47">
        <f t="shared" si="1"/>
        <v>-43.511000000000003</v>
      </c>
      <c r="M34" s="47">
        <f t="shared" si="1"/>
        <v>-50.853000000000002</v>
      </c>
      <c r="N34" s="47">
        <f t="shared" si="1"/>
        <v>-49.097000000000001</v>
      </c>
      <c r="O34" s="47">
        <f t="shared" si="1"/>
        <v>-42.628</v>
      </c>
      <c r="P34" s="47">
        <f t="shared" si="1"/>
        <v>-48.817</v>
      </c>
      <c r="Q34" s="47">
        <f t="shared" si="1"/>
        <v>-48.951000000000001</v>
      </c>
      <c r="R34" s="47">
        <f t="shared" si="1"/>
        <v>-53.76</v>
      </c>
      <c r="S34" s="47">
        <f t="shared" si="1"/>
        <v>-50.975000000000001</v>
      </c>
      <c r="T34" s="47">
        <f t="shared" si="1"/>
        <v>-52.793999999999997</v>
      </c>
      <c r="U34" s="47">
        <f t="shared" si="1"/>
        <v>-72.894999999999996</v>
      </c>
      <c r="V34" s="47">
        <f t="shared" si="1"/>
        <v>-90.850999999999999</v>
      </c>
      <c r="W34" s="47">
        <f t="shared" si="1"/>
        <v>-100.992</v>
      </c>
      <c r="X34" s="47">
        <f t="shared" si="1"/>
        <v>0</v>
      </c>
      <c r="Y34" s="47">
        <f t="shared" si="1"/>
        <v>0</v>
      </c>
      <c r="Z34" s="47">
        <f t="shared" si="1"/>
        <v>0</v>
      </c>
    </row>
    <row r="35" spans="1:26" x14ac:dyDescent="0.2">
      <c r="A35" s="39" t="s">
        <v>127</v>
      </c>
      <c r="B35" s="39">
        <f t="shared" ref="B35:Z35" si="2">B33+B34</f>
        <v>0</v>
      </c>
      <c r="C35" s="39">
        <f t="shared" si="2"/>
        <v>0</v>
      </c>
      <c r="D35" s="39">
        <f t="shared" si="2"/>
        <v>59.535000000000004</v>
      </c>
      <c r="E35" s="39">
        <f t="shared" si="2"/>
        <v>81.23</v>
      </c>
      <c r="F35" s="39">
        <f t="shared" si="2"/>
        <v>109.69</v>
      </c>
      <c r="G35" s="39">
        <f t="shared" si="2"/>
        <v>129.52499999999998</v>
      </c>
      <c r="H35" s="39">
        <f t="shared" si="2"/>
        <v>117.53</v>
      </c>
      <c r="I35" s="39">
        <f t="shared" si="2"/>
        <v>170.18600000000001</v>
      </c>
      <c r="J35" s="39">
        <f t="shared" si="2"/>
        <v>231.88600000000002</v>
      </c>
      <c r="K35" s="39">
        <f t="shared" si="2"/>
        <v>302.54199999999997</v>
      </c>
      <c r="L35" s="39">
        <f t="shared" si="2"/>
        <v>277.67199999999997</v>
      </c>
      <c r="M35" s="39">
        <f t="shared" si="2"/>
        <v>254.82</v>
      </c>
      <c r="N35" s="39">
        <f t="shared" si="2"/>
        <v>272.15000000000003</v>
      </c>
      <c r="O35" s="39">
        <f t="shared" si="2"/>
        <v>399.73500000000001</v>
      </c>
      <c r="P35" s="39">
        <f t="shared" si="2"/>
        <v>355.34100000000001</v>
      </c>
      <c r="Q35" s="39">
        <f t="shared" si="2"/>
        <v>563.81099999999992</v>
      </c>
      <c r="R35" s="39">
        <f t="shared" si="2"/>
        <v>655.76300000000003</v>
      </c>
      <c r="S35" s="39">
        <f t="shared" si="2"/>
        <v>760.13400000000001</v>
      </c>
      <c r="T35" s="39">
        <f t="shared" si="2"/>
        <v>883.27499999999998</v>
      </c>
      <c r="U35" s="39">
        <f t="shared" si="2"/>
        <v>1022.4739999999999</v>
      </c>
      <c r="V35" s="39">
        <f t="shared" si="2"/>
        <v>1145.1779999999999</v>
      </c>
      <c r="W35" s="39">
        <f t="shared" si="2"/>
        <v>1358.9549999999999</v>
      </c>
      <c r="X35" s="39">
        <f t="shared" si="2"/>
        <v>0</v>
      </c>
      <c r="Y35" s="39">
        <f t="shared" si="2"/>
        <v>0</v>
      </c>
      <c r="Z35" s="39">
        <f t="shared" si="2"/>
        <v>0</v>
      </c>
    </row>
    <row r="36" spans="1:26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F669-7B45-7847-8739-E51D67F42178}">
  <dimension ref="A1:Y61"/>
  <sheetViews>
    <sheetView workbookViewId="0">
      <selection activeCell="B3" sqref="B3"/>
    </sheetView>
  </sheetViews>
  <sheetFormatPr baseColWidth="10" defaultRowHeight="16" x14ac:dyDescent="0.2"/>
  <cols>
    <col min="1" max="1" width="35.83203125" bestFit="1" customWidth="1"/>
  </cols>
  <sheetData>
    <row r="1" spans="1:25" x14ac:dyDescent="0.2">
      <c r="A1" s="37" t="s">
        <v>128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x14ac:dyDescent="0.2">
      <c r="A3" s="39"/>
      <c r="B3" s="40" t="s">
        <v>64</v>
      </c>
      <c r="C3" s="40" t="s">
        <v>65</v>
      </c>
      <c r="D3" s="40" t="s">
        <v>66</v>
      </c>
      <c r="E3" s="40" t="s">
        <v>67</v>
      </c>
      <c r="F3" s="40" t="s">
        <v>68</v>
      </c>
      <c r="G3" s="40" t="s">
        <v>69</v>
      </c>
      <c r="H3" s="40" t="s">
        <v>70</v>
      </c>
      <c r="I3" s="40" t="s">
        <v>71</v>
      </c>
      <c r="J3" s="40" t="s">
        <v>72</v>
      </c>
      <c r="K3" s="40" t="s">
        <v>73</v>
      </c>
      <c r="L3" s="40" t="s">
        <v>74</v>
      </c>
      <c r="M3" s="40" t="s">
        <v>75</v>
      </c>
      <c r="N3" s="40" t="s">
        <v>76</v>
      </c>
      <c r="O3" s="40" t="s">
        <v>77</v>
      </c>
      <c r="P3" s="40" t="s">
        <v>78</v>
      </c>
      <c r="Q3" s="40" t="s">
        <v>79</v>
      </c>
      <c r="R3" s="40" t="s">
        <v>80</v>
      </c>
      <c r="S3" s="40" t="s">
        <v>81</v>
      </c>
      <c r="T3" s="40" t="s">
        <v>82</v>
      </c>
      <c r="U3" s="40" t="s">
        <v>83</v>
      </c>
      <c r="V3" s="40" t="s">
        <v>84</v>
      </c>
      <c r="W3" s="40"/>
      <c r="X3" s="40"/>
      <c r="Y3" s="40"/>
    </row>
    <row r="4" spans="1:25" x14ac:dyDescent="0.2">
      <c r="A4" s="43" t="s">
        <v>129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x14ac:dyDescent="0.2">
      <c r="A5" s="39" t="s">
        <v>130</v>
      </c>
      <c r="B5" s="39">
        <v>5.7350000000000003</v>
      </c>
      <c r="C5" s="39"/>
      <c r="D5" s="39">
        <v>23.411000000000001</v>
      </c>
      <c r="E5" s="39">
        <v>24.361999999999998</v>
      </c>
      <c r="F5" s="39">
        <v>33.817999999999998</v>
      </c>
      <c r="G5" s="39">
        <v>268.077</v>
      </c>
      <c r="H5" s="39">
        <v>176.024</v>
      </c>
      <c r="I5" s="39">
        <v>226.57499999999999</v>
      </c>
      <c r="J5" s="39">
        <v>252.21100000000001</v>
      </c>
      <c r="K5" s="39">
        <v>183.309</v>
      </c>
      <c r="L5" s="39">
        <v>358.43400000000003</v>
      </c>
      <c r="M5" s="39">
        <v>508.79899999999998</v>
      </c>
      <c r="N5" s="39">
        <v>777.70600000000002</v>
      </c>
      <c r="O5" s="39">
        <v>791.83399999999995</v>
      </c>
      <c r="P5" s="39">
        <v>889.50199999999995</v>
      </c>
      <c r="Q5" s="39">
        <v>904.17600000000004</v>
      </c>
      <c r="R5" s="39">
        <v>1506.567</v>
      </c>
      <c r="S5" s="39">
        <v>1300.521</v>
      </c>
      <c r="T5" s="39">
        <v>1421.4490000000001</v>
      </c>
      <c r="U5" s="39">
        <v>993.19600000000003</v>
      </c>
      <c r="V5" s="39">
        <v>457.815</v>
      </c>
      <c r="W5" s="39"/>
      <c r="X5" s="39"/>
      <c r="Y5" s="39"/>
    </row>
    <row r="6" spans="1:25" x14ac:dyDescent="0.2">
      <c r="A6" s="39" t="s">
        <v>131</v>
      </c>
      <c r="B6" s="39"/>
      <c r="C6" s="39"/>
      <c r="D6" s="39"/>
      <c r="E6" s="39"/>
      <c r="F6" s="39"/>
      <c r="G6" s="39"/>
      <c r="H6" s="39">
        <v>295.30399999999997</v>
      </c>
      <c r="I6" s="39">
        <v>73.891000000000005</v>
      </c>
      <c r="J6" s="39">
        <v>140.49</v>
      </c>
      <c r="K6" s="39">
        <v>70.897999999999996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x14ac:dyDescent="0.2">
      <c r="A7" s="39" t="s">
        <v>132</v>
      </c>
      <c r="B7" s="39">
        <v>89.123999999999995</v>
      </c>
      <c r="C7" s="39"/>
      <c r="D7" s="39">
        <v>88.753</v>
      </c>
      <c r="E7" s="39">
        <v>100.175</v>
      </c>
      <c r="F7" s="39">
        <v>80.375</v>
      </c>
      <c r="G7" s="39">
        <v>87.488</v>
      </c>
      <c r="H7" s="39">
        <v>77.180000000000007</v>
      </c>
      <c r="I7" s="39">
        <v>147.66200000000001</v>
      </c>
      <c r="J7" s="39">
        <v>180.566</v>
      </c>
      <c r="K7" s="39">
        <v>153.55699999999999</v>
      </c>
      <c r="L7" s="39">
        <v>169.49</v>
      </c>
      <c r="M7" s="39">
        <v>178.71700000000001</v>
      </c>
      <c r="N7" s="39">
        <v>208.239</v>
      </c>
      <c r="O7" s="39">
        <v>221.50399999999999</v>
      </c>
      <c r="P7" s="39">
        <v>327.59699999999998</v>
      </c>
      <c r="Q7" s="39">
        <v>473.43299999999999</v>
      </c>
      <c r="R7" s="39">
        <v>499.26799999999997</v>
      </c>
      <c r="S7" s="39">
        <v>558.56899999999996</v>
      </c>
      <c r="T7" s="39">
        <v>664.51099999999997</v>
      </c>
      <c r="U7" s="39">
        <v>663.23599999999999</v>
      </c>
      <c r="V7" s="39">
        <v>839.55499999999995</v>
      </c>
      <c r="W7" s="39"/>
      <c r="X7" s="39"/>
      <c r="Y7" s="39"/>
    </row>
    <row r="8" spans="1:25" x14ac:dyDescent="0.2">
      <c r="A8" s="39" t="s">
        <v>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x14ac:dyDescent="0.2">
      <c r="A9" s="39" t="s">
        <v>133</v>
      </c>
      <c r="B9" s="42"/>
      <c r="C9" s="42"/>
      <c r="D9" s="42">
        <v>257.52100000000002</v>
      </c>
      <c r="E9" s="42">
        <v>337.66899999999998</v>
      </c>
      <c r="F9" s="42">
        <v>167.21</v>
      </c>
      <c r="G9" s="42">
        <v>36.69</v>
      </c>
      <c r="H9" s="42">
        <v>53.975999999999999</v>
      </c>
      <c r="I9" s="42">
        <v>88.155000000000001</v>
      </c>
      <c r="J9" s="42">
        <v>104.676</v>
      </c>
      <c r="K9" s="42">
        <v>107.071</v>
      </c>
      <c r="L9" s="42">
        <v>96.346000000000004</v>
      </c>
      <c r="M9" s="42">
        <v>81.941999999999993</v>
      </c>
      <c r="N9" s="42">
        <v>77.325999999999993</v>
      </c>
      <c r="O9" s="42">
        <v>42.332000000000001</v>
      </c>
      <c r="P9" s="42">
        <v>50.03</v>
      </c>
      <c r="Q9" s="42">
        <v>57.48</v>
      </c>
      <c r="R9" s="42">
        <v>75.941999999999993</v>
      </c>
      <c r="S9" s="42">
        <v>66.507999999999996</v>
      </c>
      <c r="T9" s="42">
        <v>57.45</v>
      </c>
      <c r="U9" s="42">
        <v>91.542000000000002</v>
      </c>
      <c r="V9" s="42">
        <v>120.783</v>
      </c>
      <c r="W9" s="42"/>
      <c r="X9" s="42"/>
      <c r="Y9" s="42"/>
    </row>
    <row r="10" spans="1:25" x14ac:dyDescent="0.2">
      <c r="A10" s="39" t="s">
        <v>134</v>
      </c>
      <c r="B10" s="39">
        <v>94.858999999999995</v>
      </c>
      <c r="C10" s="39"/>
      <c r="D10" s="39">
        <v>369.685</v>
      </c>
      <c r="E10" s="39">
        <v>462.20600000000002</v>
      </c>
      <c r="F10" s="39">
        <v>281.40300000000002</v>
      </c>
      <c r="G10" s="39">
        <v>392.255</v>
      </c>
      <c r="H10" s="39">
        <v>602.48400000000004</v>
      </c>
      <c r="I10" s="39">
        <v>536.28300000000002</v>
      </c>
      <c r="J10" s="39">
        <v>677.94299999999998</v>
      </c>
      <c r="K10" s="39">
        <v>514.83500000000004</v>
      </c>
      <c r="L10" s="39">
        <v>624.27</v>
      </c>
      <c r="M10" s="39">
        <v>769.45799999999997</v>
      </c>
      <c r="N10" s="39">
        <v>1063.271</v>
      </c>
      <c r="O10" s="39">
        <v>1055.67</v>
      </c>
      <c r="P10" s="39">
        <v>1267.1289999999999</v>
      </c>
      <c r="Q10" s="39">
        <v>1435.0889999999999</v>
      </c>
      <c r="R10" s="39">
        <v>2081.777</v>
      </c>
      <c r="S10" s="39">
        <v>1925.598</v>
      </c>
      <c r="T10" s="39">
        <v>2143.41</v>
      </c>
      <c r="U10" s="39">
        <v>1747.9739999999999</v>
      </c>
      <c r="V10" s="39">
        <v>1418.153</v>
      </c>
      <c r="W10" s="39"/>
      <c r="X10" s="39"/>
      <c r="Y10" s="39"/>
    </row>
    <row r="11" spans="1:25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">
      <c r="A12" s="39" t="s">
        <v>135</v>
      </c>
      <c r="B12" s="39"/>
      <c r="C12" s="39"/>
      <c r="D12" s="39">
        <v>14.68</v>
      </c>
      <c r="E12" s="39">
        <v>17.114999999999998</v>
      </c>
      <c r="F12" s="39">
        <v>17.649999999999999</v>
      </c>
      <c r="G12" s="39">
        <v>42.515999999999998</v>
      </c>
      <c r="H12" s="39">
        <v>55.878999999999998</v>
      </c>
      <c r="I12" s="39">
        <v>93.331999999999994</v>
      </c>
      <c r="J12" s="39">
        <v>97.710999999999999</v>
      </c>
      <c r="K12" s="39">
        <v>126.497</v>
      </c>
      <c r="L12" s="39">
        <v>160.959</v>
      </c>
      <c r="M12" s="39">
        <v>186.88200000000001</v>
      </c>
      <c r="N12" s="39">
        <v>213.60599999999999</v>
      </c>
      <c r="O12" s="39">
        <v>232.42599999999999</v>
      </c>
      <c r="P12" s="39">
        <v>265.71699999999998</v>
      </c>
      <c r="Q12" s="39">
        <v>276.38200000000001</v>
      </c>
      <c r="R12" s="39">
        <v>425.68400000000003</v>
      </c>
      <c r="S12" s="39">
        <v>414.92500000000001</v>
      </c>
      <c r="T12" s="39">
        <v>397.34199999999998</v>
      </c>
      <c r="U12" s="39">
        <v>378.78500000000003</v>
      </c>
      <c r="V12" s="39">
        <v>382.899</v>
      </c>
      <c r="W12" s="39"/>
      <c r="X12" s="39"/>
      <c r="Y12" s="39"/>
    </row>
    <row r="13" spans="1:25" x14ac:dyDescent="0.2">
      <c r="A13" s="39" t="s">
        <v>136</v>
      </c>
      <c r="B13" s="42"/>
      <c r="C13" s="42"/>
      <c r="D13" s="42">
        <v>-8.43</v>
      </c>
      <c r="E13" s="42">
        <v>-11.929</v>
      </c>
      <c r="F13" s="42">
        <v>-13.404</v>
      </c>
      <c r="G13" s="42">
        <v>-14.069000000000001</v>
      </c>
      <c r="H13" s="42">
        <v>-26.498000000000001</v>
      </c>
      <c r="I13" s="42">
        <v>-58.963999999999999</v>
      </c>
      <c r="J13" s="42">
        <v>-60.088000000000001</v>
      </c>
      <c r="K13" s="42">
        <v>-59.078000000000003</v>
      </c>
      <c r="L13" s="42">
        <v>-75.370999999999995</v>
      </c>
      <c r="M13" s="42">
        <v>-92.808000000000007</v>
      </c>
      <c r="N13" s="42">
        <v>-114.68</v>
      </c>
      <c r="O13" s="42">
        <v>-136.84100000000001</v>
      </c>
      <c r="P13" s="42">
        <v>-171.28</v>
      </c>
      <c r="Q13" s="42">
        <v>-185.505</v>
      </c>
      <c r="R13" s="42">
        <v>-168.57</v>
      </c>
      <c r="S13" s="42">
        <v>-181.149</v>
      </c>
      <c r="T13" s="42">
        <v>-186.04300000000001</v>
      </c>
      <c r="U13" s="42">
        <v>-198.34800000000001</v>
      </c>
      <c r="V13" s="42">
        <v>-211.73599999999999</v>
      </c>
      <c r="W13" s="42"/>
      <c r="X13" s="42"/>
      <c r="Y13" s="42"/>
    </row>
    <row r="14" spans="1:25" x14ac:dyDescent="0.2">
      <c r="A14" s="39" t="s">
        <v>137</v>
      </c>
      <c r="B14" s="39"/>
      <c r="C14" s="39"/>
      <c r="D14" s="39">
        <v>6.25</v>
      </c>
      <c r="E14" s="39">
        <v>5.1859999999999999</v>
      </c>
      <c r="F14" s="39">
        <v>4.2460000000000004</v>
      </c>
      <c r="G14" s="39">
        <v>28.446999999999999</v>
      </c>
      <c r="H14" s="39">
        <v>29.381</v>
      </c>
      <c r="I14" s="39">
        <v>34.368000000000002</v>
      </c>
      <c r="J14" s="39">
        <v>37.622999999999998</v>
      </c>
      <c r="K14" s="39">
        <v>67.418999999999997</v>
      </c>
      <c r="L14" s="39">
        <v>85.587999999999994</v>
      </c>
      <c r="M14" s="39">
        <v>94.073999999999998</v>
      </c>
      <c r="N14" s="39">
        <v>98.926000000000002</v>
      </c>
      <c r="O14" s="39">
        <v>95.584999999999994</v>
      </c>
      <c r="P14" s="39">
        <v>94.436999999999998</v>
      </c>
      <c r="Q14" s="39">
        <v>90.876999999999995</v>
      </c>
      <c r="R14" s="39">
        <v>257.11399999999998</v>
      </c>
      <c r="S14" s="39">
        <v>233.77600000000001</v>
      </c>
      <c r="T14" s="39">
        <v>211.29900000000001</v>
      </c>
      <c r="U14" s="39">
        <v>180.43700000000001</v>
      </c>
      <c r="V14" s="39">
        <v>171.16300000000001</v>
      </c>
      <c r="W14" s="39"/>
      <c r="X14" s="39"/>
      <c r="Y14" s="39"/>
    </row>
    <row r="15" spans="1:25" x14ac:dyDescent="0.2">
      <c r="A15" s="39" t="s">
        <v>138</v>
      </c>
      <c r="B15" s="39"/>
      <c r="C15" s="39"/>
      <c r="D15" s="39">
        <v>441.62</v>
      </c>
      <c r="E15" s="39">
        <v>441.62</v>
      </c>
      <c r="F15" s="39">
        <v>441.62</v>
      </c>
      <c r="G15" s="39">
        <v>441.62</v>
      </c>
      <c r="H15" s="39">
        <v>441.62</v>
      </c>
      <c r="I15" s="39">
        <v>1706.67</v>
      </c>
      <c r="J15" s="39">
        <v>1708.59</v>
      </c>
      <c r="K15" s="39">
        <v>1783.41</v>
      </c>
      <c r="L15" s="39">
        <v>1813.16</v>
      </c>
      <c r="M15" s="39">
        <v>1564.9</v>
      </c>
      <c r="N15" s="39">
        <v>1565.62</v>
      </c>
      <c r="O15" s="39">
        <v>1555.85</v>
      </c>
      <c r="P15" s="39">
        <v>1560.62</v>
      </c>
      <c r="Q15" s="39">
        <v>1545.76</v>
      </c>
      <c r="R15" s="39">
        <v>1562.87</v>
      </c>
      <c r="S15" s="39">
        <v>1566.02</v>
      </c>
      <c r="T15" s="39">
        <v>2236.39</v>
      </c>
      <c r="U15" s="39">
        <v>2229.67</v>
      </c>
      <c r="V15" s="39">
        <v>2887.69</v>
      </c>
      <c r="W15" s="39"/>
      <c r="X15" s="39"/>
      <c r="Y15" s="39"/>
    </row>
    <row r="16" spans="1:25" x14ac:dyDescent="0.2">
      <c r="A16" s="39" t="s">
        <v>139</v>
      </c>
      <c r="B16" s="39"/>
      <c r="C16" s="39"/>
      <c r="D16" s="39">
        <v>226.91900000000001</v>
      </c>
      <c r="E16" s="39">
        <v>200.76300000000001</v>
      </c>
      <c r="F16" s="39">
        <v>174.41</v>
      </c>
      <c r="G16" s="39">
        <v>145.91</v>
      </c>
      <c r="H16" s="39">
        <v>120.19199999999999</v>
      </c>
      <c r="I16" s="39">
        <v>716.25099999999998</v>
      </c>
      <c r="J16" s="39">
        <v>644.87599999999998</v>
      </c>
      <c r="K16" s="39">
        <v>641.07399999999996</v>
      </c>
      <c r="L16" s="39">
        <v>595.71100000000001</v>
      </c>
      <c r="M16" s="39">
        <v>433.63200000000001</v>
      </c>
      <c r="N16" s="39">
        <v>391.49099999999999</v>
      </c>
      <c r="O16" s="39">
        <v>347.64</v>
      </c>
      <c r="P16" s="39">
        <v>321.83699999999999</v>
      </c>
      <c r="Q16" s="39">
        <v>280.80399999999997</v>
      </c>
      <c r="R16" s="39">
        <v>261.48500000000001</v>
      </c>
      <c r="S16" s="39">
        <v>234.75</v>
      </c>
      <c r="T16" s="39">
        <v>593.33699999999999</v>
      </c>
      <c r="U16" s="39">
        <v>558.51700000000005</v>
      </c>
      <c r="V16" s="39">
        <v>956.23599999999999</v>
      </c>
      <c r="W16" s="39"/>
      <c r="X16" s="39"/>
      <c r="Y16" s="39"/>
    </row>
    <row r="17" spans="1:25" x14ac:dyDescent="0.2">
      <c r="A17" s="39" t="s">
        <v>140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>
        <v>190.898</v>
      </c>
      <c r="T17" s="39">
        <v>218.76300000000001</v>
      </c>
      <c r="U17" s="39">
        <v>214.38900000000001</v>
      </c>
      <c r="V17" s="39"/>
      <c r="W17" s="39"/>
      <c r="X17" s="39"/>
      <c r="Y17" s="39"/>
    </row>
    <row r="18" spans="1:25" x14ac:dyDescent="0.2">
      <c r="A18" s="39" t="s">
        <v>141</v>
      </c>
      <c r="B18" s="42">
        <v>28.241</v>
      </c>
      <c r="C18" s="42"/>
      <c r="D18" s="42">
        <v>3.0449999999998001</v>
      </c>
      <c r="E18" s="42">
        <v>3</v>
      </c>
      <c r="F18" s="42">
        <v>3</v>
      </c>
      <c r="G18" s="42">
        <v>6.8159999999999998</v>
      </c>
      <c r="H18" s="42">
        <v>6.5919999999999002</v>
      </c>
      <c r="I18" s="42">
        <v>29.594000000000001</v>
      </c>
      <c r="J18" s="42">
        <v>23.963999999999999</v>
      </c>
      <c r="K18" s="42">
        <v>12.901</v>
      </c>
      <c r="L18" s="42">
        <v>17.385999999999999</v>
      </c>
      <c r="M18" s="42">
        <v>20.469000000000001</v>
      </c>
      <c r="N18" s="42">
        <v>27.678999999999998</v>
      </c>
      <c r="O18" s="42">
        <v>27.832999999999998</v>
      </c>
      <c r="P18" s="42">
        <v>31.645</v>
      </c>
      <c r="Q18" s="42">
        <v>35.421999999999997</v>
      </c>
      <c r="R18" s="42">
        <v>41.192999999999998</v>
      </c>
      <c r="S18" s="42">
        <v>47.604999999999997</v>
      </c>
      <c r="T18" s="42">
        <v>103.504</v>
      </c>
      <c r="U18" s="42">
        <v>66.548000000000997</v>
      </c>
      <c r="V18" s="42">
        <v>84.977000000000004</v>
      </c>
      <c r="W18" s="42"/>
      <c r="X18" s="42"/>
      <c r="Y18" s="42"/>
    </row>
    <row r="19" spans="1:25" ht="17" thickBot="1" x14ac:dyDescent="0.25">
      <c r="A19" s="43" t="s">
        <v>142</v>
      </c>
      <c r="B19" s="49">
        <v>123.1</v>
      </c>
      <c r="C19" s="49"/>
      <c r="D19" s="49">
        <v>1047.519</v>
      </c>
      <c r="E19" s="49">
        <v>1112.7750000000001</v>
      </c>
      <c r="F19" s="49">
        <v>904.67899999999997</v>
      </c>
      <c r="G19" s="49">
        <v>1015.048</v>
      </c>
      <c r="H19" s="49">
        <v>1200.269</v>
      </c>
      <c r="I19" s="49">
        <v>3023.1660000000002</v>
      </c>
      <c r="J19" s="49">
        <v>3092.9960000000001</v>
      </c>
      <c r="K19" s="49">
        <v>3019.6390000000001</v>
      </c>
      <c r="L19" s="49">
        <v>3136.1149999999998</v>
      </c>
      <c r="M19" s="49">
        <v>2882.5329999999999</v>
      </c>
      <c r="N19" s="49">
        <v>3146.9870000000001</v>
      </c>
      <c r="O19" s="49">
        <v>3082.578</v>
      </c>
      <c r="P19" s="49">
        <v>3275.6680000000001</v>
      </c>
      <c r="Q19" s="49">
        <v>3387.9520000000002</v>
      </c>
      <c r="R19" s="49">
        <v>4204.4390000000003</v>
      </c>
      <c r="S19" s="49">
        <v>4198.6469999999999</v>
      </c>
      <c r="T19" s="49">
        <v>5506.7030000000004</v>
      </c>
      <c r="U19" s="49">
        <v>4997.5349999999999</v>
      </c>
      <c r="V19" s="49">
        <v>5518.2190000000001</v>
      </c>
      <c r="W19" s="49"/>
      <c r="X19" s="49"/>
      <c r="Y19" s="49"/>
    </row>
    <row r="20" spans="1:25" ht="17" thickTop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">
      <c r="A21" s="43" t="s">
        <v>143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5" x14ac:dyDescent="0.2">
      <c r="A22" s="39" t="s">
        <v>9</v>
      </c>
      <c r="B22" s="39"/>
      <c r="C22" s="39"/>
      <c r="D22" s="39"/>
      <c r="E22" s="39"/>
      <c r="F22" s="39">
        <v>7.0000000000000007E-2</v>
      </c>
      <c r="G22" s="39">
        <v>0.9</v>
      </c>
      <c r="H22" s="39">
        <v>1.8779999999999999</v>
      </c>
      <c r="I22" s="39">
        <v>2.1619999999999999</v>
      </c>
      <c r="J22" s="39">
        <v>0.23899999999999999</v>
      </c>
      <c r="K22" s="39">
        <v>2.9849999999999999</v>
      </c>
      <c r="L22" s="39">
        <v>1.198</v>
      </c>
      <c r="M22" s="39">
        <v>2.835</v>
      </c>
      <c r="N22" s="39">
        <v>2.512</v>
      </c>
      <c r="O22" s="39">
        <v>0.56799999999999995</v>
      </c>
      <c r="P22" s="39">
        <v>1.6120000000000001</v>
      </c>
      <c r="Q22" s="39">
        <v>3.8919999999999999</v>
      </c>
      <c r="R22" s="39">
        <v>6.4980000000000002</v>
      </c>
      <c r="S22" s="39">
        <v>14.253</v>
      </c>
      <c r="T22" s="39">
        <v>13.448</v>
      </c>
      <c r="U22" s="39">
        <v>15.039</v>
      </c>
      <c r="V22" s="39">
        <v>9.8119999999999994</v>
      </c>
      <c r="W22" s="39"/>
      <c r="X22" s="39"/>
      <c r="Y22" s="39"/>
    </row>
    <row r="23" spans="1:25" x14ac:dyDescent="0.2">
      <c r="A23" s="39" t="s">
        <v>144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v>14.827999999999999</v>
      </c>
      <c r="Q23" s="39">
        <v>16.253</v>
      </c>
      <c r="R23" s="39">
        <v>14.21</v>
      </c>
      <c r="S23" s="39">
        <v>26.195</v>
      </c>
      <c r="T23" s="39">
        <v>59.634999999999998</v>
      </c>
      <c r="U23" s="39">
        <v>8.0579999999999998</v>
      </c>
      <c r="V23" s="39">
        <v>24.709</v>
      </c>
      <c r="W23" s="39"/>
      <c r="X23" s="39"/>
      <c r="Y23" s="39"/>
    </row>
    <row r="24" spans="1:25" x14ac:dyDescent="0.2">
      <c r="A24" s="39" t="s">
        <v>145</v>
      </c>
      <c r="B24" s="39"/>
      <c r="C24" s="39"/>
      <c r="D24" s="39">
        <v>48.570999999999998</v>
      </c>
      <c r="E24" s="39">
        <v>52.924999999999997</v>
      </c>
      <c r="F24" s="39">
        <v>64.025999999999996</v>
      </c>
      <c r="G24" s="39">
        <v>88.405000000000001</v>
      </c>
      <c r="H24" s="39">
        <v>95.59</v>
      </c>
      <c r="I24" s="39">
        <v>138.54599999999999</v>
      </c>
      <c r="J24" s="39">
        <v>45.503999999999998</v>
      </c>
      <c r="K24" s="39">
        <v>42.485999999999997</v>
      </c>
      <c r="L24" s="39">
        <v>41.212000000000003</v>
      </c>
      <c r="M24" s="39">
        <v>47.893999999999998</v>
      </c>
      <c r="N24" s="39">
        <v>61.433</v>
      </c>
      <c r="O24" s="39">
        <v>82.531000000000006</v>
      </c>
      <c r="P24" s="39">
        <v>85.71</v>
      </c>
      <c r="Q24" s="39">
        <v>113.84099999999999</v>
      </c>
      <c r="R24" s="39">
        <v>139.149</v>
      </c>
      <c r="S24" s="39">
        <v>143.89400000000001</v>
      </c>
      <c r="T24" s="39">
        <v>145.30199999999999</v>
      </c>
      <c r="U24" s="39">
        <v>153.46100000000001</v>
      </c>
      <c r="V24" s="39">
        <v>168.28200000000001</v>
      </c>
      <c r="W24" s="39"/>
      <c r="X24" s="39"/>
      <c r="Y24" s="39"/>
    </row>
    <row r="25" spans="1:25" x14ac:dyDescent="0.2">
      <c r="A25" s="39" t="s">
        <v>146</v>
      </c>
      <c r="B25" s="39"/>
      <c r="C25" s="39"/>
      <c r="D25" s="39">
        <v>87.951999999999998</v>
      </c>
      <c r="E25" s="39">
        <v>102.36799999999999</v>
      </c>
      <c r="F25" s="39">
        <v>125.23</v>
      </c>
      <c r="G25" s="39">
        <v>144.71100000000001</v>
      </c>
      <c r="H25" s="39">
        <v>152.94399999999999</v>
      </c>
      <c r="I25" s="39">
        <v>271.3</v>
      </c>
      <c r="J25" s="39">
        <v>289.21699999999998</v>
      </c>
      <c r="K25" s="39">
        <v>308.02199999999999</v>
      </c>
      <c r="L25" s="39">
        <v>319.73500000000001</v>
      </c>
      <c r="M25" s="39">
        <v>310.77499999999998</v>
      </c>
      <c r="N25" s="39">
        <v>317.55200000000002</v>
      </c>
      <c r="O25" s="39">
        <v>334.358</v>
      </c>
      <c r="P25" s="39">
        <v>374.36500000000001</v>
      </c>
      <c r="Q25" s="39">
        <v>537.97699999999998</v>
      </c>
      <c r="R25" s="39">
        <v>574.65599999999995</v>
      </c>
      <c r="S25" s="39">
        <v>675.87</v>
      </c>
      <c r="T25" s="39">
        <v>824.91200000000003</v>
      </c>
      <c r="U25" s="39">
        <v>882.88599999999997</v>
      </c>
      <c r="V25" s="39">
        <v>1083.864</v>
      </c>
      <c r="W25" s="39"/>
      <c r="X25" s="39"/>
      <c r="Y25" s="39"/>
    </row>
    <row r="26" spans="1:25" x14ac:dyDescent="0.2">
      <c r="A26" s="39" t="s">
        <v>147</v>
      </c>
      <c r="B26" s="39"/>
      <c r="C26" s="39"/>
      <c r="D26" s="39"/>
      <c r="E26" s="39"/>
      <c r="F26" s="39">
        <v>22.25</v>
      </c>
      <c r="G26" s="39">
        <v>22.085999999999999</v>
      </c>
      <c r="H26" s="39">
        <v>42.088000000000001</v>
      </c>
      <c r="I26" s="39">
        <v>54.915999999999997</v>
      </c>
      <c r="J26" s="39">
        <v>10.339</v>
      </c>
      <c r="K26" s="39">
        <v>43.093000000000004</v>
      </c>
      <c r="L26" s="39">
        <v>19.771999999999998</v>
      </c>
      <c r="M26" s="39"/>
      <c r="N26" s="39"/>
      <c r="O26" s="39"/>
      <c r="P26" s="39"/>
      <c r="Q26" s="39"/>
      <c r="R26" s="39"/>
      <c r="S26" s="39"/>
      <c r="T26" s="39"/>
      <c r="U26" s="39">
        <v>8.7129999999999992</v>
      </c>
      <c r="V26" s="39">
        <v>10.901999999999999</v>
      </c>
      <c r="W26" s="39"/>
      <c r="X26" s="39"/>
      <c r="Y26" s="39"/>
    </row>
    <row r="27" spans="1:25" x14ac:dyDescent="0.2">
      <c r="A27" s="39" t="s">
        <v>148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1:25" x14ac:dyDescent="0.2">
      <c r="A28" s="39" t="s">
        <v>149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1:25" x14ac:dyDescent="0.2">
      <c r="A29" s="39" t="s">
        <v>150</v>
      </c>
      <c r="B29" s="42"/>
      <c r="C29" s="42"/>
      <c r="D29" s="42">
        <v>78.265000000000001</v>
      </c>
      <c r="E29" s="42">
        <v>65.688999999999993</v>
      </c>
      <c r="F29" s="42">
        <v>33.354999999999997</v>
      </c>
      <c r="G29" s="42">
        <v>34.991999999999997</v>
      </c>
      <c r="H29" s="42"/>
      <c r="I29" s="42"/>
      <c r="J29" s="42">
        <v>107.506</v>
      </c>
      <c r="K29" s="42">
        <v>113.35899999999999</v>
      </c>
      <c r="L29" s="42">
        <v>121.124</v>
      </c>
      <c r="M29" s="42">
        <v>111.408</v>
      </c>
      <c r="N29" s="42">
        <v>116.619</v>
      </c>
      <c r="O29" s="42">
        <v>119.113</v>
      </c>
      <c r="P29" s="42">
        <v>131.15600000000001</v>
      </c>
      <c r="Q29" s="42">
        <v>137.04499999999999</v>
      </c>
      <c r="R29" s="42">
        <v>166.273</v>
      </c>
      <c r="S29" s="42">
        <v>161.55699999999999</v>
      </c>
      <c r="T29" s="42">
        <v>207.64</v>
      </c>
      <c r="U29" s="42">
        <v>182.37</v>
      </c>
      <c r="V29" s="42">
        <v>219.45599999999999</v>
      </c>
      <c r="W29" s="42"/>
      <c r="X29" s="42"/>
      <c r="Y29" s="42"/>
    </row>
    <row r="30" spans="1:25" x14ac:dyDescent="0.2">
      <c r="A30" s="39" t="s">
        <v>151</v>
      </c>
      <c r="B30" s="39"/>
      <c r="C30" s="39"/>
      <c r="D30" s="39">
        <v>214.78800000000001</v>
      </c>
      <c r="E30" s="39">
        <v>220.982</v>
      </c>
      <c r="F30" s="39">
        <v>244.93100000000001</v>
      </c>
      <c r="G30" s="39">
        <v>291.09399999999999</v>
      </c>
      <c r="H30" s="39">
        <v>292.5</v>
      </c>
      <c r="I30" s="39">
        <v>466.92399999999998</v>
      </c>
      <c r="J30" s="39">
        <v>452.80500000000001</v>
      </c>
      <c r="K30" s="39">
        <v>509.94499999999999</v>
      </c>
      <c r="L30" s="39">
        <v>503.041</v>
      </c>
      <c r="M30" s="39">
        <v>472.91199999999998</v>
      </c>
      <c r="N30" s="39">
        <v>498.11599999999999</v>
      </c>
      <c r="O30" s="39">
        <v>536.57000000000005</v>
      </c>
      <c r="P30" s="39">
        <v>607.67100000000005</v>
      </c>
      <c r="Q30" s="39">
        <v>809.00800000000004</v>
      </c>
      <c r="R30" s="39">
        <v>900.78599999999994</v>
      </c>
      <c r="S30" s="39">
        <v>1021.769</v>
      </c>
      <c r="T30" s="39">
        <v>1250.9369999999999</v>
      </c>
      <c r="U30" s="39">
        <v>1250.527</v>
      </c>
      <c r="V30" s="39">
        <v>1517.0250000000001</v>
      </c>
      <c r="W30" s="39"/>
      <c r="X30" s="39"/>
      <c r="Y30" s="39"/>
    </row>
    <row r="31" spans="1:2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 spans="1:25" x14ac:dyDescent="0.2">
      <c r="A32" s="39" t="s">
        <v>152</v>
      </c>
      <c r="B32" s="39"/>
      <c r="C32" s="39"/>
      <c r="D32" s="39"/>
      <c r="E32" s="39"/>
      <c r="F32" s="39">
        <v>402.75</v>
      </c>
      <c r="G32" s="39">
        <v>379.709</v>
      </c>
      <c r="H32" s="39">
        <v>337.62200000000001</v>
      </c>
      <c r="I32" s="39">
        <v>1207.8810000000001</v>
      </c>
      <c r="J32" s="39">
        <v>1066.548</v>
      </c>
      <c r="K32" s="39">
        <v>811.62300000000005</v>
      </c>
      <c r="L32" s="39">
        <v>788.01</v>
      </c>
      <c r="M32" s="39">
        <v>788.35799999999995</v>
      </c>
      <c r="N32" s="39">
        <v>1579.404</v>
      </c>
      <c r="O32" s="39">
        <v>2075.201</v>
      </c>
      <c r="P32" s="39">
        <v>2078.0929999999998</v>
      </c>
      <c r="Q32" s="39">
        <v>2575.502</v>
      </c>
      <c r="R32" s="39">
        <v>3071.9259999999999</v>
      </c>
      <c r="S32" s="39">
        <v>3366.777</v>
      </c>
      <c r="T32" s="39">
        <v>4161.4219999999996</v>
      </c>
      <c r="U32" s="39">
        <v>4503.2330000000002</v>
      </c>
      <c r="V32" s="39">
        <v>4496.826</v>
      </c>
      <c r="W32" s="39"/>
      <c r="X32" s="39"/>
      <c r="Y32" s="39"/>
    </row>
    <row r="33" spans="1:25" x14ac:dyDescent="0.2">
      <c r="A33" s="39" t="s">
        <v>153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>
        <v>164.14400000000001</v>
      </c>
      <c r="S33" s="39">
        <v>152.34200000000001</v>
      </c>
      <c r="T33" s="39">
        <v>150.029</v>
      </c>
      <c r="U33" s="39">
        <v>131.57499999999999</v>
      </c>
      <c r="V33" s="39">
        <v>120.134</v>
      </c>
      <c r="W33" s="39"/>
      <c r="X33" s="39"/>
      <c r="Y33" s="39"/>
    </row>
    <row r="34" spans="1:25" x14ac:dyDescent="0.2">
      <c r="A34" s="39" t="s">
        <v>154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x14ac:dyDescent="0.2">
      <c r="A35" s="39" t="s">
        <v>146</v>
      </c>
      <c r="B35" s="39"/>
      <c r="C35" s="39"/>
      <c r="D35" s="39">
        <v>75.513999999999996</v>
      </c>
      <c r="E35" s="39">
        <v>66.081000000000003</v>
      </c>
      <c r="F35" s="39">
        <v>56.976999999999997</v>
      </c>
      <c r="G35" s="39">
        <v>49.363999999999997</v>
      </c>
      <c r="H35" s="39">
        <v>40.08</v>
      </c>
      <c r="I35" s="39">
        <v>240.94399999999999</v>
      </c>
      <c r="J35" s="39">
        <v>240.45599999999999</v>
      </c>
      <c r="K35" s="39">
        <v>234.245</v>
      </c>
      <c r="L35" s="39">
        <v>234.649</v>
      </c>
      <c r="M35" s="39">
        <v>137.83799999999999</v>
      </c>
      <c r="N35" s="39">
        <v>110.937</v>
      </c>
      <c r="O35" s="39">
        <v>94.066999999999993</v>
      </c>
      <c r="P35" s="39">
        <v>78.027000000000001</v>
      </c>
      <c r="Q35" s="39">
        <v>82.007999999999996</v>
      </c>
      <c r="R35" s="39">
        <v>66.638999999999996</v>
      </c>
      <c r="S35" s="39">
        <v>12.773999999999999</v>
      </c>
      <c r="T35" s="39">
        <v>3.65</v>
      </c>
      <c r="U35" s="39">
        <v>29.097999999999999</v>
      </c>
      <c r="V35" s="39">
        <v>27.027999999999999</v>
      </c>
      <c r="W35" s="39"/>
      <c r="X35" s="39"/>
      <c r="Y35" s="39"/>
    </row>
    <row r="36" spans="1:25" x14ac:dyDescent="0.2">
      <c r="A36" s="39" t="s">
        <v>155</v>
      </c>
      <c r="B36" s="42">
        <v>86.475999999999999</v>
      </c>
      <c r="C36" s="42"/>
      <c r="D36" s="42"/>
      <c r="E36" s="42"/>
      <c r="F36" s="42"/>
      <c r="G36" s="42">
        <v>8.4990000000000006</v>
      </c>
      <c r="H36" s="42">
        <v>23.010999999999999</v>
      </c>
      <c r="I36" s="42">
        <v>27.3</v>
      </c>
      <c r="J36" s="42">
        <v>27.754999999999999</v>
      </c>
      <c r="K36" s="42">
        <v>38.594999999999999</v>
      </c>
      <c r="L36" s="42">
        <v>46.067999999999998</v>
      </c>
      <c r="M36" s="42">
        <v>50.591999999999999</v>
      </c>
      <c r="N36" s="42">
        <v>57.042999999999999</v>
      </c>
      <c r="O36" s="42">
        <v>59.134999999999998</v>
      </c>
      <c r="P36" s="42">
        <v>110.86499999999999</v>
      </c>
      <c r="Q36" s="42">
        <v>87.927999999999997</v>
      </c>
      <c r="R36" s="42">
        <v>77.658000000000001</v>
      </c>
      <c r="S36" s="42">
        <v>88.218999999999994</v>
      </c>
      <c r="T36" s="42">
        <v>104.13200000000001</v>
      </c>
      <c r="U36" s="42">
        <v>91.027000000000001</v>
      </c>
      <c r="V36" s="42">
        <v>96.969999999999004</v>
      </c>
      <c r="W36" s="42"/>
      <c r="X36" s="42"/>
      <c r="Y36" s="42"/>
    </row>
    <row r="37" spans="1:25" x14ac:dyDescent="0.2">
      <c r="A37" s="43" t="s">
        <v>156</v>
      </c>
      <c r="B37" s="43">
        <v>86.475999999999999</v>
      </c>
      <c r="C37" s="43"/>
      <c r="D37" s="43">
        <v>290.30200000000002</v>
      </c>
      <c r="E37" s="43">
        <v>287.06299999999999</v>
      </c>
      <c r="F37" s="43">
        <v>704.65800000000002</v>
      </c>
      <c r="G37" s="43">
        <v>728.66600000000005</v>
      </c>
      <c r="H37" s="43">
        <v>693.21299999999997</v>
      </c>
      <c r="I37" s="43">
        <v>1943.049</v>
      </c>
      <c r="J37" s="43">
        <v>1787.5640000000001</v>
      </c>
      <c r="K37" s="43">
        <v>1594.4079999999999</v>
      </c>
      <c r="L37" s="43">
        <v>1571.768</v>
      </c>
      <c r="M37" s="43">
        <v>1449.7</v>
      </c>
      <c r="N37" s="43">
        <v>2245.5</v>
      </c>
      <c r="O37" s="43">
        <v>2764.973</v>
      </c>
      <c r="P37" s="43">
        <v>2874.6559999999999</v>
      </c>
      <c r="Q37" s="43">
        <v>3554.4459999999999</v>
      </c>
      <c r="R37" s="43">
        <v>4281.1530000000002</v>
      </c>
      <c r="S37" s="43">
        <v>4641.8810000000003</v>
      </c>
      <c r="T37" s="43">
        <v>5670.17</v>
      </c>
      <c r="U37" s="43">
        <v>6005.46</v>
      </c>
      <c r="V37" s="43">
        <v>6257.9830000000002</v>
      </c>
      <c r="W37" s="43"/>
      <c r="X37" s="43"/>
      <c r="Y37" s="43"/>
    </row>
    <row r="38" spans="1:2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x14ac:dyDescent="0.2">
      <c r="A39" s="43" t="s">
        <v>157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">
      <c r="A40" s="39" t="s">
        <v>158</v>
      </c>
      <c r="B40" s="39"/>
      <c r="C40" s="39"/>
      <c r="D40" s="39">
        <v>649.88400000000001</v>
      </c>
      <c r="E40" s="39">
        <v>649.88400000000001</v>
      </c>
      <c r="F40" s="39">
        <v>265.09800000000001</v>
      </c>
      <c r="G40" s="39">
        <v>291.20400000000001</v>
      </c>
      <c r="H40" s="39">
        <v>448.74700000000001</v>
      </c>
      <c r="I40" s="39">
        <v>938.01400000000001</v>
      </c>
      <c r="J40" s="39">
        <v>995.66499999999996</v>
      </c>
      <c r="K40" s="39">
        <v>1000.014</v>
      </c>
      <c r="L40" s="39">
        <v>1073.1569999999999</v>
      </c>
      <c r="M40" s="39">
        <v>1022.221</v>
      </c>
      <c r="N40" s="39">
        <v>1173.183</v>
      </c>
      <c r="O40" s="39">
        <v>1225.5650000000001</v>
      </c>
      <c r="P40" s="39">
        <v>1264.8489999999999</v>
      </c>
      <c r="Q40" s="39">
        <v>1306.4280000000001</v>
      </c>
      <c r="R40" s="39">
        <v>1351.0309999999999</v>
      </c>
      <c r="S40" s="39">
        <v>1402.537</v>
      </c>
      <c r="T40" s="39">
        <v>1457.623</v>
      </c>
      <c r="U40" s="39">
        <v>1515.874</v>
      </c>
      <c r="V40" s="39">
        <v>1587.67</v>
      </c>
      <c r="W40" s="39"/>
      <c r="X40" s="39"/>
      <c r="Y40" s="39"/>
    </row>
    <row r="41" spans="1:25" x14ac:dyDescent="0.2">
      <c r="A41" s="39" t="s">
        <v>159</v>
      </c>
      <c r="B41" s="39"/>
      <c r="C41" s="39"/>
      <c r="D41" s="39">
        <v>109.676</v>
      </c>
      <c r="E41" s="39">
        <v>176.12100000000001</v>
      </c>
      <c r="F41" s="39">
        <v>-65.884</v>
      </c>
      <c r="G41" s="39">
        <v>2.2120000000000002</v>
      </c>
      <c r="H41" s="39">
        <v>84.013000000000005</v>
      </c>
      <c r="I41" s="39">
        <v>176.18299999999999</v>
      </c>
      <c r="J41" s="39">
        <v>363.46100000000001</v>
      </c>
      <c r="K41" s="39">
        <v>547.69899999999996</v>
      </c>
      <c r="L41" s="39">
        <v>758.97500000000002</v>
      </c>
      <c r="M41" s="39">
        <v>1022.6950000000001</v>
      </c>
      <c r="N41" s="39">
        <v>1158.462</v>
      </c>
      <c r="O41" s="39">
        <v>1322.2239999999999</v>
      </c>
      <c r="P41" s="39">
        <v>1505.204</v>
      </c>
      <c r="Q41" s="39">
        <v>1856.951</v>
      </c>
      <c r="R41" s="39">
        <v>2199.2939999999999</v>
      </c>
      <c r="S41" s="39">
        <v>2554.2950000000001</v>
      </c>
      <c r="T41" s="39">
        <v>2976.5169999999998</v>
      </c>
      <c r="U41" s="39">
        <v>3473.192</v>
      </c>
      <c r="V41" s="39">
        <v>4179.6809999999996</v>
      </c>
      <c r="W41" s="39"/>
      <c r="X41" s="39"/>
      <c r="Y41" s="39"/>
    </row>
    <row r="42" spans="1:25" x14ac:dyDescent="0.2">
      <c r="A42" s="39" t="s">
        <v>160</v>
      </c>
      <c r="B42" s="39"/>
      <c r="C42" s="39"/>
      <c r="D42" s="39"/>
      <c r="E42" s="39"/>
      <c r="F42" s="39"/>
      <c r="G42" s="39">
        <v>-0.68100000000000005</v>
      </c>
      <c r="H42" s="39">
        <v>-19.167999999999999</v>
      </c>
      <c r="I42" s="39">
        <v>-33.319000000000003</v>
      </c>
      <c r="J42" s="39">
        <v>-49.826999999999998</v>
      </c>
      <c r="K42" s="39">
        <v>-120.926</v>
      </c>
      <c r="L42" s="39">
        <v>-268.39100000000002</v>
      </c>
      <c r="M42" s="39">
        <v>-588.37800000000004</v>
      </c>
      <c r="N42" s="39">
        <v>-1395.6949999999999</v>
      </c>
      <c r="O42" s="39">
        <v>-2170.739</v>
      </c>
      <c r="P42" s="39">
        <v>-2321.989</v>
      </c>
      <c r="Q42" s="39">
        <v>-3272.7739999999999</v>
      </c>
      <c r="R42" s="39">
        <v>-3565.7840000000001</v>
      </c>
      <c r="S42" s="39">
        <v>-4342.5349999999999</v>
      </c>
      <c r="T42" s="39">
        <v>-4540.1440000000002</v>
      </c>
      <c r="U42" s="39">
        <v>-5938.116</v>
      </c>
      <c r="V42" s="39">
        <v>-6447.1009999999997</v>
      </c>
      <c r="W42" s="39"/>
      <c r="X42" s="39"/>
      <c r="Y42" s="39"/>
    </row>
    <row r="43" spans="1:25" x14ac:dyDescent="0.2">
      <c r="A43" s="39" t="s">
        <v>161</v>
      </c>
      <c r="B43" s="39"/>
      <c r="C43" s="39"/>
      <c r="D43" s="39"/>
      <c r="E43" s="39"/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39">
        <v>1</v>
      </c>
      <c r="P43" s="39">
        <v>1</v>
      </c>
      <c r="Q43" s="39">
        <v>1</v>
      </c>
      <c r="R43" s="39">
        <v>1</v>
      </c>
      <c r="S43" s="39">
        <v>1</v>
      </c>
      <c r="T43" s="39">
        <v>1</v>
      </c>
      <c r="U43" s="39">
        <v>1</v>
      </c>
      <c r="V43" s="39">
        <v>1</v>
      </c>
      <c r="W43" s="39"/>
      <c r="X43" s="39"/>
      <c r="Y43" s="39"/>
    </row>
    <row r="44" spans="1:25" x14ac:dyDescent="0.2">
      <c r="A44" s="39" t="s">
        <v>162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">
      <c r="A45" s="39" t="s">
        <v>163</v>
      </c>
      <c r="B45" s="39"/>
      <c r="C45" s="39"/>
      <c r="D45" s="39">
        <v>-2.3719999999999999</v>
      </c>
      <c r="E45" s="39">
        <v>-0.32200000000000001</v>
      </c>
      <c r="F45" s="39">
        <v>-0.193</v>
      </c>
      <c r="G45" s="39">
        <v>-7.3540000000000001</v>
      </c>
      <c r="H45" s="39">
        <v>-7.59</v>
      </c>
      <c r="I45" s="39">
        <v>-1.966</v>
      </c>
      <c r="J45" s="39">
        <v>-5.0940000000000003</v>
      </c>
      <c r="K45" s="39">
        <v>-2.7959999999999998</v>
      </c>
      <c r="L45" s="39">
        <v>-0.65</v>
      </c>
      <c r="M45" s="39">
        <v>-24.971</v>
      </c>
      <c r="N45" s="39">
        <v>-35.744999999999997</v>
      </c>
      <c r="O45" s="39">
        <v>-60.734999999999999</v>
      </c>
      <c r="P45" s="39">
        <v>-48.347000000000001</v>
      </c>
      <c r="Q45" s="39">
        <v>-58.399000000000001</v>
      </c>
      <c r="R45" s="39">
        <v>-62.579000000000001</v>
      </c>
      <c r="S45" s="39">
        <v>-58.859000000000002</v>
      </c>
      <c r="T45" s="39">
        <v>-58.795000000000002</v>
      </c>
      <c r="U45" s="39">
        <v>-60.210999999999999</v>
      </c>
      <c r="V45" s="39">
        <v>-61.351999999999997</v>
      </c>
      <c r="W45" s="39"/>
      <c r="X45" s="39"/>
      <c r="Y45" s="39"/>
    </row>
    <row r="46" spans="1:25" x14ac:dyDescent="0.2">
      <c r="A46" s="39" t="s">
        <v>96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">
      <c r="A47" s="39" t="s">
        <v>164</v>
      </c>
      <c r="B47" s="42">
        <v>36.624000000000002</v>
      </c>
      <c r="C47" s="42"/>
      <c r="D47" s="42">
        <v>2.8999999999996001E-2</v>
      </c>
      <c r="E47" s="42">
        <v>2.8999999999996001E-2</v>
      </c>
      <c r="F47" s="42">
        <v>-2.8421709430404001E-14</v>
      </c>
      <c r="G47" s="42">
        <v>9.9999999997634989E-4</v>
      </c>
      <c r="H47" s="42">
        <v>5.3999999999917003E-2</v>
      </c>
      <c r="I47" s="42">
        <v>0.20499999999992999</v>
      </c>
      <c r="J47" s="42">
        <v>0.22700000000008999</v>
      </c>
      <c r="K47" s="42">
        <v>0.24000000000001001</v>
      </c>
      <c r="L47" s="42">
        <v>0.25600000000008999</v>
      </c>
      <c r="M47" s="42">
        <v>0.26600000000008001</v>
      </c>
      <c r="N47" s="42">
        <v>0.28199999999981001</v>
      </c>
      <c r="O47" s="42">
        <v>0.28999999999996001</v>
      </c>
      <c r="P47" s="42">
        <v>0.29499999999990001</v>
      </c>
      <c r="Q47" s="42">
        <v>0.29999999999941002</v>
      </c>
      <c r="R47" s="42">
        <v>0.32400000000047002</v>
      </c>
      <c r="S47" s="42">
        <v>0.32799999999992002</v>
      </c>
      <c r="T47" s="42">
        <v>0.33200000000086999</v>
      </c>
      <c r="U47" s="42">
        <v>0.33599999999955998</v>
      </c>
      <c r="V47" s="42">
        <v>0.33799999999984998</v>
      </c>
      <c r="W47" s="42"/>
      <c r="X47" s="42"/>
      <c r="Y47" s="42"/>
    </row>
    <row r="48" spans="1:25" x14ac:dyDescent="0.2">
      <c r="A48" s="43" t="s">
        <v>165</v>
      </c>
      <c r="B48" s="43">
        <v>36.624000000000002</v>
      </c>
      <c r="C48" s="43"/>
      <c r="D48" s="43">
        <v>757.21699999999998</v>
      </c>
      <c r="E48" s="43">
        <v>825.71199999999999</v>
      </c>
      <c r="F48" s="43">
        <v>200.02099999999999</v>
      </c>
      <c r="G48" s="43">
        <v>286.38200000000001</v>
      </c>
      <c r="H48" s="43">
        <v>507.05599999999998</v>
      </c>
      <c r="I48" s="43">
        <v>1080.117</v>
      </c>
      <c r="J48" s="43">
        <v>1305.432</v>
      </c>
      <c r="K48" s="43">
        <v>1425.231</v>
      </c>
      <c r="L48" s="43">
        <v>1564.347</v>
      </c>
      <c r="M48" s="43">
        <v>1432.8330000000001</v>
      </c>
      <c r="N48" s="43">
        <v>901.48699999999997</v>
      </c>
      <c r="O48" s="43">
        <v>317.60500000000002</v>
      </c>
      <c r="P48" s="43">
        <v>401.012</v>
      </c>
      <c r="Q48" s="43">
        <v>-166.494</v>
      </c>
      <c r="R48" s="43">
        <v>-76.713999999999999</v>
      </c>
      <c r="S48" s="43">
        <v>-443.23399999999998</v>
      </c>
      <c r="T48" s="43">
        <v>-163.46700000000001</v>
      </c>
      <c r="U48" s="43">
        <v>-1007.925</v>
      </c>
      <c r="V48" s="43">
        <v>-739.76400000000001</v>
      </c>
      <c r="W48" s="43"/>
      <c r="X48" s="43"/>
      <c r="Y48" s="43"/>
    </row>
    <row r="49" spans="1:2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1:25" ht="17" thickBot="1" x14ac:dyDescent="0.25">
      <c r="A50" s="43" t="s">
        <v>166</v>
      </c>
      <c r="B50" s="49">
        <v>123.1</v>
      </c>
      <c r="C50" s="49"/>
      <c r="D50" s="49">
        <v>1047.519</v>
      </c>
      <c r="E50" s="49">
        <v>1112.7750000000001</v>
      </c>
      <c r="F50" s="49">
        <v>904.67899999999997</v>
      </c>
      <c r="G50" s="49">
        <v>1015.048</v>
      </c>
      <c r="H50" s="49">
        <v>1200.269</v>
      </c>
      <c r="I50" s="49">
        <v>3023.1660000000002</v>
      </c>
      <c r="J50" s="49">
        <v>3092.9960000000001</v>
      </c>
      <c r="K50" s="49">
        <v>3019.6390000000001</v>
      </c>
      <c r="L50" s="49">
        <v>3136.1149999999998</v>
      </c>
      <c r="M50" s="49">
        <v>2882.5329999999999</v>
      </c>
      <c r="N50" s="49">
        <v>3146.9870000000001</v>
      </c>
      <c r="O50" s="49">
        <v>3082.578</v>
      </c>
      <c r="P50" s="49">
        <v>3275.6680000000001</v>
      </c>
      <c r="Q50" s="49">
        <v>3387.9520000000002</v>
      </c>
      <c r="R50" s="49">
        <v>4204.4390000000003</v>
      </c>
      <c r="S50" s="49">
        <v>4198.6469999999999</v>
      </c>
      <c r="T50" s="49">
        <v>5506.7030000000004</v>
      </c>
      <c r="U50" s="49">
        <v>4997.5349999999999</v>
      </c>
      <c r="V50" s="49">
        <v>5518.2190000000001</v>
      </c>
      <c r="W50" s="49"/>
      <c r="X50" s="49"/>
      <c r="Y50" s="49"/>
    </row>
    <row r="51" spans="1:25" ht="17" thickTop="1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x14ac:dyDescent="0.2">
      <c r="A52" s="43" t="s">
        <v>167</v>
      </c>
      <c r="B52" s="39">
        <v>83.9</v>
      </c>
      <c r="C52" s="39">
        <v>56.256</v>
      </c>
      <c r="D52" s="39">
        <v>83.9</v>
      </c>
      <c r="E52" s="39">
        <v>83.9</v>
      </c>
      <c r="F52" s="39">
        <v>100.011</v>
      </c>
      <c r="G52" s="39">
        <v>100.063</v>
      </c>
      <c r="H52" s="39">
        <v>104.78100000000001</v>
      </c>
      <c r="I52" s="39">
        <v>119.52200000000001</v>
      </c>
      <c r="J52" s="39">
        <v>121.212</v>
      </c>
      <c r="K52" s="39">
        <v>120.11499999999999</v>
      </c>
      <c r="L52" s="39">
        <v>118.083</v>
      </c>
      <c r="M52" s="39">
        <v>112.072</v>
      </c>
      <c r="N52" s="39">
        <v>101.01300000000001</v>
      </c>
      <c r="O52" s="39">
        <v>91.3</v>
      </c>
      <c r="P52" s="39">
        <v>90.105000000000004</v>
      </c>
      <c r="Q52" s="39">
        <v>84.2</v>
      </c>
      <c r="R52" s="39">
        <v>84.795000000000002</v>
      </c>
      <c r="S52" s="39">
        <v>82.572999999999993</v>
      </c>
      <c r="T52" s="39">
        <v>82.44</v>
      </c>
      <c r="U52" s="39">
        <v>79.959999999999994</v>
      </c>
      <c r="V52" s="39">
        <v>79.090999999999994</v>
      </c>
      <c r="W52" s="39"/>
      <c r="X52" s="39"/>
      <c r="Y52" s="39"/>
    </row>
    <row r="53" spans="1:2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1:25" x14ac:dyDescent="0.2">
      <c r="A54" s="43" t="s">
        <v>168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1:25" x14ac:dyDescent="0.2">
      <c r="A55" s="39" t="s">
        <v>169</v>
      </c>
      <c r="B55" s="46">
        <f t="shared" ref="B55:Y55" si="0">B48</f>
        <v>36.624000000000002</v>
      </c>
      <c r="C55" s="46">
        <f t="shared" si="0"/>
        <v>0</v>
      </c>
      <c r="D55" s="46">
        <f t="shared" si="0"/>
        <v>757.21699999999998</v>
      </c>
      <c r="E55" s="46">
        <f t="shared" si="0"/>
        <v>825.71199999999999</v>
      </c>
      <c r="F55" s="46">
        <f t="shared" si="0"/>
        <v>200.02099999999999</v>
      </c>
      <c r="G55" s="46">
        <f t="shared" si="0"/>
        <v>286.38200000000001</v>
      </c>
      <c r="H55" s="46">
        <f t="shared" si="0"/>
        <v>507.05599999999998</v>
      </c>
      <c r="I55" s="46">
        <f t="shared" si="0"/>
        <v>1080.117</v>
      </c>
      <c r="J55" s="46">
        <f t="shared" si="0"/>
        <v>1305.432</v>
      </c>
      <c r="K55" s="46">
        <f t="shared" si="0"/>
        <v>1425.231</v>
      </c>
      <c r="L55" s="46">
        <f t="shared" si="0"/>
        <v>1564.347</v>
      </c>
      <c r="M55" s="46">
        <f t="shared" si="0"/>
        <v>1432.8330000000001</v>
      </c>
      <c r="N55" s="46">
        <f t="shared" si="0"/>
        <v>901.48699999999997</v>
      </c>
      <c r="O55" s="46">
        <f t="shared" si="0"/>
        <v>317.60500000000002</v>
      </c>
      <c r="P55" s="46">
        <f t="shared" si="0"/>
        <v>401.012</v>
      </c>
      <c r="Q55" s="46">
        <f t="shared" si="0"/>
        <v>-166.494</v>
      </c>
      <c r="R55" s="46">
        <f t="shared" si="0"/>
        <v>-76.713999999999999</v>
      </c>
      <c r="S55" s="46">
        <f t="shared" si="0"/>
        <v>-443.23399999999998</v>
      </c>
      <c r="T55" s="46">
        <f t="shared" si="0"/>
        <v>-163.46700000000001</v>
      </c>
      <c r="U55" s="46">
        <f t="shared" si="0"/>
        <v>-1007.925</v>
      </c>
      <c r="V55" s="46">
        <f t="shared" si="0"/>
        <v>-739.76400000000001</v>
      </c>
      <c r="W55" s="46">
        <f t="shared" si="0"/>
        <v>0</v>
      </c>
      <c r="X55" s="46">
        <f t="shared" si="0"/>
        <v>0</v>
      </c>
      <c r="Y55" s="46">
        <f t="shared" si="0"/>
        <v>0</v>
      </c>
    </row>
    <row r="56" spans="1:25" x14ac:dyDescent="0.2">
      <c r="A56" s="39" t="s">
        <v>170</v>
      </c>
      <c r="B56" s="46">
        <f t="shared" ref="B56:Y56" si="1">B32+B33</f>
        <v>0</v>
      </c>
      <c r="C56" s="46">
        <f t="shared" si="1"/>
        <v>0</v>
      </c>
      <c r="D56" s="46">
        <f t="shared" si="1"/>
        <v>0</v>
      </c>
      <c r="E56" s="46">
        <f t="shared" si="1"/>
        <v>0</v>
      </c>
      <c r="F56" s="46">
        <f t="shared" si="1"/>
        <v>402.75</v>
      </c>
      <c r="G56" s="46">
        <f t="shared" si="1"/>
        <v>379.709</v>
      </c>
      <c r="H56" s="46">
        <f t="shared" si="1"/>
        <v>337.62200000000001</v>
      </c>
      <c r="I56" s="46">
        <f t="shared" si="1"/>
        <v>1207.8810000000001</v>
      </c>
      <c r="J56" s="46">
        <f t="shared" si="1"/>
        <v>1066.548</v>
      </c>
      <c r="K56" s="46">
        <f t="shared" si="1"/>
        <v>811.62300000000005</v>
      </c>
      <c r="L56" s="46">
        <f t="shared" si="1"/>
        <v>788.01</v>
      </c>
      <c r="M56" s="46">
        <f t="shared" si="1"/>
        <v>788.35799999999995</v>
      </c>
      <c r="N56" s="46">
        <f t="shared" si="1"/>
        <v>1579.404</v>
      </c>
      <c r="O56" s="46">
        <f t="shared" si="1"/>
        <v>2075.201</v>
      </c>
      <c r="P56" s="46">
        <f t="shared" si="1"/>
        <v>2078.0929999999998</v>
      </c>
      <c r="Q56" s="46">
        <f t="shared" si="1"/>
        <v>2575.502</v>
      </c>
      <c r="R56" s="46">
        <f t="shared" si="1"/>
        <v>3236.0699999999997</v>
      </c>
      <c r="S56" s="46">
        <f t="shared" si="1"/>
        <v>3519.1190000000001</v>
      </c>
      <c r="T56" s="46">
        <f t="shared" si="1"/>
        <v>4311.4509999999991</v>
      </c>
      <c r="U56" s="46">
        <f t="shared" si="1"/>
        <v>4634.808</v>
      </c>
      <c r="V56" s="46">
        <f t="shared" si="1"/>
        <v>4616.96</v>
      </c>
      <c r="W56" s="46">
        <f t="shared" si="1"/>
        <v>0</v>
      </c>
      <c r="X56" s="46">
        <f t="shared" si="1"/>
        <v>0</v>
      </c>
      <c r="Y56" s="46">
        <f t="shared" si="1"/>
        <v>0</v>
      </c>
    </row>
    <row r="57" spans="1:25" x14ac:dyDescent="0.2">
      <c r="A57" s="39" t="s">
        <v>171</v>
      </c>
      <c r="B57" s="46">
        <f t="shared" ref="B57:Y57" si="2">B26</f>
        <v>0</v>
      </c>
      <c r="C57" s="46">
        <f t="shared" si="2"/>
        <v>0</v>
      </c>
      <c r="D57" s="46">
        <f t="shared" si="2"/>
        <v>0</v>
      </c>
      <c r="E57" s="46">
        <f t="shared" si="2"/>
        <v>0</v>
      </c>
      <c r="F57" s="46">
        <f t="shared" si="2"/>
        <v>22.25</v>
      </c>
      <c r="G57" s="46">
        <f t="shared" si="2"/>
        <v>22.085999999999999</v>
      </c>
      <c r="H57" s="46">
        <f t="shared" si="2"/>
        <v>42.088000000000001</v>
      </c>
      <c r="I57" s="46">
        <f t="shared" si="2"/>
        <v>54.915999999999997</v>
      </c>
      <c r="J57" s="46">
        <f t="shared" si="2"/>
        <v>10.339</v>
      </c>
      <c r="K57" s="46">
        <f t="shared" si="2"/>
        <v>43.093000000000004</v>
      </c>
      <c r="L57" s="46">
        <f t="shared" si="2"/>
        <v>19.771999999999998</v>
      </c>
      <c r="M57" s="46">
        <f t="shared" si="2"/>
        <v>0</v>
      </c>
      <c r="N57" s="46">
        <f t="shared" si="2"/>
        <v>0</v>
      </c>
      <c r="O57" s="46">
        <f t="shared" si="2"/>
        <v>0</v>
      </c>
      <c r="P57" s="46">
        <f t="shared" si="2"/>
        <v>0</v>
      </c>
      <c r="Q57" s="46">
        <f t="shared" si="2"/>
        <v>0</v>
      </c>
      <c r="R57" s="46">
        <f t="shared" si="2"/>
        <v>0</v>
      </c>
      <c r="S57" s="46">
        <f t="shared" si="2"/>
        <v>0</v>
      </c>
      <c r="T57" s="46">
        <f t="shared" si="2"/>
        <v>0</v>
      </c>
      <c r="U57" s="46">
        <f t="shared" si="2"/>
        <v>8.7129999999999992</v>
      </c>
      <c r="V57" s="46">
        <f t="shared" si="2"/>
        <v>10.901999999999999</v>
      </c>
      <c r="W57" s="46">
        <f t="shared" si="2"/>
        <v>0</v>
      </c>
      <c r="X57" s="46">
        <f t="shared" si="2"/>
        <v>0</v>
      </c>
      <c r="Y57" s="46">
        <f t="shared" si="2"/>
        <v>0</v>
      </c>
    </row>
    <row r="58" spans="1:25" x14ac:dyDescent="0.2">
      <c r="A58" s="39" t="s">
        <v>172</v>
      </c>
      <c r="B58" s="46">
        <f t="shared" ref="B58:Y58" si="3">B46</f>
        <v>0</v>
      </c>
      <c r="C58" s="46">
        <f t="shared" si="3"/>
        <v>0</v>
      </c>
      <c r="D58" s="46">
        <f t="shared" si="3"/>
        <v>0</v>
      </c>
      <c r="E58" s="46">
        <f t="shared" si="3"/>
        <v>0</v>
      </c>
      <c r="F58" s="46">
        <f t="shared" si="3"/>
        <v>0</v>
      </c>
      <c r="G58" s="46">
        <f t="shared" si="3"/>
        <v>0</v>
      </c>
      <c r="H58" s="46">
        <f t="shared" si="3"/>
        <v>0</v>
      </c>
      <c r="I58" s="46">
        <f t="shared" si="3"/>
        <v>0</v>
      </c>
      <c r="J58" s="46">
        <f t="shared" si="3"/>
        <v>0</v>
      </c>
      <c r="K58" s="46">
        <f t="shared" si="3"/>
        <v>0</v>
      </c>
      <c r="L58" s="46">
        <f t="shared" si="3"/>
        <v>0</v>
      </c>
      <c r="M58" s="46">
        <f t="shared" si="3"/>
        <v>0</v>
      </c>
      <c r="N58" s="46">
        <f t="shared" si="3"/>
        <v>0</v>
      </c>
      <c r="O58" s="46">
        <f t="shared" si="3"/>
        <v>0</v>
      </c>
      <c r="P58" s="46">
        <f t="shared" si="3"/>
        <v>0</v>
      </c>
      <c r="Q58" s="46">
        <f t="shared" si="3"/>
        <v>0</v>
      </c>
      <c r="R58" s="46">
        <f t="shared" si="3"/>
        <v>0</v>
      </c>
      <c r="S58" s="46">
        <f t="shared" si="3"/>
        <v>0</v>
      </c>
      <c r="T58" s="46">
        <f t="shared" si="3"/>
        <v>0</v>
      </c>
      <c r="U58" s="46">
        <f t="shared" si="3"/>
        <v>0</v>
      </c>
      <c r="V58" s="46">
        <f t="shared" si="3"/>
        <v>0</v>
      </c>
      <c r="W58" s="46">
        <f t="shared" si="3"/>
        <v>0</v>
      </c>
      <c r="X58" s="46">
        <f t="shared" si="3"/>
        <v>0</v>
      </c>
      <c r="Y58" s="46">
        <f t="shared" si="3"/>
        <v>0</v>
      </c>
    </row>
    <row r="59" spans="1:25" x14ac:dyDescent="0.2">
      <c r="A59" s="39" t="s">
        <v>173</v>
      </c>
      <c r="B59" s="47">
        <f t="shared" ref="B59:Y59" si="4">B5</f>
        <v>5.7350000000000003</v>
      </c>
      <c r="C59" s="47">
        <f t="shared" si="4"/>
        <v>0</v>
      </c>
      <c r="D59" s="47">
        <f t="shared" si="4"/>
        <v>23.411000000000001</v>
      </c>
      <c r="E59" s="47">
        <f t="shared" si="4"/>
        <v>24.361999999999998</v>
      </c>
      <c r="F59" s="47">
        <f t="shared" si="4"/>
        <v>33.817999999999998</v>
      </c>
      <c r="G59" s="47">
        <f t="shared" si="4"/>
        <v>268.077</v>
      </c>
      <c r="H59" s="47">
        <f t="shared" si="4"/>
        <v>176.024</v>
      </c>
      <c r="I59" s="47">
        <f t="shared" si="4"/>
        <v>226.57499999999999</v>
      </c>
      <c r="J59" s="47">
        <f t="shared" si="4"/>
        <v>252.21100000000001</v>
      </c>
      <c r="K59" s="47">
        <f t="shared" si="4"/>
        <v>183.309</v>
      </c>
      <c r="L59" s="47">
        <f t="shared" si="4"/>
        <v>358.43400000000003</v>
      </c>
      <c r="M59" s="47">
        <f t="shared" si="4"/>
        <v>508.79899999999998</v>
      </c>
      <c r="N59" s="47">
        <f t="shared" si="4"/>
        <v>777.70600000000002</v>
      </c>
      <c r="O59" s="47">
        <f t="shared" si="4"/>
        <v>791.83399999999995</v>
      </c>
      <c r="P59" s="47">
        <f t="shared" si="4"/>
        <v>889.50199999999995</v>
      </c>
      <c r="Q59" s="47">
        <f t="shared" si="4"/>
        <v>904.17600000000004</v>
      </c>
      <c r="R59" s="47">
        <f t="shared" si="4"/>
        <v>1506.567</v>
      </c>
      <c r="S59" s="47">
        <f t="shared" si="4"/>
        <v>1300.521</v>
      </c>
      <c r="T59" s="47">
        <f t="shared" si="4"/>
        <v>1421.4490000000001</v>
      </c>
      <c r="U59" s="47">
        <f t="shared" si="4"/>
        <v>993.19600000000003</v>
      </c>
      <c r="V59" s="47">
        <f t="shared" si="4"/>
        <v>457.815</v>
      </c>
      <c r="W59" s="47">
        <f t="shared" si="4"/>
        <v>0</v>
      </c>
      <c r="X59" s="47">
        <f t="shared" si="4"/>
        <v>0</v>
      </c>
      <c r="Y59" s="47">
        <f t="shared" si="4"/>
        <v>0</v>
      </c>
    </row>
    <row r="60" spans="1:25" x14ac:dyDescent="0.2">
      <c r="A60" s="39" t="s">
        <v>174</v>
      </c>
      <c r="B60" s="39">
        <f t="shared" ref="B60:Y60" si="5">SUM(B55:B58)-B59</f>
        <v>30.889000000000003</v>
      </c>
      <c r="C60" s="39">
        <f t="shared" si="5"/>
        <v>0</v>
      </c>
      <c r="D60" s="39">
        <f t="shared" si="5"/>
        <v>733.80600000000004</v>
      </c>
      <c r="E60" s="39">
        <f t="shared" si="5"/>
        <v>801.35</v>
      </c>
      <c r="F60" s="39">
        <f t="shared" si="5"/>
        <v>591.20299999999997</v>
      </c>
      <c r="G60" s="39">
        <f t="shared" si="5"/>
        <v>420.1</v>
      </c>
      <c r="H60" s="39">
        <f t="shared" si="5"/>
        <v>710.74199999999996</v>
      </c>
      <c r="I60" s="39">
        <f t="shared" si="5"/>
        <v>2116.3390000000004</v>
      </c>
      <c r="J60" s="39">
        <f t="shared" si="5"/>
        <v>2130.1080000000002</v>
      </c>
      <c r="K60" s="39">
        <f t="shared" si="5"/>
        <v>2096.6379999999999</v>
      </c>
      <c r="L60" s="39">
        <f t="shared" si="5"/>
        <v>2013.6949999999999</v>
      </c>
      <c r="M60" s="39">
        <f t="shared" si="5"/>
        <v>1712.3919999999998</v>
      </c>
      <c r="N60" s="39">
        <f t="shared" si="5"/>
        <v>1703.1849999999999</v>
      </c>
      <c r="O60" s="39">
        <f t="shared" si="5"/>
        <v>1600.9720000000002</v>
      </c>
      <c r="P60" s="39">
        <f t="shared" si="5"/>
        <v>1589.6030000000001</v>
      </c>
      <c r="Q60" s="39">
        <f t="shared" si="5"/>
        <v>1504.8319999999999</v>
      </c>
      <c r="R60" s="39">
        <f t="shared" si="5"/>
        <v>1652.7889999999998</v>
      </c>
      <c r="S60" s="39">
        <f t="shared" si="5"/>
        <v>1775.3640000000003</v>
      </c>
      <c r="T60" s="39">
        <f t="shared" si="5"/>
        <v>2726.5349999999994</v>
      </c>
      <c r="U60" s="39">
        <f t="shared" si="5"/>
        <v>2642.4</v>
      </c>
      <c r="V60" s="39">
        <f t="shared" si="5"/>
        <v>3430.2829999999999</v>
      </c>
      <c r="W60" s="39">
        <f t="shared" si="5"/>
        <v>0</v>
      </c>
      <c r="X60" s="39">
        <f t="shared" si="5"/>
        <v>0</v>
      </c>
      <c r="Y60" s="39">
        <f t="shared" si="5"/>
        <v>0</v>
      </c>
    </row>
    <row r="61" spans="1:25" x14ac:dyDescent="0.2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DCF</vt:lpstr>
      <vt:lpstr>WACC</vt:lpstr>
      <vt:lpstr>IS -23</vt:lpstr>
      <vt:lpstr>CS -23</vt:lpstr>
      <vt:lpstr>BS -23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2025-01-13T16:49:49Z</dcterms:created>
  <dcterms:modified xsi:type="dcterms:W3CDTF">2025-01-15T20:35:47Z</dcterms:modified>
</cp:coreProperties>
</file>