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\Documents\RUB\01_Projekte\StEAM\Programme\steam\Data\Transport\data_input\sector_coupling\"/>
    </mc:Choice>
  </mc:AlternateContent>
  <xr:revisionPtr revIDLastSave="0" documentId="8_{03B5EF87-93A4-4317-8450-B3CBE67A4EC1}" xr6:coauthVersionLast="47" xr6:coauthVersionMax="47" xr10:uidLastSave="{00000000-0000-0000-0000-000000000000}"/>
  <bookViews>
    <workbookView xWindow="57480" yWindow="-4725" windowWidth="29040" windowHeight="15720" xr2:uid="{49EEE5D7-115E-4AEC-AAC0-A0F0FA6737BE}"/>
  </bookViews>
  <sheets>
    <sheet name="H2 to electric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1" l="1"/>
  <c r="K137" i="1"/>
  <c r="G80" i="1"/>
  <c r="F80" i="1"/>
  <c r="E80" i="1"/>
  <c r="D80" i="1"/>
  <c r="C80" i="1"/>
  <c r="AI71" i="1"/>
  <c r="AH71" i="1"/>
  <c r="AG71" i="1"/>
  <c r="AF71" i="1"/>
  <c r="AE71" i="1"/>
  <c r="AI65" i="1"/>
  <c r="AH65" i="1"/>
  <c r="AG65" i="1"/>
  <c r="AF65" i="1"/>
  <c r="AE65" i="1"/>
  <c r="AB53" i="1"/>
  <c r="T53" i="1"/>
  <c r="M53" i="1"/>
  <c r="AI52" i="1"/>
  <c r="AB52" i="1"/>
  <c r="T52" i="1"/>
  <c r="P52" i="1"/>
  <c r="M52" i="1"/>
  <c r="L52" i="1"/>
  <c r="I52" i="1"/>
  <c r="AB51" i="1"/>
  <c r="T51" i="1"/>
  <c r="S51" i="1"/>
  <c r="M51" i="1"/>
  <c r="L51" i="1"/>
  <c r="K51" i="1"/>
  <c r="I51" i="1"/>
  <c r="N50" i="1"/>
  <c r="G50" i="1"/>
  <c r="S49" i="1"/>
  <c r="R49" i="1"/>
  <c r="Q49" i="1"/>
  <c r="P49" i="1"/>
  <c r="O49" i="1"/>
  <c r="N49" i="1"/>
  <c r="AA48" i="1"/>
  <c r="Z48" i="1"/>
  <c r="Y48" i="1"/>
  <c r="X48" i="1"/>
  <c r="W48" i="1"/>
  <c r="V48" i="1"/>
  <c r="U48" i="1"/>
  <c r="S48" i="1"/>
  <c r="S53" i="1" s="1"/>
  <c r="Q48" i="1"/>
  <c r="Q51" i="1" s="1"/>
  <c r="P48" i="1"/>
  <c r="P51" i="1" s="1"/>
  <c r="O48" i="1"/>
  <c r="O51" i="1" s="1"/>
  <c r="L48" i="1"/>
  <c r="L53" i="1" s="1"/>
  <c r="K48" i="1"/>
  <c r="K53" i="1" s="1"/>
  <c r="J48" i="1"/>
  <c r="J51" i="1" s="1"/>
  <c r="I48" i="1"/>
  <c r="I53" i="1" s="1"/>
  <c r="H48" i="1"/>
  <c r="H52" i="1" s="1"/>
  <c r="G48" i="1"/>
  <c r="N48" i="1" s="1"/>
  <c r="AH47" i="1"/>
  <c r="AG47" i="1"/>
  <c r="AF47" i="1"/>
  <c r="AE47" i="1"/>
  <c r="AD47" i="1"/>
  <c r="AC47" i="1"/>
  <c r="AB47" i="1"/>
  <c r="S47" i="1"/>
  <c r="Q47" i="1"/>
  <c r="O47" i="1"/>
  <c r="M47" i="1"/>
  <c r="G47" i="1"/>
  <c r="AH46" i="1"/>
  <c r="AG46" i="1"/>
  <c r="AF46" i="1"/>
  <c r="AE46" i="1"/>
  <c r="AD46" i="1"/>
  <c r="AC46" i="1"/>
  <c r="AB46" i="1"/>
  <c r="R46" i="1"/>
  <c r="Q46" i="1"/>
  <c r="P46" i="1"/>
  <c r="M46" i="1"/>
  <c r="J46" i="1"/>
  <c r="H46" i="1"/>
  <c r="G46" i="1"/>
  <c r="AH45" i="1"/>
  <c r="AG45" i="1"/>
  <c r="AF45" i="1"/>
  <c r="AE45" i="1"/>
  <c r="AD45" i="1"/>
  <c r="AC45" i="1"/>
  <c r="AB45" i="1"/>
  <c r="S45" i="1"/>
  <c r="Q45" i="1"/>
  <c r="O45" i="1"/>
  <c r="M45" i="1"/>
  <c r="G45" i="1"/>
  <c r="L44" i="1"/>
  <c r="L47" i="1" s="1"/>
  <c r="K44" i="1"/>
  <c r="K47" i="1" s="1"/>
  <c r="J44" i="1"/>
  <c r="J45" i="1" s="1"/>
  <c r="H44" i="1"/>
  <c r="L43" i="1"/>
  <c r="L45" i="1" s="1"/>
  <c r="K43" i="1"/>
  <c r="K45" i="1" s="1"/>
  <c r="J43" i="1"/>
  <c r="J47" i="1" s="1"/>
  <c r="I43" i="1"/>
  <c r="I46" i="1" s="1"/>
  <c r="H43" i="1"/>
  <c r="H47" i="1" s="1"/>
  <c r="T42" i="1"/>
  <c r="T47" i="1" s="1"/>
  <c r="S42" i="1"/>
  <c r="S46" i="1" s="1"/>
  <c r="R42" i="1"/>
  <c r="R47" i="1" s="1"/>
  <c r="Q42" i="1"/>
  <c r="P42" i="1"/>
  <c r="P47" i="1" s="1"/>
  <c r="O42" i="1"/>
  <c r="O46" i="1" s="1"/>
  <c r="N42" i="1"/>
  <c r="N45" i="1" s="1"/>
  <c r="AB40" i="1"/>
  <c r="T40" i="1"/>
  <c r="M40" i="1"/>
  <c r="L40" i="1"/>
  <c r="J40" i="1"/>
  <c r="AI39" i="1"/>
  <c r="AB39" i="1"/>
  <c r="T39" i="1"/>
  <c r="M39" i="1"/>
  <c r="L39" i="1"/>
  <c r="J39" i="1"/>
  <c r="AB38" i="1"/>
  <c r="M38" i="1"/>
  <c r="L38" i="1"/>
  <c r="K38" i="1"/>
  <c r="J38" i="1"/>
  <c r="N37" i="1"/>
  <c r="G37" i="1"/>
  <c r="T36" i="1"/>
  <c r="T38" i="1" s="1"/>
  <c r="S36" i="1"/>
  <c r="R36" i="1"/>
  <c r="Q36" i="1"/>
  <c r="P36" i="1"/>
  <c r="O36" i="1"/>
  <c r="N36" i="1"/>
  <c r="AA35" i="1"/>
  <c r="Z35" i="1"/>
  <c r="Y35" i="1"/>
  <c r="X35" i="1"/>
  <c r="W35" i="1"/>
  <c r="V35" i="1"/>
  <c r="U35" i="1"/>
  <c r="R35" i="1"/>
  <c r="R38" i="1" s="1"/>
  <c r="Q35" i="1"/>
  <c r="Q38" i="1" s="1"/>
  <c r="P35" i="1"/>
  <c r="P39" i="1" s="1"/>
  <c r="L35" i="1"/>
  <c r="S35" i="1" s="1"/>
  <c r="K35" i="1"/>
  <c r="K40" i="1" s="1"/>
  <c r="J35" i="1"/>
  <c r="I35" i="1"/>
  <c r="I38" i="1" s="1"/>
  <c r="H35" i="1"/>
  <c r="O35" i="1" s="1"/>
  <c r="G35" i="1"/>
  <c r="G38" i="1" s="1"/>
  <c r="AH34" i="1"/>
  <c r="AG34" i="1"/>
  <c r="AF34" i="1"/>
  <c r="AE34" i="1"/>
  <c r="AD34" i="1"/>
  <c r="AC34" i="1"/>
  <c r="AB34" i="1"/>
  <c r="T34" i="1"/>
  <c r="R34" i="1"/>
  <c r="P34" i="1"/>
  <c r="M34" i="1"/>
  <c r="G34" i="1"/>
  <c r="AH33" i="1"/>
  <c r="AG33" i="1"/>
  <c r="AF33" i="1"/>
  <c r="AE33" i="1"/>
  <c r="AD33" i="1"/>
  <c r="AC33" i="1"/>
  <c r="AB33" i="1"/>
  <c r="S33" i="1"/>
  <c r="R33" i="1"/>
  <c r="Q33" i="1"/>
  <c r="M33" i="1"/>
  <c r="K33" i="1"/>
  <c r="I33" i="1"/>
  <c r="G33" i="1"/>
  <c r="AH32" i="1"/>
  <c r="AG32" i="1"/>
  <c r="AF32" i="1"/>
  <c r="AE32" i="1"/>
  <c r="AD32" i="1"/>
  <c r="AC32" i="1"/>
  <c r="AB32" i="1"/>
  <c r="T32" i="1"/>
  <c r="R32" i="1"/>
  <c r="P32" i="1"/>
  <c r="O32" i="1"/>
  <c r="N32" i="1"/>
  <c r="M32" i="1"/>
  <c r="G32" i="1"/>
  <c r="L31" i="1"/>
  <c r="L34" i="1" s="1"/>
  <c r="K31" i="1"/>
  <c r="K32" i="1" s="1"/>
  <c r="J31" i="1"/>
  <c r="H31" i="1"/>
  <c r="L30" i="1"/>
  <c r="L32" i="1" s="1"/>
  <c r="K30" i="1"/>
  <c r="K34" i="1" s="1"/>
  <c r="J30" i="1"/>
  <c r="J33" i="1" s="1"/>
  <c r="I30" i="1"/>
  <c r="I34" i="1" s="1"/>
  <c r="H30" i="1"/>
  <c r="H33" i="1" s="1"/>
  <c r="T29" i="1"/>
  <c r="T33" i="1" s="1"/>
  <c r="S29" i="1"/>
  <c r="S34" i="1" s="1"/>
  <c r="R29" i="1"/>
  <c r="Q29" i="1"/>
  <c r="Q34" i="1" s="1"/>
  <c r="P29" i="1"/>
  <c r="P33" i="1" s="1"/>
  <c r="O29" i="1"/>
  <c r="O33" i="1" s="1"/>
  <c r="N29" i="1"/>
  <c r="N33" i="1" s="1"/>
  <c r="AB27" i="1"/>
  <c r="M27" i="1"/>
  <c r="K27" i="1"/>
  <c r="AI26" i="1"/>
  <c r="AB26" i="1"/>
  <c r="M26" i="1"/>
  <c r="K26" i="1"/>
  <c r="AB25" i="1"/>
  <c r="M25" i="1"/>
  <c r="L25" i="1"/>
  <c r="N24" i="1"/>
  <c r="G24" i="1"/>
  <c r="G27" i="1" s="1"/>
  <c r="T23" i="1"/>
  <c r="T27" i="1" s="1"/>
  <c r="S23" i="1"/>
  <c r="R23" i="1"/>
  <c r="Q23" i="1"/>
  <c r="P23" i="1"/>
  <c r="O23" i="1"/>
  <c r="N23" i="1"/>
  <c r="AA22" i="1"/>
  <c r="Z22" i="1"/>
  <c r="Y22" i="1"/>
  <c r="X22" i="1"/>
  <c r="W22" i="1"/>
  <c r="V22" i="1"/>
  <c r="U22" i="1"/>
  <c r="S22" i="1"/>
  <c r="S25" i="1" s="1"/>
  <c r="R22" i="1"/>
  <c r="R25" i="1" s="1"/>
  <c r="Q22" i="1"/>
  <c r="Q26" i="1" s="1"/>
  <c r="L22" i="1"/>
  <c r="L27" i="1" s="1"/>
  <c r="K22" i="1"/>
  <c r="K25" i="1" s="1"/>
  <c r="J22" i="1"/>
  <c r="J25" i="1" s="1"/>
  <c r="I22" i="1"/>
  <c r="P22" i="1" s="1"/>
  <c r="H22" i="1"/>
  <c r="H25" i="1" s="1"/>
  <c r="G22" i="1"/>
  <c r="N22" i="1" s="1"/>
  <c r="AH21" i="1"/>
  <c r="AG21" i="1"/>
  <c r="AF21" i="1"/>
  <c r="AE21" i="1"/>
  <c r="AD21" i="1"/>
  <c r="AC21" i="1"/>
  <c r="AB21" i="1"/>
  <c r="S21" i="1"/>
  <c r="Q21" i="1"/>
  <c r="M21" i="1"/>
  <c r="G21" i="1"/>
  <c r="AH20" i="1"/>
  <c r="AG20" i="1"/>
  <c r="AF20" i="1"/>
  <c r="AE20" i="1"/>
  <c r="AD20" i="1"/>
  <c r="AC20" i="1"/>
  <c r="AB20" i="1"/>
  <c r="T20" i="1"/>
  <c r="S20" i="1"/>
  <c r="R20" i="1"/>
  <c r="M20" i="1"/>
  <c r="L20" i="1"/>
  <c r="K20" i="1"/>
  <c r="J20" i="1"/>
  <c r="G20" i="1"/>
  <c r="AH19" i="1"/>
  <c r="AG19" i="1"/>
  <c r="AF19" i="1"/>
  <c r="AE19" i="1"/>
  <c r="AD19" i="1"/>
  <c r="AC19" i="1"/>
  <c r="AB19" i="1"/>
  <c r="S19" i="1"/>
  <c r="Q19" i="1"/>
  <c r="P19" i="1"/>
  <c r="O19" i="1"/>
  <c r="M19" i="1"/>
  <c r="H19" i="1"/>
  <c r="G19" i="1"/>
  <c r="L18" i="1"/>
  <c r="K18" i="1"/>
  <c r="J18" i="1"/>
  <c r="H18" i="1"/>
  <c r="H20" i="1" s="1"/>
  <c r="L17" i="1"/>
  <c r="L21" i="1" s="1"/>
  <c r="K17" i="1"/>
  <c r="K21" i="1" s="1"/>
  <c r="J17" i="1"/>
  <c r="J21" i="1" s="1"/>
  <c r="I17" i="1"/>
  <c r="I20" i="1" s="1"/>
  <c r="H17" i="1"/>
  <c r="H21" i="1" s="1"/>
  <c r="T16" i="1"/>
  <c r="T21" i="1" s="1"/>
  <c r="S16" i="1"/>
  <c r="R16" i="1"/>
  <c r="R21" i="1" s="1"/>
  <c r="Q16" i="1"/>
  <c r="Q20" i="1" s="1"/>
  <c r="P16" i="1"/>
  <c r="P20" i="1" s="1"/>
  <c r="O16" i="1"/>
  <c r="O20" i="1" s="1"/>
  <c r="N16" i="1"/>
  <c r="N21" i="1" s="1"/>
  <c r="AB14" i="1"/>
  <c r="T14" i="1"/>
  <c r="O14" i="1"/>
  <c r="M14" i="1"/>
  <c r="H14" i="1"/>
  <c r="AI13" i="1"/>
  <c r="AB13" i="1"/>
  <c r="T13" i="1"/>
  <c r="O13" i="1"/>
  <c r="M13" i="1"/>
  <c r="H13" i="1"/>
  <c r="AB12" i="1"/>
  <c r="T12" i="1"/>
  <c r="O12" i="1"/>
  <c r="M12" i="1"/>
  <c r="I12" i="1"/>
  <c r="N11" i="1"/>
  <c r="G11" i="1"/>
  <c r="G14" i="1" s="1"/>
  <c r="AA9" i="1"/>
  <c r="Z9" i="1"/>
  <c r="Y9" i="1"/>
  <c r="X9" i="1"/>
  <c r="W9" i="1"/>
  <c r="V9" i="1"/>
  <c r="U9" i="1"/>
  <c r="S9" i="1"/>
  <c r="S12" i="1" s="1"/>
  <c r="O9" i="1"/>
  <c r="L9" i="1"/>
  <c r="L12" i="1" s="1"/>
  <c r="K9" i="1"/>
  <c r="R9" i="1" s="1"/>
  <c r="J9" i="1"/>
  <c r="J14" i="1" s="1"/>
  <c r="I9" i="1"/>
  <c r="P9" i="1" s="1"/>
  <c r="H9" i="1"/>
  <c r="H12" i="1" s="1"/>
  <c r="G9" i="1"/>
  <c r="N9" i="1" s="1"/>
  <c r="AH8" i="1"/>
  <c r="AG8" i="1"/>
  <c r="AF8" i="1"/>
  <c r="AE8" i="1"/>
  <c r="AD8" i="1"/>
  <c r="AC8" i="1"/>
  <c r="AB8" i="1"/>
  <c r="T8" i="1"/>
  <c r="M8" i="1"/>
  <c r="I8" i="1"/>
  <c r="H8" i="1"/>
  <c r="G8" i="1"/>
  <c r="AH7" i="1"/>
  <c r="AG7" i="1"/>
  <c r="AF7" i="1"/>
  <c r="AE7" i="1"/>
  <c r="AD7" i="1"/>
  <c r="AC7" i="1"/>
  <c r="AB7" i="1"/>
  <c r="T7" i="1"/>
  <c r="R7" i="1"/>
  <c r="N7" i="1"/>
  <c r="M7" i="1"/>
  <c r="L7" i="1"/>
  <c r="J7" i="1"/>
  <c r="G7" i="1"/>
  <c r="AH6" i="1"/>
  <c r="AG6" i="1"/>
  <c r="AF6" i="1"/>
  <c r="AE6" i="1"/>
  <c r="AD6" i="1"/>
  <c r="AC6" i="1"/>
  <c r="AB6" i="1"/>
  <c r="T6" i="1"/>
  <c r="S6" i="1"/>
  <c r="R6" i="1"/>
  <c r="Q6" i="1"/>
  <c r="M6" i="1"/>
  <c r="J6" i="1"/>
  <c r="I6" i="1"/>
  <c r="G6" i="1"/>
  <c r="L5" i="1"/>
  <c r="K5" i="1"/>
  <c r="J5" i="1"/>
  <c r="H5" i="1"/>
  <c r="H7" i="1" s="1"/>
  <c r="L4" i="1"/>
  <c r="L8" i="1" s="1"/>
  <c r="K4" i="1"/>
  <c r="K7" i="1" s="1"/>
  <c r="J4" i="1"/>
  <c r="J8" i="1" s="1"/>
  <c r="I4" i="1"/>
  <c r="I7" i="1" s="1"/>
  <c r="H4" i="1"/>
  <c r="H6" i="1" s="1"/>
  <c r="S3" i="1"/>
  <c r="S7" i="1" s="1"/>
  <c r="R3" i="1"/>
  <c r="R8" i="1" s="1"/>
  <c r="Q3" i="1"/>
  <c r="Q7" i="1" s="1"/>
  <c r="P3" i="1"/>
  <c r="P8" i="1" s="1"/>
  <c r="O3" i="1"/>
  <c r="O6" i="1" s="1"/>
  <c r="N3" i="1"/>
  <c r="N8" i="1" s="1"/>
  <c r="N12" i="1" l="1"/>
  <c r="N14" i="1"/>
  <c r="N13" i="1"/>
  <c r="N27" i="1"/>
  <c r="N26" i="1"/>
  <c r="N25" i="1"/>
  <c r="S40" i="1"/>
  <c r="S39" i="1"/>
  <c r="S38" i="1"/>
  <c r="P14" i="1"/>
  <c r="P13" i="1"/>
  <c r="P12" i="1"/>
  <c r="P25" i="1"/>
  <c r="P27" i="1"/>
  <c r="P26" i="1"/>
  <c r="N53" i="1"/>
  <c r="N51" i="1"/>
  <c r="N52" i="1"/>
  <c r="R14" i="1"/>
  <c r="R12" i="1"/>
  <c r="R13" i="1"/>
  <c r="O38" i="1"/>
  <c r="O40" i="1"/>
  <c r="O39" i="1"/>
  <c r="O8" i="1"/>
  <c r="Q8" i="1"/>
  <c r="O21" i="1"/>
  <c r="G26" i="1"/>
  <c r="H32" i="1"/>
  <c r="N34" i="1"/>
  <c r="L6" i="1"/>
  <c r="O7" i="1"/>
  <c r="I13" i="1"/>
  <c r="I14" i="1"/>
  <c r="J19" i="1"/>
  <c r="R19" i="1"/>
  <c r="P21" i="1"/>
  <c r="G25" i="1"/>
  <c r="H26" i="1"/>
  <c r="H27" i="1"/>
  <c r="I32" i="1"/>
  <c r="Q32" i="1"/>
  <c r="L33" i="1"/>
  <c r="O34" i="1"/>
  <c r="G39" i="1"/>
  <c r="G40" i="1"/>
  <c r="H45" i="1"/>
  <c r="P45" i="1"/>
  <c r="K46" i="1"/>
  <c r="N47" i="1"/>
  <c r="R48" i="1"/>
  <c r="G52" i="1"/>
  <c r="O52" i="1"/>
  <c r="G53" i="1"/>
  <c r="O53" i="1"/>
  <c r="H53" i="1"/>
  <c r="P53" i="1"/>
  <c r="T25" i="1"/>
  <c r="G13" i="1"/>
  <c r="K6" i="1"/>
  <c r="K8" i="1"/>
  <c r="I21" i="1"/>
  <c r="I27" i="1"/>
  <c r="H39" i="1"/>
  <c r="P40" i="1"/>
  <c r="I45" i="1"/>
  <c r="L46" i="1"/>
  <c r="N6" i="1"/>
  <c r="J12" i="1"/>
  <c r="K13" i="1"/>
  <c r="S13" i="1"/>
  <c r="K14" i="1"/>
  <c r="S14" i="1"/>
  <c r="L19" i="1"/>
  <c r="T19" i="1"/>
  <c r="I25" i="1"/>
  <c r="Q25" i="1"/>
  <c r="J26" i="1"/>
  <c r="R26" i="1"/>
  <c r="J27" i="1"/>
  <c r="R27" i="1"/>
  <c r="S32" i="1"/>
  <c r="H38" i="1"/>
  <c r="P38" i="1"/>
  <c r="I39" i="1"/>
  <c r="Q39" i="1"/>
  <c r="I40" i="1"/>
  <c r="Q40" i="1"/>
  <c r="R45" i="1"/>
  <c r="H51" i="1"/>
  <c r="Q52" i="1"/>
  <c r="Q53" i="1"/>
  <c r="G12" i="1"/>
  <c r="I19" i="1"/>
  <c r="P7" i="1"/>
  <c r="S8" i="1"/>
  <c r="J13" i="1"/>
  <c r="K19" i="1"/>
  <c r="N20" i="1"/>
  <c r="I26" i="1"/>
  <c r="Q27" i="1"/>
  <c r="J32" i="1"/>
  <c r="H40" i="1"/>
  <c r="G51" i="1"/>
  <c r="Q9" i="1"/>
  <c r="K12" i="1"/>
  <c r="L13" i="1"/>
  <c r="L14" i="1"/>
  <c r="O22" i="1"/>
  <c r="S26" i="1"/>
  <c r="S27" i="1"/>
  <c r="J34" i="1"/>
  <c r="N35" i="1"/>
  <c r="R39" i="1"/>
  <c r="R40" i="1"/>
  <c r="N46" i="1"/>
  <c r="I47" i="1"/>
  <c r="J52" i="1"/>
  <c r="J53" i="1"/>
  <c r="H34" i="1"/>
  <c r="T46" i="1"/>
  <c r="P6" i="1"/>
  <c r="N19" i="1"/>
  <c r="L26" i="1"/>
  <c r="T26" i="1"/>
  <c r="K39" i="1"/>
  <c r="T45" i="1"/>
  <c r="K52" i="1"/>
  <c r="S52" i="1"/>
  <c r="O26" i="1" l="1"/>
  <c r="O27" i="1"/>
  <c r="O25" i="1"/>
  <c r="R51" i="1"/>
  <c r="R53" i="1"/>
  <c r="R52" i="1"/>
  <c r="N38" i="1"/>
  <c r="N40" i="1"/>
  <c r="N39" i="1"/>
  <c r="Q12" i="1"/>
  <c r="Q14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tc={C494397D-5FAE-4AF1-9755-42C808E1CB3A}</author>
    <author>tc={59EA4CEB-58E3-42FF-91B1-D40CA75A5D0A}</author>
    <author>tc={D22CCB6A-31D6-492C-8174-1780DD60CAFC}</author>
    <author>tc={59EE52AA-0385-4D30-AA75-BADC4D25513C}</author>
    <author>tc={87FA482F-CD58-4CE0-9EFE-B68A2140F7C5}</author>
    <author>tc={06BE7790-A31D-4C3E-BC67-A17CCAB723F9}</author>
    <author>tc={F72C3D26-46D7-436B-8D26-F86FB0135E9B}</author>
    <author>tc={6679EB77-0766-4CE0-BA76-5B53D472717E}</author>
  </authors>
  <commentList>
    <comment ref="H4" authorId="0" shapeId="0" xr:uid="{C494397D-5FAE-4AF1-9755-42C808E1CB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J5" authorId="1" shapeId="0" xr:uid="{59EA4CEB-58E3-42FF-91B1-D40CA75A5D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H17" authorId="2" shapeId="0" xr:uid="{D22CCB6A-31D6-492C-8174-1780DD60CA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J18" authorId="3" shapeId="0" xr:uid="{59EE52AA-0385-4D30-AA75-BADC4D2551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H30" authorId="4" shapeId="0" xr:uid="{87FA482F-CD58-4CE0-9EFE-B68A2140F7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J31" authorId="5" shapeId="0" xr:uid="{06BE7790-A31D-4C3E-BC67-A17CCAB723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H43" authorId="6" shapeId="0" xr:uid="{F72C3D26-46D7-436B-8D26-F86FB0135E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  <comment ref="J44" authorId="7" shapeId="0" xr:uid="{6679EB77-0766-4CE0-BA76-5B53D47271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Kostensenkung wie bei Pypsa angenommen</t>
      </text>
    </comment>
  </commentList>
</comments>
</file>

<file path=xl/sharedStrings.xml><?xml version="1.0" encoding="utf-8"?>
<sst xmlns="http://schemas.openxmlformats.org/spreadsheetml/2006/main" count="122" uniqueCount="39">
  <si>
    <t>Raum</t>
  </si>
  <si>
    <t>Technologie</t>
  </si>
  <si>
    <t>Referenzdaten</t>
  </si>
  <si>
    <t>Invest [€/kW]</t>
  </si>
  <si>
    <t>Fixe Betriebkosten [€/kWa]</t>
  </si>
  <si>
    <t>Variable Betriebskosten [€/kWh]</t>
  </si>
  <si>
    <t>Effizienz [%]</t>
  </si>
  <si>
    <t>Lebensdauer [a]</t>
  </si>
  <si>
    <t>Kommentar</t>
  </si>
  <si>
    <t>NR</t>
  </si>
  <si>
    <t>Kürzel</t>
  </si>
  <si>
    <t>Veröffentl.</t>
  </si>
  <si>
    <t>Link</t>
  </si>
  <si>
    <t>Global</t>
  </si>
  <si>
    <t>Fuel Cell</t>
  </si>
  <si>
    <t>PyPSA</t>
  </si>
  <si>
    <t>Irena</t>
  </si>
  <si>
    <t>US dep</t>
  </si>
  <si>
    <t>FOM-Faktoren</t>
  </si>
  <si>
    <t>min.</t>
  </si>
  <si>
    <t>Europa</t>
  </si>
  <si>
    <t>Median</t>
  </si>
  <si>
    <t>Amerika</t>
  </si>
  <si>
    <t>max.</t>
  </si>
  <si>
    <t>Asien</t>
  </si>
  <si>
    <t>H2-OCGT</t>
  </si>
  <si>
    <t>Agora</t>
  </si>
  <si>
    <t>ECA</t>
  </si>
  <si>
    <t xml:space="preserve">stationary fuel cells are significantly more expensive than mobile ones (e.g. used in FCEVs) </t>
  </si>
  <si>
    <t>most papers only state the costs for mobile systems</t>
  </si>
  <si>
    <t>Invests: H2 OCGT in 2025 ca.50% and in 2050 ca. 25% more expensive</t>
  </si>
  <si>
    <t>FOM</t>
  </si>
  <si>
    <t>Costs</t>
  </si>
  <si>
    <t>ETN Global</t>
  </si>
  <si>
    <t>Decrease to 2020</t>
  </si>
  <si>
    <t>Invests for H2 in compariosn to NG 25% more expensive</t>
  </si>
  <si>
    <t>FOM 50% more expensive</t>
  </si>
  <si>
    <t>2020: 1€ / 1,1422 $</t>
  </si>
  <si>
    <t>2018=2020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</si>
</sst>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64"/>
      <name val="Aptos Narrow"/>
      <family val="2"/>
      <scheme val="minor"/>
    </font>
    <font>
      <sz val="9"/>
      <color indexed="81"/>
      <name val="Segoe UI"/>
      <charset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0" xfId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/>
    <xf numFmtId="0" fontId="1" fillId="3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9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2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11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0" borderId="0" xfId="0" applyNumberFormat="1"/>
    <xf numFmtId="0" fontId="1" fillId="7" borderId="1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7" borderId="11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11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2" fillId="8" borderId="0" xfId="1" applyFill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" fontId="0" fillId="8" borderId="9" xfId="0" applyNumberFormat="1" applyFill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8" borderId="4" xfId="0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1" fontId="0" fillId="9" borderId="11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2" fontId="0" fillId="9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9" xfId="0" applyFill="1" applyBorder="1" applyAlignment="1">
      <alignment horizontal="center"/>
    </xf>
    <xf numFmtId="1" fontId="0" fillId="11" borderId="9" xfId="0" applyNumberFormat="1" applyFill="1" applyBorder="1" applyAlignment="1">
      <alignment horizontal="center"/>
    </xf>
    <xf numFmtId="165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11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1" fillId="11" borderId="6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1" borderId="5" xfId="0" applyNumberFormat="1" applyFill="1" applyBorder="1" applyAlignment="1">
      <alignment horizontal="center"/>
    </xf>
    <xf numFmtId="1" fontId="0" fillId="11" borderId="7" xfId="0" applyNumberFormat="1" applyFill="1" applyBorder="1" applyAlignment="1">
      <alignment horizontal="center"/>
    </xf>
    <xf numFmtId="1" fontId="0" fillId="11" borderId="8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2" borderId="9" xfId="0" applyFill="1" applyBorder="1" applyAlignment="1">
      <alignment horizontal="center"/>
    </xf>
    <xf numFmtId="1" fontId="0" fillId="12" borderId="9" xfId="0" applyNumberFormat="1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0" fontId="0" fillId="12" borderId="0" xfId="0" applyFill="1"/>
    <xf numFmtId="0" fontId="1" fillId="13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1" fontId="0" fillId="11" borderId="10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/>
    </xf>
    <xf numFmtId="0" fontId="1" fillId="15" borderId="2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/>
    </xf>
    <xf numFmtId="0" fontId="0" fillId="16" borderId="0" xfId="0" applyFill="1" applyAlignment="1">
      <alignment horizontal="center"/>
    </xf>
    <xf numFmtId="0" fontId="2" fillId="16" borderId="0" xfId="1" applyFill="1" applyAlignment="1">
      <alignment horizontal="center"/>
    </xf>
    <xf numFmtId="49" fontId="0" fillId="0" borderId="0" xfId="0" applyNumberFormat="1"/>
    <xf numFmtId="0" fontId="2" fillId="0" borderId="0" xfId="1" applyFill="1"/>
    <xf numFmtId="2" fontId="0" fillId="0" borderId="0" xfId="0" applyNumberFormat="1"/>
    <xf numFmtId="0" fontId="0" fillId="17" borderId="0" xfId="0" applyFill="1"/>
    <xf numFmtId="0" fontId="2" fillId="17" borderId="0" xfId="1" applyFill="1"/>
    <xf numFmtId="0" fontId="3" fillId="0" borderId="0" xfId="0" applyFont="1" applyAlignment="1">
      <alignment horizont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2" fillId="17" borderId="0" xfId="1" applyFill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70555</xdr:colOff>
      <xdr:row>61</xdr:row>
      <xdr:rowOff>70556</xdr:rowOff>
    </xdr:from>
    <xdr:to>
      <xdr:col>8</xdr:col>
      <xdr:colOff>276812</xdr:colOff>
      <xdr:row>67</xdr:row>
      <xdr:rowOff>135210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5C8B80C-9012-4A2D-8981-72ECF678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380" y="11297356"/>
          <a:ext cx="5664082" cy="11536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9</xdr:col>
      <xdr:colOff>476969</xdr:colOff>
      <xdr:row>112</xdr:row>
      <xdr:rowOff>95200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20C4F33-5008-4F18-B4FA-E4C67C48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6840200"/>
          <a:ext cx="6058619" cy="37147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823149</xdr:colOff>
      <xdr:row>59</xdr:row>
      <xdr:rowOff>105833</xdr:rowOff>
    </xdr:from>
    <xdr:to>
      <xdr:col>29</xdr:col>
      <xdr:colOff>103969</xdr:colOff>
      <xdr:row>63</xdr:row>
      <xdr:rowOff>39137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ABAD796-2012-4C24-9E35-15D3B15E3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7799" y="10970683"/>
          <a:ext cx="13958845" cy="66037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58</xdr:row>
      <xdr:rowOff>58796</xdr:rowOff>
    </xdr:from>
    <xdr:to>
      <xdr:col>29</xdr:col>
      <xdr:colOff>86206</xdr:colOff>
      <xdr:row>59</xdr:row>
      <xdr:rowOff>102456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62A1DC8-D7DA-4D3F-913B-56AFFA742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77300" y="10745846"/>
          <a:ext cx="13875231" cy="227810"/>
        </a:xfrm>
        <a:prstGeom prst="rect">
          <a:avLst/>
        </a:prstGeom>
      </xdr:spPr>
    </xdr:pic>
    <xdr:clientData/>
  </xdr:twoCellAnchor>
  <xdr:twoCellAnchor editAs="oneCell">
    <xdr:from>
      <xdr:col>10</xdr:col>
      <xdr:colOff>764352</xdr:colOff>
      <xdr:row>80</xdr:row>
      <xdr:rowOff>70555</xdr:rowOff>
    </xdr:from>
    <xdr:to>
      <xdr:col>18</xdr:col>
      <xdr:colOff>274683</xdr:colOff>
      <xdr:row>117</xdr:row>
      <xdr:rowOff>2288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8EDF823-C963-470C-9E53-4C0AEA65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827" y="14735880"/>
          <a:ext cx="6057181" cy="6626127"/>
        </a:xfrm>
        <a:prstGeom prst="rect">
          <a:avLst/>
        </a:prstGeom>
      </xdr:spPr>
    </xdr:pic>
    <xdr:clientData/>
  </xdr:twoCellAnchor>
  <xdr:twoCellAnchor editAs="oneCell">
    <xdr:from>
      <xdr:col>1</xdr:col>
      <xdr:colOff>129352</xdr:colOff>
      <xdr:row>119</xdr:row>
      <xdr:rowOff>105834</xdr:rowOff>
    </xdr:from>
    <xdr:to>
      <xdr:col>7</xdr:col>
      <xdr:colOff>179635</xdr:colOff>
      <xdr:row>123</xdr:row>
      <xdr:rowOff>115348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70DDC1-682C-41AD-A4E6-3E92B1691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8177" y="21829184"/>
          <a:ext cx="4752458" cy="736589"/>
        </a:xfrm>
        <a:prstGeom prst="rect">
          <a:avLst/>
        </a:prstGeom>
      </xdr:spPr>
    </xdr:pic>
    <xdr:clientData/>
  </xdr:twoCellAnchor>
  <xdr:twoCellAnchor editAs="oneCell">
    <xdr:from>
      <xdr:col>2</xdr:col>
      <xdr:colOff>188148</xdr:colOff>
      <xdr:row>69</xdr:row>
      <xdr:rowOff>23519</xdr:rowOff>
    </xdr:from>
    <xdr:to>
      <xdr:col>8</xdr:col>
      <xdr:colOff>161081</xdr:colOff>
      <xdr:row>74</xdr:row>
      <xdr:rowOff>160038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15B5F00-4452-4992-BFF4-46434739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2148" y="12704469"/>
          <a:ext cx="4671933" cy="1041394"/>
        </a:xfrm>
        <a:prstGeom prst="rect">
          <a:avLst/>
        </a:prstGeom>
      </xdr:spPr>
    </xdr:pic>
    <xdr:clientData/>
  </xdr:twoCellAnchor>
  <xdr:twoCellAnchor editAs="oneCell">
    <xdr:from>
      <xdr:col>11</xdr:col>
      <xdr:colOff>23519</xdr:colOff>
      <xdr:row>63</xdr:row>
      <xdr:rowOff>141111</xdr:rowOff>
    </xdr:from>
    <xdr:to>
      <xdr:col>29</xdr:col>
      <xdr:colOff>189112</xdr:colOff>
      <xdr:row>67</xdr:row>
      <xdr:rowOff>122045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E169C3D-D721-4F3E-9A6A-897799A6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3994" y="11736211"/>
          <a:ext cx="13954618" cy="7048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8</xdr:col>
      <xdr:colOff>597389</xdr:colOff>
      <xdr:row>138</xdr:row>
      <xdr:rowOff>65079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1E9E877-6EC0-4B88-8AAA-59F5B537C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24079200"/>
          <a:ext cx="6058389" cy="11541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delt, Marcel" id="{A65DD7D3-F312-4DF8-BE0B-68F1687A3658}" userId="S::Marcel.Erdelt@ruhr-uni-bochum.de::2272ef89-8e00-4503-83a4-be6903c9fa0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3-11-03T15:42:19.91" personId="{A65DD7D3-F312-4DF8-BE0B-68F1687A3658}" id="{C494397D-5FAE-4AF1-9755-42C808E1CB3A}">
    <text>Kostensenkung wie bei Pypsa angenommen</text>
  </threadedComment>
  <threadedComment ref="J5" dT="2023-11-03T15:42:38.43" personId="{A65DD7D3-F312-4DF8-BE0B-68F1687A3658}" id="{59EA4CEB-58E3-42FF-91B1-D40CA75A5D0A}">
    <text>Kostensenkung wie bei Pypsa angenommen</text>
  </threadedComment>
  <threadedComment ref="H17" dT="2023-11-03T15:42:19.91" personId="{A65DD7D3-F312-4DF8-BE0B-68F1687A3658}" id="{D22CCB6A-31D6-492C-8174-1780DD60CAFC}">
    <text>Kostensenkung wie bei Pypsa angenommen</text>
  </threadedComment>
  <threadedComment ref="J18" dT="2023-11-03T15:42:38.43" personId="{A65DD7D3-F312-4DF8-BE0B-68F1687A3658}" id="{59EE52AA-0385-4D30-AA75-BADC4D25513C}">
    <text>Kostensenkung wie bei Pypsa angenommen</text>
  </threadedComment>
  <threadedComment ref="H30" dT="2023-11-03T15:42:19.91" personId="{A65DD7D3-F312-4DF8-BE0B-68F1687A3658}" id="{87FA482F-CD58-4CE0-9EFE-B68A2140F7C5}">
    <text>Kostensenkung wie bei Pypsa angenommen</text>
  </threadedComment>
  <threadedComment ref="J31" dT="2023-11-03T15:42:38.43" personId="{A65DD7D3-F312-4DF8-BE0B-68F1687A3658}" id="{06BE7790-A31D-4C3E-BC67-A17CCAB723F9}">
    <text>Kostensenkung wie bei Pypsa angenommen</text>
  </threadedComment>
  <threadedComment ref="H43" dT="2023-11-03T15:42:19.91" personId="{A65DD7D3-F312-4DF8-BE0B-68F1687A3658}" id="{F72C3D26-46D7-436B-8D26-F86FB0135E9B}">
    <text>Kostensenkung wie bei Pypsa angenommen</text>
  </threadedComment>
  <threadedComment ref="J44" dT="2023-11-03T15:42:38.43" personId="{A65DD7D3-F312-4DF8-BE0B-68F1687A3658}" id="{6679EB77-0766-4CE0-BA76-5B53D472717E}">
    <text>Kostensenkung wie bei Pypsa angenommen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static.agora-energiewende.de/fileadmin/Projekte/2021/2021_04_KNDE45/2021-09-08_Klimaneutrales_Deutschland_2045_Datenanhang_1.0.xls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rena.org/-/media/Files/IRENA/Agency/Publication/2022/Apr/IRENA_Global_Trade_Hydrogen_2022.pdf" TargetMode="External"/><Relationship Id="rId1" Type="http://schemas.openxmlformats.org/officeDocument/2006/relationships/hyperlink" Target="https://github.com/PyPSA/technology-data/tree/master/outputs" TargetMode="External"/><Relationship Id="rId6" Type="http://schemas.openxmlformats.org/officeDocument/2006/relationships/hyperlink" Target="https://www.pnnl.gov/sites/default/files/media/file/Hydrogen_Methodology.pdf" TargetMode="External"/><Relationship Id="rId5" Type="http://schemas.openxmlformats.org/officeDocument/2006/relationships/hyperlink" Target="https://www.google.de/url?sa=t&amp;rct=j&amp;q=&amp;esrc=s&amp;source=web&amp;cd=&amp;ved=2ahUKEwjVkLSV86eCAxVk_7sIHZGgA9oQFnoECBEQAQ&amp;url=https%3A%2F%2Fwww.energy-community.org%2Fdam%2Fjcr%3A246c60e5-ddca-4e7a-be46-138b8bea5c49%2FECA_E4tech_H2_part2.pdf&amp;usg=AOvVaw3cViPbilk7bgCt7Dq4MKN4&amp;opi=89978449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etn.global/wp-content/uploads/2022/06/H2-deployment-in-centralised-power-generation-techno-economic-study-April2022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271E-BFDC-454A-817E-8A17AE95E81F}">
  <sheetPr>
    <tabColor theme="4" tint="0.39997558519241921"/>
  </sheetPr>
  <dimension ref="A1:AN260"/>
  <sheetViews>
    <sheetView tabSelected="1" zoomScale="85" zoomScaleNormal="85" workbookViewId="0">
      <selection activeCell="F23" sqref="F23"/>
    </sheetView>
  </sheetViews>
  <sheetFormatPr baseColWidth="10" defaultRowHeight="14.5" x14ac:dyDescent="0.35"/>
  <cols>
    <col min="7" max="7" width="12.6328125" bestFit="1" customWidth="1"/>
    <col min="9" max="10" width="12.6328125" bestFit="1" customWidth="1"/>
    <col min="11" max="11" width="12.6328125" customWidth="1"/>
    <col min="12" max="12" width="11.6328125" bestFit="1" customWidth="1"/>
    <col min="13" max="13" width="12.6328125" customWidth="1"/>
    <col min="14" max="14" width="11.453125" bestFit="1" customWidth="1"/>
    <col min="16" max="17" width="11.453125" bestFit="1" customWidth="1"/>
    <col min="18" max="18" width="11.453125" customWidth="1"/>
    <col min="19" max="19" width="11.453125" bestFit="1" customWidth="1"/>
    <col min="20" max="20" width="11.453125" customWidth="1"/>
    <col min="28" max="31" width="8.6328125" customWidth="1"/>
    <col min="32" max="32" width="11.453125" customWidth="1"/>
    <col min="33" max="34" width="8.6328125" customWidth="1"/>
    <col min="35" max="35" width="14.6328125" customWidth="1"/>
    <col min="36" max="36" width="50.6328125" customWidth="1"/>
  </cols>
  <sheetData>
    <row r="1" spans="1:40" x14ac:dyDescent="0.35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4"/>
      <c r="K1" s="4"/>
      <c r="L1" s="4"/>
      <c r="M1" s="5"/>
      <c r="N1" s="1" t="s">
        <v>4</v>
      </c>
      <c r="O1" s="6"/>
      <c r="P1" s="6"/>
      <c r="Q1" s="6"/>
      <c r="R1" s="6"/>
      <c r="S1" s="6"/>
      <c r="T1" s="7"/>
      <c r="U1" s="1" t="s">
        <v>5</v>
      </c>
      <c r="V1" s="6"/>
      <c r="W1" s="6"/>
      <c r="X1" s="6"/>
      <c r="Y1" s="6"/>
      <c r="Z1" s="6"/>
      <c r="AA1" s="7"/>
      <c r="AB1" s="1" t="s">
        <v>6</v>
      </c>
      <c r="AC1" s="6"/>
      <c r="AD1" s="6"/>
      <c r="AE1" s="6"/>
      <c r="AF1" s="6"/>
      <c r="AG1" s="6"/>
      <c r="AH1" s="7"/>
      <c r="AI1" s="7" t="s">
        <v>7</v>
      </c>
      <c r="AJ1" s="8" t="s">
        <v>8</v>
      </c>
    </row>
    <row r="2" spans="1:40" ht="15" thickBot="1" x14ac:dyDescent="0.4">
      <c r="A2" s="9"/>
      <c r="B2" s="10"/>
      <c r="C2" s="11" t="s">
        <v>9</v>
      </c>
      <c r="D2" s="11" t="s">
        <v>10</v>
      </c>
      <c r="E2" s="11" t="s">
        <v>11</v>
      </c>
      <c r="F2" s="11" t="s">
        <v>12</v>
      </c>
      <c r="G2" s="12">
        <v>2020</v>
      </c>
      <c r="H2" s="11">
        <v>2025</v>
      </c>
      <c r="I2" s="11">
        <v>2030</v>
      </c>
      <c r="J2" s="11">
        <v>2040</v>
      </c>
      <c r="K2" s="11">
        <v>2045</v>
      </c>
      <c r="L2" s="11">
        <v>2050</v>
      </c>
      <c r="M2" s="11">
        <v>2060</v>
      </c>
      <c r="N2" s="12">
        <v>2020</v>
      </c>
      <c r="O2" s="11">
        <v>2025</v>
      </c>
      <c r="P2" s="11">
        <v>2030</v>
      </c>
      <c r="Q2" s="11">
        <v>2040</v>
      </c>
      <c r="R2" s="11">
        <v>2045</v>
      </c>
      <c r="S2" s="11">
        <v>2050</v>
      </c>
      <c r="T2" s="11">
        <v>2060</v>
      </c>
      <c r="U2" s="12">
        <v>2020</v>
      </c>
      <c r="V2" s="11">
        <v>2025</v>
      </c>
      <c r="W2" s="11">
        <v>2030</v>
      </c>
      <c r="X2" s="11">
        <v>2040</v>
      </c>
      <c r="Y2" s="11">
        <v>2045</v>
      </c>
      <c r="Z2" s="11">
        <v>2050</v>
      </c>
      <c r="AA2" s="11">
        <v>2060</v>
      </c>
      <c r="AB2" s="12">
        <v>2020</v>
      </c>
      <c r="AC2" s="11">
        <v>2025</v>
      </c>
      <c r="AD2" s="11">
        <v>2030</v>
      </c>
      <c r="AE2" s="11">
        <v>2040</v>
      </c>
      <c r="AF2" s="11">
        <v>2045</v>
      </c>
      <c r="AG2" s="11">
        <v>2050</v>
      </c>
      <c r="AH2" s="13">
        <v>2060</v>
      </c>
      <c r="AI2" s="14"/>
      <c r="AJ2" s="15"/>
    </row>
    <row r="3" spans="1:40" x14ac:dyDescent="0.35">
      <c r="A3" s="16" t="s">
        <v>13</v>
      </c>
      <c r="B3" s="17" t="s">
        <v>14</v>
      </c>
      <c r="C3" s="18">
        <v>4</v>
      </c>
      <c r="D3" s="18" t="s">
        <v>15</v>
      </c>
      <c r="E3" s="18">
        <v>2022</v>
      </c>
      <c r="F3" s="19" t="s">
        <v>12</v>
      </c>
      <c r="G3" s="20">
        <v>1300</v>
      </c>
      <c r="H3" s="21">
        <v>1200</v>
      </c>
      <c r="I3" s="22">
        <v>1100</v>
      </c>
      <c r="J3" s="22">
        <v>950</v>
      </c>
      <c r="K3" s="21">
        <v>875</v>
      </c>
      <c r="L3" s="22">
        <v>800</v>
      </c>
      <c r="M3" s="23">
        <v>800</v>
      </c>
      <c r="N3" s="20">
        <f t="shared" ref="N3:S3" si="0">G3*0.05</f>
        <v>65</v>
      </c>
      <c r="O3" s="21">
        <f t="shared" si="0"/>
        <v>60</v>
      </c>
      <c r="P3" s="21">
        <f t="shared" si="0"/>
        <v>55</v>
      </c>
      <c r="Q3" s="21">
        <f t="shared" si="0"/>
        <v>47.5</v>
      </c>
      <c r="R3" s="21">
        <f t="shared" si="0"/>
        <v>43.75</v>
      </c>
      <c r="S3" s="21">
        <f t="shared" si="0"/>
        <v>40</v>
      </c>
      <c r="T3" s="23">
        <v>40</v>
      </c>
      <c r="U3" s="24"/>
      <c r="V3" s="25"/>
      <c r="W3" s="25"/>
      <c r="X3" s="25"/>
      <c r="Y3" s="25"/>
      <c r="Z3" s="25"/>
      <c r="AA3" s="25"/>
      <c r="AB3" s="26">
        <v>50</v>
      </c>
      <c r="AC3" s="27">
        <v>50</v>
      </c>
      <c r="AD3" s="27">
        <v>50</v>
      </c>
      <c r="AE3" s="27">
        <v>50</v>
      </c>
      <c r="AF3" s="27">
        <v>50</v>
      </c>
      <c r="AG3" s="27">
        <v>50</v>
      </c>
      <c r="AH3" s="28">
        <v>50</v>
      </c>
      <c r="AI3" s="29">
        <v>10</v>
      </c>
      <c r="AJ3" s="30"/>
    </row>
    <row r="4" spans="1:40" x14ac:dyDescent="0.35">
      <c r="A4" s="31"/>
      <c r="B4" s="32"/>
      <c r="C4" s="33">
        <v>11</v>
      </c>
      <c r="D4" s="33" t="s">
        <v>16</v>
      </c>
      <c r="E4" s="33">
        <v>2022</v>
      </c>
      <c r="F4" s="19" t="s">
        <v>12</v>
      </c>
      <c r="G4" s="34">
        <v>1500</v>
      </c>
      <c r="H4" s="35">
        <f>$G$4*C80</f>
        <v>1384.6153846153848</v>
      </c>
      <c r="I4" s="35">
        <f t="shared" ref="I4:L4" si="1">$G$4*D80</f>
        <v>1269.2307692307693</v>
      </c>
      <c r="J4" s="35">
        <f t="shared" si="1"/>
        <v>1096.1538461538462</v>
      </c>
      <c r="K4" s="35">
        <f t="shared" si="1"/>
        <v>1009.6153846153846</v>
      </c>
      <c r="L4" s="35">
        <f t="shared" si="1"/>
        <v>923.07692307692309</v>
      </c>
      <c r="M4" s="35">
        <v>923.07692307692309</v>
      </c>
      <c r="N4" s="34"/>
      <c r="O4" s="36"/>
      <c r="P4" s="36"/>
      <c r="Q4" s="36"/>
      <c r="R4" s="36"/>
      <c r="S4" s="37"/>
      <c r="T4" s="36"/>
      <c r="U4" s="38"/>
      <c r="V4" s="39"/>
      <c r="W4" s="39"/>
      <c r="X4" s="39"/>
      <c r="Y4" s="39"/>
      <c r="Z4" s="39"/>
      <c r="AA4" s="39"/>
      <c r="AB4" s="40">
        <v>56</v>
      </c>
      <c r="AC4" s="41">
        <v>56</v>
      </c>
      <c r="AD4" s="42">
        <v>56</v>
      </c>
      <c r="AE4" s="41">
        <v>56</v>
      </c>
      <c r="AF4" s="41">
        <v>56</v>
      </c>
      <c r="AG4" s="42">
        <v>56</v>
      </c>
      <c r="AH4" s="43">
        <v>56</v>
      </c>
      <c r="AI4" s="44"/>
      <c r="AJ4" s="30"/>
    </row>
    <row r="5" spans="1:40" ht="15" thickBot="1" x14ac:dyDescent="0.4">
      <c r="A5" s="31"/>
      <c r="B5" s="32"/>
      <c r="C5" s="33"/>
      <c r="D5" s="33" t="s">
        <v>17</v>
      </c>
      <c r="E5" s="33">
        <v>2020</v>
      </c>
      <c r="F5" s="19" t="s">
        <v>12</v>
      </c>
      <c r="G5" s="34">
        <v>975</v>
      </c>
      <c r="H5" s="35">
        <f>(G5+I5)/2</f>
        <v>945</v>
      </c>
      <c r="I5" s="37">
        <v>915</v>
      </c>
      <c r="J5" s="35">
        <f>$G$5*E80</f>
        <v>712.5</v>
      </c>
      <c r="K5" s="35">
        <f t="shared" ref="K5:L5" si="2">$G$5*F80</f>
        <v>656.25</v>
      </c>
      <c r="L5" s="35">
        <f t="shared" si="2"/>
        <v>600</v>
      </c>
      <c r="M5" s="35">
        <v>600</v>
      </c>
      <c r="N5" s="45"/>
      <c r="O5" s="36"/>
      <c r="P5" s="36"/>
      <c r="Q5" s="36"/>
      <c r="R5" s="36"/>
      <c r="S5" s="36"/>
      <c r="T5" s="36"/>
      <c r="U5" s="38"/>
      <c r="V5" s="39"/>
      <c r="W5" s="39"/>
      <c r="X5" s="39"/>
      <c r="Y5" s="39"/>
      <c r="Z5" s="39"/>
      <c r="AA5" s="39"/>
      <c r="AB5" s="40"/>
      <c r="AC5" s="46"/>
      <c r="AD5" s="47"/>
      <c r="AE5" s="46"/>
      <c r="AF5" s="46"/>
      <c r="AG5" s="47"/>
      <c r="AH5" s="48"/>
      <c r="AI5" s="44"/>
      <c r="AJ5" s="30"/>
      <c r="AM5" t="s">
        <v>18</v>
      </c>
    </row>
    <row r="6" spans="1:40" x14ac:dyDescent="0.35">
      <c r="A6" s="31"/>
      <c r="B6" s="49" t="s">
        <v>19</v>
      </c>
      <c r="C6" s="50"/>
      <c r="D6" s="50"/>
      <c r="E6" s="50"/>
      <c r="F6" s="50"/>
      <c r="G6" s="51">
        <f t="shared" ref="G6:T6" si="3">MIN(G3:G5)</f>
        <v>975</v>
      </c>
      <c r="H6" s="52">
        <f t="shared" si="3"/>
        <v>945</v>
      </c>
      <c r="I6" s="52">
        <f t="shared" si="3"/>
        <v>915</v>
      </c>
      <c r="J6" s="52">
        <f t="shared" si="3"/>
        <v>712.5</v>
      </c>
      <c r="K6" s="52">
        <f t="shared" si="3"/>
        <v>656.25</v>
      </c>
      <c r="L6" s="52">
        <f t="shared" si="3"/>
        <v>600</v>
      </c>
      <c r="M6" s="52">
        <f t="shared" si="3"/>
        <v>600</v>
      </c>
      <c r="N6" s="51">
        <f t="shared" si="3"/>
        <v>65</v>
      </c>
      <c r="O6" s="52">
        <f t="shared" si="3"/>
        <v>60</v>
      </c>
      <c r="P6" s="52">
        <f t="shared" si="3"/>
        <v>55</v>
      </c>
      <c r="Q6" s="52">
        <f t="shared" si="3"/>
        <v>47.5</v>
      </c>
      <c r="R6" s="52">
        <f t="shared" si="3"/>
        <v>43.75</v>
      </c>
      <c r="S6" s="52">
        <f t="shared" si="3"/>
        <v>40</v>
      </c>
      <c r="T6" s="53">
        <f t="shared" si="3"/>
        <v>40</v>
      </c>
      <c r="U6" s="50"/>
      <c r="V6" s="50"/>
      <c r="W6" s="50"/>
      <c r="X6" s="50"/>
      <c r="Y6" s="50"/>
      <c r="Z6" s="50"/>
      <c r="AA6" s="50"/>
      <c r="AB6" s="51">
        <f t="shared" ref="AB6:AH6" si="4">MIN(AB3:AB5)</f>
        <v>50</v>
      </c>
      <c r="AC6" s="54">
        <f t="shared" si="4"/>
        <v>50</v>
      </c>
      <c r="AD6" s="54">
        <f t="shared" si="4"/>
        <v>50</v>
      </c>
      <c r="AE6" s="54">
        <f t="shared" si="4"/>
        <v>50</v>
      </c>
      <c r="AF6" s="54">
        <f t="shared" si="4"/>
        <v>50</v>
      </c>
      <c r="AG6" s="54">
        <f t="shared" si="4"/>
        <v>50</v>
      </c>
      <c r="AH6" s="55">
        <f t="shared" si="4"/>
        <v>50</v>
      </c>
      <c r="AI6" s="56"/>
      <c r="AJ6" s="30"/>
      <c r="AM6" t="s">
        <v>20</v>
      </c>
      <c r="AN6" s="57">
        <v>1.3486719798104709</v>
      </c>
    </row>
    <row r="7" spans="1:40" x14ac:dyDescent="0.35">
      <c r="A7" s="31"/>
      <c r="B7" s="58" t="s">
        <v>21</v>
      </c>
      <c r="C7" s="59"/>
      <c r="D7" s="59"/>
      <c r="E7" s="59"/>
      <c r="F7" s="59"/>
      <c r="G7" s="60">
        <f t="shared" ref="G7:T7" si="5">MEDIAN(G3:G5)</f>
        <v>1300</v>
      </c>
      <c r="H7" s="61">
        <f t="shared" si="5"/>
        <v>1200</v>
      </c>
      <c r="I7" s="61">
        <f t="shared" si="5"/>
        <v>1100</v>
      </c>
      <c r="J7" s="61">
        <f t="shared" si="5"/>
        <v>950</v>
      </c>
      <c r="K7" s="61">
        <f t="shared" si="5"/>
        <v>875</v>
      </c>
      <c r="L7" s="61">
        <f t="shared" si="5"/>
        <v>800</v>
      </c>
      <c r="M7" s="61">
        <f t="shared" si="5"/>
        <v>800</v>
      </c>
      <c r="N7" s="60">
        <f t="shared" si="5"/>
        <v>65</v>
      </c>
      <c r="O7" s="61">
        <f t="shared" si="5"/>
        <v>60</v>
      </c>
      <c r="P7" s="61">
        <f t="shared" si="5"/>
        <v>55</v>
      </c>
      <c r="Q7" s="61">
        <f t="shared" si="5"/>
        <v>47.5</v>
      </c>
      <c r="R7" s="61">
        <f t="shared" si="5"/>
        <v>43.75</v>
      </c>
      <c r="S7" s="61">
        <f t="shared" si="5"/>
        <v>40</v>
      </c>
      <c r="T7" s="62">
        <f t="shared" si="5"/>
        <v>40</v>
      </c>
      <c r="U7" s="59"/>
      <c r="V7" s="59"/>
      <c r="W7" s="59"/>
      <c r="X7" s="59"/>
      <c r="Y7" s="59"/>
      <c r="Z7" s="59"/>
      <c r="AA7" s="59"/>
      <c r="AB7" s="60">
        <f t="shared" ref="AB7:AH7" si="6">MEDIAN(AB3:AB5)</f>
        <v>53</v>
      </c>
      <c r="AC7" s="63">
        <f t="shared" si="6"/>
        <v>53</v>
      </c>
      <c r="AD7" s="63">
        <f t="shared" si="6"/>
        <v>53</v>
      </c>
      <c r="AE7" s="63">
        <f t="shared" si="6"/>
        <v>53</v>
      </c>
      <c r="AF7" s="63">
        <f t="shared" si="6"/>
        <v>53</v>
      </c>
      <c r="AG7" s="63">
        <f t="shared" si="6"/>
        <v>53</v>
      </c>
      <c r="AH7" s="64">
        <f t="shared" si="6"/>
        <v>53</v>
      </c>
      <c r="AI7" s="65"/>
      <c r="AJ7" s="30"/>
      <c r="AM7" t="s">
        <v>22</v>
      </c>
      <c r="AN7" s="57">
        <v>1.3374192380309164</v>
      </c>
    </row>
    <row r="8" spans="1:40" ht="15" thickBot="1" x14ac:dyDescent="0.4">
      <c r="A8" s="31"/>
      <c r="B8" s="66" t="s">
        <v>23</v>
      </c>
      <c r="C8" s="67"/>
      <c r="D8" s="67"/>
      <c r="E8" s="67"/>
      <c r="F8" s="67"/>
      <c r="G8" s="68">
        <f t="shared" ref="G8:T8" si="7">MAX(G3:G5)</f>
        <v>1500</v>
      </c>
      <c r="H8" s="69">
        <f t="shared" si="7"/>
        <v>1384.6153846153848</v>
      </c>
      <c r="I8" s="69">
        <f t="shared" si="7"/>
        <v>1269.2307692307693</v>
      </c>
      <c r="J8" s="69">
        <f t="shared" si="7"/>
        <v>1096.1538461538462</v>
      </c>
      <c r="K8" s="69">
        <f t="shared" si="7"/>
        <v>1009.6153846153846</v>
      </c>
      <c r="L8" s="69">
        <f t="shared" si="7"/>
        <v>923.07692307692309</v>
      </c>
      <c r="M8" s="69">
        <f t="shared" si="7"/>
        <v>923.07692307692309</v>
      </c>
      <c r="N8" s="68">
        <f t="shared" si="7"/>
        <v>65</v>
      </c>
      <c r="O8" s="69">
        <f t="shared" si="7"/>
        <v>60</v>
      </c>
      <c r="P8" s="69">
        <f t="shared" si="7"/>
        <v>55</v>
      </c>
      <c r="Q8" s="69">
        <f t="shared" si="7"/>
        <v>47.5</v>
      </c>
      <c r="R8" s="69">
        <f t="shared" si="7"/>
        <v>43.75</v>
      </c>
      <c r="S8" s="69">
        <f t="shared" si="7"/>
        <v>40</v>
      </c>
      <c r="T8" s="70">
        <f t="shared" si="7"/>
        <v>40</v>
      </c>
      <c r="U8" s="67"/>
      <c r="V8" s="67"/>
      <c r="W8" s="67"/>
      <c r="X8" s="67"/>
      <c r="Y8" s="67"/>
      <c r="Z8" s="67"/>
      <c r="AA8" s="67"/>
      <c r="AB8" s="68">
        <f t="shared" ref="AB8:AH8" si="8">MAX(AB3:AB5)</f>
        <v>56</v>
      </c>
      <c r="AC8" s="71">
        <f t="shared" si="8"/>
        <v>56</v>
      </c>
      <c r="AD8" s="71">
        <f t="shared" si="8"/>
        <v>56</v>
      </c>
      <c r="AE8" s="71">
        <f t="shared" si="8"/>
        <v>56</v>
      </c>
      <c r="AF8" s="71">
        <f t="shared" si="8"/>
        <v>56</v>
      </c>
      <c r="AG8" s="71">
        <f t="shared" si="8"/>
        <v>56</v>
      </c>
      <c r="AH8" s="72">
        <f t="shared" si="8"/>
        <v>56</v>
      </c>
      <c r="AI8" s="73"/>
      <c r="AJ8" s="30"/>
      <c r="AM8" t="s">
        <v>24</v>
      </c>
      <c r="AN8" s="57">
        <v>0.58296565349252727</v>
      </c>
    </row>
    <row r="9" spans="1:40" x14ac:dyDescent="0.35">
      <c r="A9" s="31"/>
      <c r="B9" s="74" t="s">
        <v>25</v>
      </c>
      <c r="C9" s="75">
        <v>4</v>
      </c>
      <c r="D9" s="75" t="s">
        <v>15</v>
      </c>
      <c r="E9" s="75">
        <v>2022</v>
      </c>
      <c r="F9" s="76" t="s">
        <v>12</v>
      </c>
      <c r="G9" s="77">
        <f>453.96*(1+AE65)</f>
        <v>685.06690909090901</v>
      </c>
      <c r="H9" s="78">
        <f>444.6*(1+AE65)</f>
        <v>670.94181818181823</v>
      </c>
      <c r="I9" s="79">
        <f>435.24*(1+AF65)</f>
        <v>609.33600000000001</v>
      </c>
      <c r="J9" s="79">
        <f>423.54*(1+AG65)</f>
        <v>531.35018181818191</v>
      </c>
      <c r="K9" s="79">
        <f>417.69*(1+AG65)</f>
        <v>524.01109090909097</v>
      </c>
      <c r="L9" s="78">
        <f>411.84*(1+AH65)</f>
        <v>516.67200000000003</v>
      </c>
      <c r="M9" s="23">
        <v>516.67200000000003</v>
      </c>
      <c r="N9" s="80">
        <f>G9*0.017772*(1+AE71)</f>
        <v>17.045012751709088</v>
      </c>
      <c r="O9" s="81">
        <f>H9*0.017784*(1+AE71)</f>
        <v>16.704841012363637</v>
      </c>
      <c r="P9" s="82">
        <f>I9*0.017795*(1+AF71)</f>
        <v>14.457512159999997</v>
      </c>
      <c r="Q9" s="82">
        <f>J9*0.017906*(1+AG71)</f>
        <v>11.417227626763637</v>
      </c>
      <c r="R9" s="82">
        <f>K9*0.017964*(1+AG71)</f>
        <v>11.296002284509091</v>
      </c>
      <c r="S9" s="78">
        <f>L9*0.018023*(1+AH71)</f>
        <v>11.174375347200002</v>
      </c>
      <c r="T9" s="23">
        <v>11.174375347200002</v>
      </c>
      <c r="U9" s="83">
        <f t="shared" ref="U9:AA9" si="9">4.5*10^-3</f>
        <v>4.5000000000000005E-3</v>
      </c>
      <c r="V9" s="75">
        <f t="shared" si="9"/>
        <v>4.5000000000000005E-3</v>
      </c>
      <c r="W9" s="75">
        <f t="shared" si="9"/>
        <v>4.5000000000000005E-3</v>
      </c>
      <c r="X9" s="75">
        <f t="shared" si="9"/>
        <v>4.5000000000000005E-3</v>
      </c>
      <c r="Y9" s="75">
        <f t="shared" si="9"/>
        <v>4.5000000000000005E-3</v>
      </c>
      <c r="Z9" s="75">
        <f t="shared" si="9"/>
        <v>4.5000000000000005E-3</v>
      </c>
      <c r="AA9" s="84">
        <f t="shared" si="9"/>
        <v>4.5000000000000005E-3</v>
      </c>
      <c r="AB9" s="85">
        <v>40</v>
      </c>
      <c r="AC9" s="86">
        <v>40.5</v>
      </c>
      <c r="AD9" s="87">
        <v>41</v>
      </c>
      <c r="AE9" s="87">
        <v>42</v>
      </c>
      <c r="AF9" s="86">
        <v>42.5</v>
      </c>
      <c r="AG9" s="88">
        <v>43</v>
      </c>
      <c r="AH9" s="43">
        <v>43</v>
      </c>
      <c r="AI9" s="89">
        <v>25</v>
      </c>
      <c r="AJ9" s="30"/>
    </row>
    <row r="10" spans="1:40" x14ac:dyDescent="0.35">
      <c r="A10" s="31"/>
      <c r="B10" s="90"/>
      <c r="C10" s="91">
        <v>5</v>
      </c>
      <c r="D10" s="91" t="s">
        <v>26</v>
      </c>
      <c r="E10" s="91">
        <v>2021</v>
      </c>
      <c r="F10" s="76" t="s">
        <v>12</v>
      </c>
      <c r="G10" s="92">
        <v>830</v>
      </c>
      <c r="H10" s="82">
        <v>830</v>
      </c>
      <c r="I10" s="82">
        <v>770</v>
      </c>
      <c r="J10" s="82">
        <v>690</v>
      </c>
      <c r="K10" s="82">
        <v>690</v>
      </c>
      <c r="L10" s="82">
        <v>690</v>
      </c>
      <c r="M10" s="81">
        <v>690</v>
      </c>
      <c r="N10" s="92">
        <v>21</v>
      </c>
      <c r="O10" s="82">
        <v>21</v>
      </c>
      <c r="P10" s="82">
        <v>20</v>
      </c>
      <c r="Q10" s="82">
        <v>19</v>
      </c>
      <c r="R10" s="82">
        <v>18</v>
      </c>
      <c r="S10" s="82">
        <v>18</v>
      </c>
      <c r="T10" s="93">
        <v>18</v>
      </c>
      <c r="U10" s="91"/>
      <c r="V10" s="91"/>
      <c r="W10" s="91"/>
      <c r="X10" s="91"/>
      <c r="Y10" s="91"/>
      <c r="Z10" s="91"/>
      <c r="AA10" s="91"/>
      <c r="AB10" s="85"/>
      <c r="AC10" s="87"/>
      <c r="AD10" s="87"/>
      <c r="AE10" s="87"/>
      <c r="AF10" s="87"/>
      <c r="AG10" s="87"/>
      <c r="AH10" s="94"/>
      <c r="AI10" s="95">
        <v>40</v>
      </c>
      <c r="AJ10" s="30"/>
    </row>
    <row r="11" spans="1:40" ht="15" thickBot="1" x14ac:dyDescent="0.4">
      <c r="A11" s="31"/>
      <c r="B11" s="90"/>
      <c r="C11" s="96"/>
      <c r="D11" s="96" t="s">
        <v>27</v>
      </c>
      <c r="E11" s="96">
        <v>2021</v>
      </c>
      <c r="F11" s="76" t="s">
        <v>12</v>
      </c>
      <c r="G11" s="80">
        <f>455</f>
        <v>455</v>
      </c>
      <c r="H11" s="81"/>
      <c r="I11" s="82"/>
      <c r="J11" s="81"/>
      <c r="K11" s="81"/>
      <c r="L11" s="82"/>
      <c r="M11" s="81"/>
      <c r="N11" s="97">
        <f>20.3</f>
        <v>20.3</v>
      </c>
      <c r="O11" s="81"/>
      <c r="P11" s="81"/>
      <c r="Q11" s="81"/>
      <c r="R11" s="81"/>
      <c r="S11" s="81"/>
      <c r="T11" s="81"/>
      <c r="U11" s="98"/>
      <c r="V11" s="91"/>
      <c r="W11" s="91"/>
      <c r="X11" s="91"/>
      <c r="Y11" s="91"/>
      <c r="Z11" s="91"/>
      <c r="AA11" s="91"/>
      <c r="AB11" s="85">
        <v>33.799999999999997</v>
      </c>
      <c r="AC11" s="88"/>
      <c r="AD11" s="87"/>
      <c r="AE11" s="88"/>
      <c r="AF11" s="88"/>
      <c r="AG11" s="87"/>
      <c r="AH11" s="94"/>
      <c r="AI11" s="99"/>
      <c r="AJ11" s="30"/>
    </row>
    <row r="12" spans="1:40" x14ac:dyDescent="0.35">
      <c r="A12" s="31"/>
      <c r="B12" s="100" t="s">
        <v>19</v>
      </c>
      <c r="C12" s="101"/>
      <c r="D12" s="101"/>
      <c r="E12" s="101"/>
      <c r="F12" s="101"/>
      <c r="G12" s="102">
        <f>MIN(G9:G11)</f>
        <v>455</v>
      </c>
      <c r="H12" s="103">
        <f t="shared" ref="H12:T12" si="10">MIN(H9:H11)</f>
        <v>670.94181818181823</v>
      </c>
      <c r="I12" s="103">
        <f t="shared" si="10"/>
        <v>609.33600000000001</v>
      </c>
      <c r="J12" s="103">
        <f t="shared" si="10"/>
        <v>531.35018181818191</v>
      </c>
      <c r="K12" s="103">
        <f t="shared" si="10"/>
        <v>524.01109090909097</v>
      </c>
      <c r="L12" s="103">
        <f t="shared" si="10"/>
        <v>516.67200000000003</v>
      </c>
      <c r="M12" s="103">
        <f t="shared" si="10"/>
        <v>516.67200000000003</v>
      </c>
      <c r="N12" s="102">
        <f t="shared" si="10"/>
        <v>17.045012751709088</v>
      </c>
      <c r="O12" s="103">
        <f t="shared" si="10"/>
        <v>16.704841012363637</v>
      </c>
      <c r="P12" s="103">
        <f t="shared" si="10"/>
        <v>14.457512159999997</v>
      </c>
      <c r="Q12" s="103">
        <f t="shared" si="10"/>
        <v>11.417227626763637</v>
      </c>
      <c r="R12" s="103">
        <f t="shared" si="10"/>
        <v>11.296002284509091</v>
      </c>
      <c r="S12" s="103">
        <f t="shared" si="10"/>
        <v>11.174375347200002</v>
      </c>
      <c r="T12" s="103">
        <f t="shared" si="10"/>
        <v>11.174375347200002</v>
      </c>
      <c r="U12" s="104"/>
      <c r="V12" s="101"/>
      <c r="W12" s="101"/>
      <c r="X12" s="101"/>
      <c r="Y12" s="101"/>
      <c r="Z12" s="101"/>
      <c r="AA12" s="101"/>
      <c r="AB12" s="105">
        <f t="shared" ref="AB12" si="11">MIN(AB9:AB11)</f>
        <v>33.799999999999997</v>
      </c>
      <c r="AC12" s="106"/>
      <c r="AD12" s="106"/>
      <c r="AE12" s="106"/>
      <c r="AF12" s="106"/>
      <c r="AG12" s="106"/>
      <c r="AH12" s="107"/>
      <c r="AI12" s="108"/>
      <c r="AJ12" s="30"/>
      <c r="AM12" s="57"/>
      <c r="AN12" s="57"/>
    </row>
    <row r="13" spans="1:40" x14ac:dyDescent="0.35">
      <c r="A13" s="31"/>
      <c r="B13" s="109" t="s">
        <v>21</v>
      </c>
      <c r="C13" s="110"/>
      <c r="D13" s="110"/>
      <c r="E13" s="110"/>
      <c r="F13" s="110"/>
      <c r="G13" s="111">
        <f>MEDIAN(G9:G11)</f>
        <v>685.06690909090901</v>
      </c>
      <c r="H13" s="112">
        <f t="shared" ref="H13:T13" si="12">MEDIAN(H9:H11)</f>
        <v>750.47090909090912</v>
      </c>
      <c r="I13" s="112">
        <f t="shared" si="12"/>
        <v>689.66800000000001</v>
      </c>
      <c r="J13" s="112">
        <f t="shared" si="12"/>
        <v>610.67509090909095</v>
      </c>
      <c r="K13" s="112">
        <f t="shared" si="12"/>
        <v>607.00554545454543</v>
      </c>
      <c r="L13" s="112">
        <f t="shared" si="12"/>
        <v>603.33600000000001</v>
      </c>
      <c r="M13" s="112">
        <f t="shared" si="12"/>
        <v>603.33600000000001</v>
      </c>
      <c r="N13" s="111">
        <f t="shared" si="12"/>
        <v>20.3</v>
      </c>
      <c r="O13" s="112">
        <f t="shared" si="12"/>
        <v>18.852420506181819</v>
      </c>
      <c r="P13" s="112">
        <f t="shared" si="12"/>
        <v>17.228756079999997</v>
      </c>
      <c r="Q13" s="112">
        <f t="shared" si="12"/>
        <v>15.208613813381819</v>
      </c>
      <c r="R13" s="112">
        <f t="shared" si="12"/>
        <v>14.648001142254547</v>
      </c>
      <c r="S13" s="112">
        <f t="shared" si="12"/>
        <v>14.587187673600001</v>
      </c>
      <c r="T13" s="112">
        <f t="shared" si="12"/>
        <v>14.587187673600001</v>
      </c>
      <c r="U13" s="113"/>
      <c r="V13" s="110"/>
      <c r="W13" s="110"/>
      <c r="X13" s="110"/>
      <c r="Y13" s="110"/>
      <c r="Z13" s="110"/>
      <c r="AA13" s="110"/>
      <c r="AB13" s="114">
        <f t="shared" ref="AB13" si="13">MEDIAN(AB9:AB11)</f>
        <v>36.9</v>
      </c>
      <c r="AC13" s="115">
        <v>37.5</v>
      </c>
      <c r="AD13" s="116">
        <v>38</v>
      </c>
      <c r="AE13" s="116">
        <v>39</v>
      </c>
      <c r="AF13" s="115">
        <v>39.5</v>
      </c>
      <c r="AG13" s="116">
        <v>40</v>
      </c>
      <c r="AH13" s="117">
        <v>40</v>
      </c>
      <c r="AI13" s="118">
        <f t="shared" ref="AI13" si="14">MEDIAN(AI9:AI11)</f>
        <v>32.5</v>
      </c>
      <c r="AJ13" s="30"/>
    </row>
    <row r="14" spans="1:40" ht="15" thickBot="1" x14ac:dyDescent="0.4">
      <c r="A14" s="31"/>
      <c r="B14" s="119" t="s">
        <v>23</v>
      </c>
      <c r="C14" s="120"/>
      <c r="D14" s="120"/>
      <c r="E14" s="120"/>
      <c r="F14" s="120"/>
      <c r="G14" s="121">
        <f>MAX(G9:G11)</f>
        <v>830</v>
      </c>
      <c r="H14" s="122">
        <f t="shared" ref="H14:T14" si="15">MAX(H9:H11)</f>
        <v>830</v>
      </c>
      <c r="I14" s="122">
        <f t="shared" si="15"/>
        <v>770</v>
      </c>
      <c r="J14" s="122">
        <f t="shared" si="15"/>
        <v>690</v>
      </c>
      <c r="K14" s="122">
        <f t="shared" si="15"/>
        <v>690</v>
      </c>
      <c r="L14" s="122">
        <f t="shared" si="15"/>
        <v>690</v>
      </c>
      <c r="M14" s="122">
        <f t="shared" si="15"/>
        <v>690</v>
      </c>
      <c r="N14" s="121">
        <f t="shared" si="15"/>
        <v>21</v>
      </c>
      <c r="O14" s="122">
        <f t="shared" si="15"/>
        <v>21</v>
      </c>
      <c r="P14" s="122">
        <f t="shared" si="15"/>
        <v>20</v>
      </c>
      <c r="Q14" s="122">
        <f t="shared" si="15"/>
        <v>19</v>
      </c>
      <c r="R14" s="122">
        <f t="shared" si="15"/>
        <v>18</v>
      </c>
      <c r="S14" s="122">
        <f t="shared" si="15"/>
        <v>18</v>
      </c>
      <c r="T14" s="122">
        <f t="shared" si="15"/>
        <v>18</v>
      </c>
      <c r="U14" s="123"/>
      <c r="V14" s="120"/>
      <c r="W14" s="120"/>
      <c r="X14" s="120"/>
      <c r="Y14" s="120"/>
      <c r="Z14" s="120"/>
      <c r="AA14" s="120"/>
      <c r="AB14" s="124">
        <f t="shared" ref="AB14" si="16">MAX(AB9:AB11)</f>
        <v>40</v>
      </c>
      <c r="AC14" s="125"/>
      <c r="AD14" s="125"/>
      <c r="AE14" s="125"/>
      <c r="AF14" s="125"/>
      <c r="AG14" s="125"/>
      <c r="AH14" s="126"/>
      <c r="AI14" s="127"/>
      <c r="AJ14" s="30"/>
    </row>
    <row r="15" spans="1:40" ht="15" thickBot="1" x14ac:dyDescent="0.4">
      <c r="A15" s="128"/>
      <c r="B15" s="129"/>
      <c r="C15" s="130"/>
      <c r="D15" s="130"/>
      <c r="E15" s="130"/>
      <c r="F15" s="130"/>
      <c r="G15" s="131"/>
      <c r="H15" s="132"/>
      <c r="I15" s="132"/>
      <c r="J15" s="132"/>
      <c r="K15" s="132"/>
      <c r="L15" s="132"/>
      <c r="M15" s="132"/>
      <c r="N15" s="131"/>
      <c r="O15" s="132"/>
      <c r="P15" s="132"/>
      <c r="Q15" s="132"/>
      <c r="R15" s="132"/>
      <c r="S15" s="132"/>
      <c r="T15" s="132"/>
      <c r="U15" s="133"/>
      <c r="V15" s="130"/>
      <c r="W15" s="130"/>
      <c r="X15" s="130"/>
      <c r="Y15" s="130"/>
      <c r="Z15" s="130"/>
      <c r="AA15" s="130"/>
      <c r="AB15" s="134"/>
      <c r="AC15" s="135"/>
      <c r="AD15" s="135"/>
      <c r="AE15" s="135"/>
      <c r="AF15" s="135"/>
      <c r="AG15" s="135"/>
      <c r="AH15" s="136"/>
      <c r="AI15" s="136"/>
      <c r="AJ15" s="137"/>
    </row>
    <row r="16" spans="1:40" x14ac:dyDescent="0.35">
      <c r="A16" s="138" t="s">
        <v>20</v>
      </c>
      <c r="B16" s="32"/>
      <c r="C16" s="18">
        <v>4</v>
      </c>
      <c r="D16" s="18" t="s">
        <v>15</v>
      </c>
      <c r="E16" s="18">
        <v>2022</v>
      </c>
      <c r="F16" s="19" t="s">
        <v>12</v>
      </c>
      <c r="G16" s="20">
        <v>1300</v>
      </c>
      <c r="H16" s="21">
        <v>1200</v>
      </c>
      <c r="I16" s="22">
        <v>1100</v>
      </c>
      <c r="J16" s="22">
        <v>950</v>
      </c>
      <c r="K16" s="21">
        <v>875</v>
      </c>
      <c r="L16" s="22">
        <v>800</v>
      </c>
      <c r="M16" s="23">
        <v>800</v>
      </c>
      <c r="N16" s="20">
        <f t="shared" ref="N16:S16" si="17">G16*0.05*$AN$6</f>
        <v>87.663678687680616</v>
      </c>
      <c r="O16" s="21">
        <f t="shared" si="17"/>
        <v>80.920318788628251</v>
      </c>
      <c r="P16" s="21">
        <f t="shared" si="17"/>
        <v>74.1769588895759</v>
      </c>
      <c r="Q16" s="21">
        <f t="shared" si="17"/>
        <v>64.061919040997367</v>
      </c>
      <c r="R16" s="21">
        <f t="shared" si="17"/>
        <v>59.0043991167081</v>
      </c>
      <c r="S16" s="21">
        <f t="shared" si="17"/>
        <v>53.946879192418834</v>
      </c>
      <c r="T16" s="23">
        <f>40*$AN$6</f>
        <v>53.946879192418834</v>
      </c>
      <c r="U16" s="24"/>
      <c r="V16" s="25"/>
      <c r="W16" s="25"/>
      <c r="X16" s="25"/>
      <c r="Y16" s="25"/>
      <c r="Z16" s="25"/>
      <c r="AA16" s="25"/>
      <c r="AB16" s="26">
        <v>50</v>
      </c>
      <c r="AC16" s="27">
        <v>50</v>
      </c>
      <c r="AD16" s="27">
        <v>50</v>
      </c>
      <c r="AE16" s="27">
        <v>50</v>
      </c>
      <c r="AF16" s="27">
        <v>50</v>
      </c>
      <c r="AG16" s="27">
        <v>50</v>
      </c>
      <c r="AH16" s="28">
        <v>50</v>
      </c>
      <c r="AI16" s="29">
        <v>10</v>
      </c>
      <c r="AJ16" s="30"/>
    </row>
    <row r="17" spans="1:40" x14ac:dyDescent="0.35">
      <c r="A17" s="138"/>
      <c r="B17" s="32"/>
      <c r="C17" s="33">
        <v>11</v>
      </c>
      <c r="D17" s="33" t="s">
        <v>16</v>
      </c>
      <c r="E17" s="33">
        <v>2022</v>
      </c>
      <c r="F17" s="19" t="s">
        <v>12</v>
      </c>
      <c r="G17" s="34">
        <v>1500</v>
      </c>
      <c r="H17" s="35">
        <f>$G$4*C93</f>
        <v>0</v>
      </c>
      <c r="I17" s="35">
        <f t="shared" ref="I17:L17" si="18">$G$4*D93</f>
        <v>0</v>
      </c>
      <c r="J17" s="35">
        <f t="shared" si="18"/>
        <v>0</v>
      </c>
      <c r="K17" s="35">
        <f t="shared" si="18"/>
        <v>0</v>
      </c>
      <c r="L17" s="35">
        <f t="shared" si="18"/>
        <v>0</v>
      </c>
      <c r="M17" s="35">
        <v>923.07692307692309</v>
      </c>
      <c r="N17" s="34"/>
      <c r="O17" s="36"/>
      <c r="P17" s="36"/>
      <c r="Q17" s="36"/>
      <c r="R17" s="36"/>
      <c r="S17" s="37"/>
      <c r="T17" s="36"/>
      <c r="U17" s="38"/>
      <c r="V17" s="39"/>
      <c r="W17" s="39"/>
      <c r="X17" s="39"/>
      <c r="Y17" s="39"/>
      <c r="Z17" s="39"/>
      <c r="AA17" s="39"/>
      <c r="AB17" s="40">
        <v>56</v>
      </c>
      <c r="AC17" s="41">
        <v>56</v>
      </c>
      <c r="AD17" s="42">
        <v>56</v>
      </c>
      <c r="AE17" s="41">
        <v>56</v>
      </c>
      <c r="AF17" s="41">
        <v>56</v>
      </c>
      <c r="AG17" s="42">
        <v>56</v>
      </c>
      <c r="AH17" s="43">
        <v>56</v>
      </c>
      <c r="AI17" s="44"/>
      <c r="AJ17" s="30"/>
    </row>
    <row r="18" spans="1:40" ht="15" thickBot="1" x14ac:dyDescent="0.4">
      <c r="A18" s="138"/>
      <c r="B18" s="139"/>
      <c r="C18" s="33"/>
      <c r="D18" s="33" t="s">
        <v>17</v>
      </c>
      <c r="E18" s="33">
        <v>2020</v>
      </c>
      <c r="F18" s="19" t="s">
        <v>12</v>
      </c>
      <c r="G18" s="34">
        <v>975</v>
      </c>
      <c r="H18" s="35">
        <f>(G18+I18)/2</f>
        <v>945</v>
      </c>
      <c r="I18" s="37">
        <v>915</v>
      </c>
      <c r="J18" s="35">
        <f>$G$5*E93</f>
        <v>0</v>
      </c>
      <c r="K18" s="35">
        <f t="shared" ref="K18:L18" si="19">$G$5*F93</f>
        <v>0</v>
      </c>
      <c r="L18" s="35">
        <f t="shared" si="19"/>
        <v>0</v>
      </c>
      <c r="M18" s="35">
        <v>600</v>
      </c>
      <c r="N18" s="45"/>
      <c r="O18" s="36"/>
      <c r="P18" s="36"/>
      <c r="Q18" s="36"/>
      <c r="R18" s="36"/>
      <c r="S18" s="36"/>
      <c r="T18" s="36"/>
      <c r="U18" s="38"/>
      <c r="V18" s="39"/>
      <c r="W18" s="39"/>
      <c r="X18" s="39"/>
      <c r="Y18" s="39"/>
      <c r="Z18" s="39"/>
      <c r="AA18" s="39"/>
      <c r="AB18" s="40"/>
      <c r="AC18" s="46"/>
      <c r="AD18" s="47"/>
      <c r="AE18" s="46"/>
      <c r="AF18" s="46"/>
      <c r="AG18" s="47"/>
      <c r="AH18" s="48"/>
      <c r="AI18" s="44"/>
      <c r="AJ18" s="30"/>
      <c r="AN18" s="57"/>
    </row>
    <row r="19" spans="1:40" x14ac:dyDescent="0.35">
      <c r="A19" s="138"/>
      <c r="B19" s="49" t="s">
        <v>19</v>
      </c>
      <c r="C19" s="50"/>
      <c r="D19" s="50"/>
      <c r="E19" s="50"/>
      <c r="F19" s="50"/>
      <c r="G19" s="51">
        <f t="shared" ref="G19:T19" si="20">MIN(G16:G18)</f>
        <v>975</v>
      </c>
      <c r="H19" s="52">
        <f t="shared" si="20"/>
        <v>0</v>
      </c>
      <c r="I19" s="52">
        <f t="shared" si="20"/>
        <v>0</v>
      </c>
      <c r="J19" s="52">
        <f t="shared" si="20"/>
        <v>0</v>
      </c>
      <c r="K19" s="52">
        <f t="shared" si="20"/>
        <v>0</v>
      </c>
      <c r="L19" s="52">
        <f t="shared" si="20"/>
        <v>0</v>
      </c>
      <c r="M19" s="52">
        <f t="shared" si="20"/>
        <v>600</v>
      </c>
      <c r="N19" s="51">
        <f t="shared" si="20"/>
        <v>87.663678687680616</v>
      </c>
      <c r="O19" s="52">
        <f t="shared" si="20"/>
        <v>80.920318788628251</v>
      </c>
      <c r="P19" s="52">
        <f t="shared" si="20"/>
        <v>74.1769588895759</v>
      </c>
      <c r="Q19" s="52">
        <f t="shared" si="20"/>
        <v>64.061919040997367</v>
      </c>
      <c r="R19" s="52">
        <f t="shared" si="20"/>
        <v>59.0043991167081</v>
      </c>
      <c r="S19" s="52">
        <f t="shared" si="20"/>
        <v>53.946879192418834</v>
      </c>
      <c r="T19" s="53">
        <f t="shared" si="20"/>
        <v>53.946879192418834</v>
      </c>
      <c r="U19" s="50"/>
      <c r="V19" s="50"/>
      <c r="W19" s="50"/>
      <c r="X19" s="50"/>
      <c r="Y19" s="50"/>
      <c r="Z19" s="50"/>
      <c r="AA19" s="50"/>
      <c r="AB19" s="51">
        <f t="shared" ref="AB19:AH19" si="21">MIN(AB16:AB18)</f>
        <v>50</v>
      </c>
      <c r="AC19" s="54">
        <f t="shared" si="21"/>
        <v>50</v>
      </c>
      <c r="AD19" s="54">
        <f t="shared" si="21"/>
        <v>50</v>
      </c>
      <c r="AE19" s="54">
        <f t="shared" si="21"/>
        <v>50</v>
      </c>
      <c r="AF19" s="54">
        <f t="shared" si="21"/>
        <v>50</v>
      </c>
      <c r="AG19" s="54">
        <f t="shared" si="21"/>
        <v>50</v>
      </c>
      <c r="AH19" s="55">
        <f t="shared" si="21"/>
        <v>50</v>
      </c>
      <c r="AI19" s="56"/>
      <c r="AJ19" s="30"/>
      <c r="AN19" s="57"/>
    </row>
    <row r="20" spans="1:40" x14ac:dyDescent="0.35">
      <c r="A20" s="138"/>
      <c r="B20" s="58" t="s">
        <v>21</v>
      </c>
      <c r="C20" s="59"/>
      <c r="D20" s="59"/>
      <c r="E20" s="59"/>
      <c r="F20" s="59"/>
      <c r="G20" s="60">
        <f t="shared" ref="G20:T20" si="22">MEDIAN(G16:G18)</f>
        <v>1300</v>
      </c>
      <c r="H20" s="61">
        <f t="shared" si="22"/>
        <v>945</v>
      </c>
      <c r="I20" s="61">
        <f t="shared" si="22"/>
        <v>915</v>
      </c>
      <c r="J20" s="61">
        <f t="shared" si="22"/>
        <v>0</v>
      </c>
      <c r="K20" s="61">
        <f t="shared" si="22"/>
        <v>0</v>
      </c>
      <c r="L20" s="61">
        <f t="shared" si="22"/>
        <v>0</v>
      </c>
      <c r="M20" s="61">
        <f t="shared" si="22"/>
        <v>800</v>
      </c>
      <c r="N20" s="60">
        <f t="shared" si="22"/>
        <v>87.663678687680616</v>
      </c>
      <c r="O20" s="61">
        <f t="shared" si="22"/>
        <v>80.920318788628251</v>
      </c>
      <c r="P20" s="61">
        <f t="shared" si="22"/>
        <v>74.1769588895759</v>
      </c>
      <c r="Q20" s="61">
        <f t="shared" si="22"/>
        <v>64.061919040997367</v>
      </c>
      <c r="R20" s="61">
        <f t="shared" si="22"/>
        <v>59.0043991167081</v>
      </c>
      <c r="S20" s="61">
        <f t="shared" si="22"/>
        <v>53.946879192418834</v>
      </c>
      <c r="T20" s="62">
        <f t="shared" si="22"/>
        <v>53.946879192418834</v>
      </c>
      <c r="U20" s="59"/>
      <c r="V20" s="59"/>
      <c r="W20" s="59"/>
      <c r="X20" s="59"/>
      <c r="Y20" s="59"/>
      <c r="Z20" s="59"/>
      <c r="AA20" s="59"/>
      <c r="AB20" s="60">
        <f t="shared" ref="AB20:AH20" si="23">MEDIAN(AB16:AB18)</f>
        <v>53</v>
      </c>
      <c r="AC20" s="63">
        <f t="shared" si="23"/>
        <v>53</v>
      </c>
      <c r="AD20" s="63">
        <f t="shared" si="23"/>
        <v>53</v>
      </c>
      <c r="AE20" s="63">
        <f t="shared" si="23"/>
        <v>53</v>
      </c>
      <c r="AF20" s="63">
        <f t="shared" si="23"/>
        <v>53</v>
      </c>
      <c r="AG20" s="63">
        <f t="shared" si="23"/>
        <v>53</v>
      </c>
      <c r="AH20" s="64">
        <f t="shared" si="23"/>
        <v>53</v>
      </c>
      <c r="AI20" s="65"/>
      <c r="AJ20" s="30"/>
    </row>
    <row r="21" spans="1:40" ht="15" thickBot="1" x14ac:dyDescent="0.4">
      <c r="A21" s="138"/>
      <c r="B21" s="66" t="s">
        <v>23</v>
      </c>
      <c r="C21" s="67"/>
      <c r="D21" s="67"/>
      <c r="E21" s="67"/>
      <c r="F21" s="67"/>
      <c r="G21" s="68">
        <f t="shared" ref="G21:T21" si="24">MAX(G16:G18)</f>
        <v>1500</v>
      </c>
      <c r="H21" s="69">
        <f t="shared" si="24"/>
        <v>1200</v>
      </c>
      <c r="I21" s="69">
        <f t="shared" si="24"/>
        <v>1100</v>
      </c>
      <c r="J21" s="69">
        <f t="shared" si="24"/>
        <v>950</v>
      </c>
      <c r="K21" s="69">
        <f t="shared" si="24"/>
        <v>875</v>
      </c>
      <c r="L21" s="69">
        <f t="shared" si="24"/>
        <v>800</v>
      </c>
      <c r="M21" s="69">
        <f t="shared" si="24"/>
        <v>923.07692307692309</v>
      </c>
      <c r="N21" s="68">
        <f t="shared" si="24"/>
        <v>87.663678687680616</v>
      </c>
      <c r="O21" s="69">
        <f t="shared" si="24"/>
        <v>80.920318788628251</v>
      </c>
      <c r="P21" s="69">
        <f t="shared" si="24"/>
        <v>74.1769588895759</v>
      </c>
      <c r="Q21" s="69">
        <f t="shared" si="24"/>
        <v>64.061919040997367</v>
      </c>
      <c r="R21" s="69">
        <f t="shared" si="24"/>
        <v>59.0043991167081</v>
      </c>
      <c r="S21" s="69">
        <f t="shared" si="24"/>
        <v>53.946879192418834</v>
      </c>
      <c r="T21" s="70">
        <f t="shared" si="24"/>
        <v>53.946879192418834</v>
      </c>
      <c r="U21" s="67"/>
      <c r="V21" s="67"/>
      <c r="W21" s="67"/>
      <c r="X21" s="67"/>
      <c r="Y21" s="67"/>
      <c r="Z21" s="67"/>
      <c r="AA21" s="67"/>
      <c r="AB21" s="68">
        <f t="shared" ref="AB21:AH21" si="25">MAX(AB16:AB18)</f>
        <v>56</v>
      </c>
      <c r="AC21" s="71">
        <f t="shared" si="25"/>
        <v>56</v>
      </c>
      <c r="AD21" s="71">
        <f t="shared" si="25"/>
        <v>56</v>
      </c>
      <c r="AE21" s="71">
        <f t="shared" si="25"/>
        <v>56</v>
      </c>
      <c r="AF21" s="71">
        <f t="shared" si="25"/>
        <v>56</v>
      </c>
      <c r="AG21" s="71">
        <f t="shared" si="25"/>
        <v>56</v>
      </c>
      <c r="AH21" s="72">
        <f t="shared" si="25"/>
        <v>56</v>
      </c>
      <c r="AI21" s="73"/>
      <c r="AJ21" s="30"/>
    </row>
    <row r="22" spans="1:40" x14ac:dyDescent="0.35">
      <c r="A22" s="138"/>
      <c r="B22" s="90"/>
      <c r="C22" s="75">
        <v>4</v>
      </c>
      <c r="D22" s="75" t="s">
        <v>15</v>
      </c>
      <c r="E22" s="75">
        <v>2022</v>
      </c>
      <c r="F22" s="76" t="s">
        <v>12</v>
      </c>
      <c r="G22" s="77">
        <f>453.96*(1+AE78)</f>
        <v>453.96</v>
      </c>
      <c r="H22" s="78">
        <f>444.6*(1+AE78)</f>
        <v>444.6</v>
      </c>
      <c r="I22" s="79">
        <f>435.24*(1+AF78)</f>
        <v>435.24</v>
      </c>
      <c r="J22" s="79">
        <f>423.54*(1+AG78)</f>
        <v>423.54</v>
      </c>
      <c r="K22" s="79">
        <f>417.69*(1+AG78)</f>
        <v>417.69</v>
      </c>
      <c r="L22" s="78">
        <f>411.84*(1+AH78)</f>
        <v>411.84</v>
      </c>
      <c r="M22" s="23">
        <v>516.67200000000003</v>
      </c>
      <c r="N22" s="80">
        <f>G22*0.017772*(1+AE84)*$AN$6</f>
        <v>10.880784941100018</v>
      </c>
      <c r="O22" s="81">
        <f>H22*0.017784*(1+AE84)*$AN$6</f>
        <v>10.663634294586911</v>
      </c>
      <c r="P22" s="82">
        <f>I22*0.017795*(1+AF84)*$AN$6</f>
        <v>10.445593686407763</v>
      </c>
      <c r="Q22" s="82">
        <f>J22*0.017906*(1+AG84)*$AN$6</f>
        <v>10.228203192069763</v>
      </c>
      <c r="R22" s="82">
        <f>K22*0.017964*(1+AG84)*$AN$6</f>
        <v>10.119602621673748</v>
      </c>
      <c r="S22" s="78">
        <f>L22*0.018023*(1+AH84)*$AN$6</f>
        <v>10.010642279540397</v>
      </c>
      <c r="T22" s="140">
        <v>10.010642279540397</v>
      </c>
      <c r="U22" s="83">
        <f t="shared" ref="U22:AA22" si="26">4.5*10^-3</f>
        <v>4.5000000000000005E-3</v>
      </c>
      <c r="V22" s="75">
        <f t="shared" si="26"/>
        <v>4.5000000000000005E-3</v>
      </c>
      <c r="W22" s="75">
        <f t="shared" si="26"/>
        <v>4.5000000000000005E-3</v>
      </c>
      <c r="X22" s="75">
        <f t="shared" si="26"/>
        <v>4.5000000000000005E-3</v>
      </c>
      <c r="Y22" s="75">
        <f t="shared" si="26"/>
        <v>4.5000000000000005E-3</v>
      </c>
      <c r="Z22" s="75">
        <f t="shared" si="26"/>
        <v>4.5000000000000005E-3</v>
      </c>
      <c r="AA22" s="84">
        <f t="shared" si="26"/>
        <v>4.5000000000000005E-3</v>
      </c>
      <c r="AB22" s="85">
        <v>40</v>
      </c>
      <c r="AC22" s="86">
        <v>40.5</v>
      </c>
      <c r="AD22" s="87">
        <v>41</v>
      </c>
      <c r="AE22" s="87">
        <v>42</v>
      </c>
      <c r="AF22" s="86">
        <v>42.5</v>
      </c>
      <c r="AG22" s="88">
        <v>43</v>
      </c>
      <c r="AH22" s="43">
        <v>43</v>
      </c>
      <c r="AI22" s="89">
        <v>25</v>
      </c>
    </row>
    <row r="23" spans="1:40" x14ac:dyDescent="0.35">
      <c r="A23" s="138"/>
      <c r="B23" s="90"/>
      <c r="C23" s="91">
        <v>5</v>
      </c>
      <c r="D23" s="91" t="s">
        <v>26</v>
      </c>
      <c r="E23" s="91">
        <v>2021</v>
      </c>
      <c r="F23" s="76" t="s">
        <v>12</v>
      </c>
      <c r="G23" s="92">
        <v>830</v>
      </c>
      <c r="H23" s="82">
        <v>830</v>
      </c>
      <c r="I23" s="82">
        <v>770</v>
      </c>
      <c r="J23" s="82">
        <v>690</v>
      </c>
      <c r="K23" s="82">
        <v>690</v>
      </c>
      <c r="L23" s="82">
        <v>690</v>
      </c>
      <c r="M23" s="81">
        <v>690</v>
      </c>
      <c r="N23" s="92">
        <f>21*$AN$6</f>
        <v>28.322111576019889</v>
      </c>
      <c r="O23" s="82">
        <f>21*$AN$6</f>
        <v>28.322111576019889</v>
      </c>
      <c r="P23" s="82">
        <f>20*$AN$6</f>
        <v>26.973439596209417</v>
      </c>
      <c r="Q23" s="82">
        <f>19*$AN$6</f>
        <v>25.624767616398948</v>
      </c>
      <c r="R23" s="82">
        <f>18*$AN$6</f>
        <v>24.276095636588476</v>
      </c>
      <c r="S23" s="82">
        <f>18*$AN$6</f>
        <v>24.276095636588476</v>
      </c>
      <c r="T23" s="93">
        <f>18*$AN$6</f>
        <v>24.276095636588476</v>
      </c>
      <c r="U23" s="91"/>
      <c r="V23" s="91"/>
      <c r="W23" s="91"/>
      <c r="X23" s="91"/>
      <c r="Y23" s="91"/>
      <c r="Z23" s="91"/>
      <c r="AA23" s="91"/>
      <c r="AB23" s="85"/>
      <c r="AC23" s="87"/>
      <c r="AD23" s="87"/>
      <c r="AE23" s="87"/>
      <c r="AF23" s="87"/>
      <c r="AG23" s="87"/>
      <c r="AH23" s="94"/>
      <c r="AI23" s="95">
        <v>40</v>
      </c>
      <c r="AJ23" s="30"/>
    </row>
    <row r="24" spans="1:40" ht="15" thickBot="1" x14ac:dyDescent="0.4">
      <c r="A24" s="138"/>
      <c r="B24" s="141"/>
      <c r="C24" s="96"/>
      <c r="D24" s="96" t="s">
        <v>27</v>
      </c>
      <c r="E24" s="96">
        <v>2021</v>
      </c>
      <c r="F24" s="76" t="s">
        <v>12</v>
      </c>
      <c r="G24" s="80">
        <f>455</f>
        <v>455</v>
      </c>
      <c r="H24" s="81"/>
      <c r="I24" s="82"/>
      <c r="J24" s="81"/>
      <c r="K24" s="81"/>
      <c r="L24" s="82"/>
      <c r="M24" s="81"/>
      <c r="N24" s="97">
        <f>20.3*$AN$6</f>
        <v>27.378041190152562</v>
      </c>
      <c r="O24" s="81"/>
      <c r="P24" s="81"/>
      <c r="Q24" s="81"/>
      <c r="R24" s="81"/>
      <c r="S24" s="81"/>
      <c r="T24" s="81"/>
      <c r="U24" s="98"/>
      <c r="V24" s="91"/>
      <c r="W24" s="91"/>
      <c r="X24" s="91"/>
      <c r="Y24" s="91"/>
      <c r="Z24" s="91"/>
      <c r="AA24" s="91"/>
      <c r="AB24" s="85">
        <v>33.799999999999997</v>
      </c>
      <c r="AC24" s="88"/>
      <c r="AD24" s="87"/>
      <c r="AE24" s="88"/>
      <c r="AF24" s="88"/>
      <c r="AG24" s="87"/>
      <c r="AH24" s="94"/>
      <c r="AI24" s="99"/>
      <c r="AJ24" s="30"/>
    </row>
    <row r="25" spans="1:40" x14ac:dyDescent="0.35">
      <c r="A25" s="138"/>
      <c r="B25" s="100" t="s">
        <v>19</v>
      </c>
      <c r="C25" s="101"/>
      <c r="D25" s="101"/>
      <c r="E25" s="101"/>
      <c r="F25" s="101"/>
      <c r="G25" s="102">
        <f>MIN(G22:G24)</f>
        <v>453.96</v>
      </c>
      <c r="H25" s="103">
        <f t="shared" ref="H25:T25" si="27">MIN(H22:H24)</f>
        <v>444.6</v>
      </c>
      <c r="I25" s="103">
        <f t="shared" si="27"/>
        <v>435.24</v>
      </c>
      <c r="J25" s="103">
        <f t="shared" si="27"/>
        <v>423.54</v>
      </c>
      <c r="K25" s="103">
        <f t="shared" si="27"/>
        <v>417.69</v>
      </c>
      <c r="L25" s="103">
        <f t="shared" si="27"/>
        <v>411.84</v>
      </c>
      <c r="M25" s="103">
        <f t="shared" si="27"/>
        <v>516.67200000000003</v>
      </c>
      <c r="N25" s="102">
        <f t="shared" si="27"/>
        <v>10.880784941100018</v>
      </c>
      <c r="O25" s="103">
        <f t="shared" si="27"/>
        <v>10.663634294586911</v>
      </c>
      <c r="P25" s="103">
        <f t="shared" si="27"/>
        <v>10.445593686407763</v>
      </c>
      <c r="Q25" s="103">
        <f t="shared" si="27"/>
        <v>10.228203192069763</v>
      </c>
      <c r="R25" s="103">
        <f t="shared" si="27"/>
        <v>10.119602621673748</v>
      </c>
      <c r="S25" s="103">
        <f t="shared" si="27"/>
        <v>10.010642279540397</v>
      </c>
      <c r="T25" s="103">
        <f t="shared" si="27"/>
        <v>10.010642279540397</v>
      </c>
      <c r="U25" s="104"/>
      <c r="V25" s="101"/>
      <c r="W25" s="101"/>
      <c r="X25" s="101"/>
      <c r="Y25" s="101"/>
      <c r="Z25" s="101"/>
      <c r="AA25" s="101"/>
      <c r="AB25" s="105">
        <f t="shared" ref="AB25" si="28">MIN(AB22:AB24)</f>
        <v>33.799999999999997</v>
      </c>
      <c r="AC25" s="106"/>
      <c r="AD25" s="106"/>
      <c r="AE25" s="106"/>
      <c r="AF25" s="106"/>
      <c r="AG25" s="106"/>
      <c r="AH25" s="107"/>
      <c r="AI25" s="108"/>
      <c r="AJ25" s="30"/>
    </row>
    <row r="26" spans="1:40" x14ac:dyDescent="0.35">
      <c r="A26" s="138"/>
      <c r="B26" s="109" t="s">
        <v>21</v>
      </c>
      <c r="C26" s="110"/>
      <c r="D26" s="110"/>
      <c r="E26" s="110"/>
      <c r="F26" s="110"/>
      <c r="G26" s="111">
        <f>MEDIAN(G22:G24)</f>
        <v>455</v>
      </c>
      <c r="H26" s="112">
        <f t="shared" ref="H26:T26" si="29">MEDIAN(H22:H24)</f>
        <v>637.29999999999995</v>
      </c>
      <c r="I26" s="112">
        <f t="shared" si="29"/>
        <v>602.62</v>
      </c>
      <c r="J26" s="112">
        <f t="shared" si="29"/>
        <v>556.77</v>
      </c>
      <c r="K26" s="112">
        <f t="shared" si="29"/>
        <v>553.84500000000003</v>
      </c>
      <c r="L26" s="112">
        <f t="shared" si="29"/>
        <v>550.91999999999996</v>
      </c>
      <c r="M26" s="112">
        <f t="shared" si="29"/>
        <v>603.33600000000001</v>
      </c>
      <c r="N26" s="111">
        <f t="shared" si="29"/>
        <v>27.378041190152562</v>
      </c>
      <c r="O26" s="112">
        <f t="shared" si="29"/>
        <v>19.492872935303403</v>
      </c>
      <c r="P26" s="112">
        <f t="shared" si="29"/>
        <v>18.709516641308589</v>
      </c>
      <c r="Q26" s="112">
        <f t="shared" si="29"/>
        <v>17.926485404234356</v>
      </c>
      <c r="R26" s="112">
        <f t="shared" si="29"/>
        <v>17.197849129131111</v>
      </c>
      <c r="S26" s="112">
        <f t="shared" si="29"/>
        <v>17.143368958064436</v>
      </c>
      <c r="T26" s="112">
        <f t="shared" si="29"/>
        <v>17.143368958064436</v>
      </c>
      <c r="U26" s="113"/>
      <c r="V26" s="110"/>
      <c r="W26" s="110"/>
      <c r="X26" s="110"/>
      <c r="Y26" s="110"/>
      <c r="Z26" s="110"/>
      <c r="AA26" s="110"/>
      <c r="AB26" s="114">
        <f t="shared" ref="AB26" si="30">MEDIAN(AB22:AB24)</f>
        <v>36.9</v>
      </c>
      <c r="AC26" s="115">
        <v>37.5</v>
      </c>
      <c r="AD26" s="116">
        <v>38</v>
      </c>
      <c r="AE26" s="116">
        <v>39</v>
      </c>
      <c r="AF26" s="115">
        <v>39.5</v>
      </c>
      <c r="AG26" s="116">
        <v>40</v>
      </c>
      <c r="AH26" s="117">
        <v>40</v>
      </c>
      <c r="AI26" s="142">
        <f t="shared" ref="AI26" si="31">MEDIAN(AI22:AI24)</f>
        <v>32.5</v>
      </c>
      <c r="AJ26" s="30"/>
    </row>
    <row r="27" spans="1:40" ht="15" thickBot="1" x14ac:dyDescent="0.4">
      <c r="A27" s="138"/>
      <c r="B27" s="119" t="s">
        <v>23</v>
      </c>
      <c r="C27" s="120"/>
      <c r="D27" s="120"/>
      <c r="E27" s="120"/>
      <c r="F27" s="120"/>
      <c r="G27" s="121">
        <f>MAX(G22:G24)</f>
        <v>830</v>
      </c>
      <c r="H27" s="122">
        <f t="shared" ref="H27:T27" si="32">MAX(H22:H24)</f>
        <v>830</v>
      </c>
      <c r="I27" s="122">
        <f t="shared" si="32"/>
        <v>770</v>
      </c>
      <c r="J27" s="122">
        <f t="shared" si="32"/>
        <v>690</v>
      </c>
      <c r="K27" s="122">
        <f t="shared" si="32"/>
        <v>690</v>
      </c>
      <c r="L27" s="122">
        <f t="shared" si="32"/>
        <v>690</v>
      </c>
      <c r="M27" s="122">
        <f t="shared" si="32"/>
        <v>690</v>
      </c>
      <c r="N27" s="121">
        <f t="shared" si="32"/>
        <v>28.322111576019889</v>
      </c>
      <c r="O27" s="122">
        <f t="shared" si="32"/>
        <v>28.322111576019889</v>
      </c>
      <c r="P27" s="122">
        <f t="shared" si="32"/>
        <v>26.973439596209417</v>
      </c>
      <c r="Q27" s="122">
        <f t="shared" si="32"/>
        <v>25.624767616398948</v>
      </c>
      <c r="R27" s="122">
        <f t="shared" si="32"/>
        <v>24.276095636588476</v>
      </c>
      <c r="S27" s="122">
        <f t="shared" si="32"/>
        <v>24.276095636588476</v>
      </c>
      <c r="T27" s="122">
        <f t="shared" si="32"/>
        <v>24.276095636588476</v>
      </c>
      <c r="U27" s="123"/>
      <c r="V27" s="120"/>
      <c r="W27" s="120"/>
      <c r="X27" s="120"/>
      <c r="Y27" s="120"/>
      <c r="Z27" s="120"/>
      <c r="AA27" s="120"/>
      <c r="AB27" s="124">
        <f t="shared" ref="AB27" si="33">MAX(AB22:AB24)</f>
        <v>40</v>
      </c>
      <c r="AC27" s="125"/>
      <c r="AD27" s="125"/>
      <c r="AE27" s="125"/>
      <c r="AF27" s="125"/>
      <c r="AG27" s="125"/>
      <c r="AH27" s="126"/>
      <c r="AI27" s="127"/>
      <c r="AJ27" s="30"/>
    </row>
    <row r="28" spans="1:40" ht="15" thickBot="1" x14ac:dyDescent="0.4">
      <c r="A28" s="128"/>
      <c r="B28" s="129"/>
      <c r="C28" s="130"/>
      <c r="D28" s="130"/>
      <c r="E28" s="130"/>
      <c r="F28" s="130"/>
      <c r="G28" s="131"/>
      <c r="H28" s="132"/>
      <c r="I28" s="132"/>
      <c r="J28" s="132"/>
      <c r="K28" s="132"/>
      <c r="L28" s="132"/>
      <c r="M28" s="132"/>
      <c r="N28" s="131"/>
      <c r="O28" s="132"/>
      <c r="P28" s="132"/>
      <c r="Q28" s="132"/>
      <c r="R28" s="132"/>
      <c r="S28" s="132"/>
      <c r="T28" s="132"/>
      <c r="U28" s="133"/>
      <c r="V28" s="130"/>
      <c r="W28" s="130"/>
      <c r="X28" s="130"/>
      <c r="Y28" s="130"/>
      <c r="Z28" s="130"/>
      <c r="AA28" s="130"/>
      <c r="AB28" s="134"/>
      <c r="AC28" s="135"/>
      <c r="AD28" s="135"/>
      <c r="AE28" s="135"/>
      <c r="AF28" s="135"/>
      <c r="AG28" s="135"/>
      <c r="AH28" s="136"/>
      <c r="AI28" s="136"/>
      <c r="AJ28" s="137"/>
    </row>
    <row r="29" spans="1:40" x14ac:dyDescent="0.35">
      <c r="A29" s="143" t="s">
        <v>22</v>
      </c>
      <c r="B29" s="17" t="s">
        <v>14</v>
      </c>
      <c r="C29" s="18">
        <v>4</v>
      </c>
      <c r="D29" s="18" t="s">
        <v>15</v>
      </c>
      <c r="E29" s="18">
        <v>2022</v>
      </c>
      <c r="F29" s="19" t="s">
        <v>12</v>
      </c>
      <c r="G29" s="20">
        <v>1300</v>
      </c>
      <c r="H29" s="21">
        <v>1200</v>
      </c>
      <c r="I29" s="22">
        <v>1100</v>
      </c>
      <c r="J29" s="22">
        <v>950</v>
      </c>
      <c r="K29" s="21">
        <v>875</v>
      </c>
      <c r="L29" s="22">
        <v>800</v>
      </c>
      <c r="M29" s="23">
        <v>800</v>
      </c>
      <c r="N29" s="20">
        <f t="shared" ref="N29:S29" si="34">G29*0.05*$AN$7</f>
        <v>86.932250472009571</v>
      </c>
      <c r="O29" s="21">
        <f t="shared" si="34"/>
        <v>80.24515428185498</v>
      </c>
      <c r="P29" s="21">
        <f t="shared" si="34"/>
        <v>73.558058091700403</v>
      </c>
      <c r="Q29" s="21">
        <f t="shared" si="34"/>
        <v>63.52741380646853</v>
      </c>
      <c r="R29" s="21">
        <f t="shared" si="34"/>
        <v>58.512091663852594</v>
      </c>
      <c r="S29" s="21">
        <f t="shared" si="34"/>
        <v>53.496769521236658</v>
      </c>
      <c r="T29" s="23">
        <f>40*$AN$7</f>
        <v>53.496769521236658</v>
      </c>
      <c r="U29" s="24"/>
      <c r="V29" s="25"/>
      <c r="W29" s="25"/>
      <c r="X29" s="25"/>
      <c r="Y29" s="25"/>
      <c r="Z29" s="25"/>
      <c r="AA29" s="25"/>
      <c r="AB29" s="26">
        <v>50</v>
      </c>
      <c r="AC29" s="27">
        <v>50</v>
      </c>
      <c r="AD29" s="27">
        <v>50</v>
      </c>
      <c r="AE29" s="27">
        <v>50</v>
      </c>
      <c r="AF29" s="27">
        <v>50</v>
      </c>
      <c r="AG29" s="27">
        <v>50</v>
      </c>
      <c r="AH29" s="28">
        <v>50</v>
      </c>
      <c r="AI29" s="29">
        <v>10</v>
      </c>
      <c r="AJ29" s="30"/>
    </row>
    <row r="30" spans="1:40" x14ac:dyDescent="0.35">
      <c r="A30" s="144"/>
      <c r="B30" s="32"/>
      <c r="C30" s="33">
        <v>11</v>
      </c>
      <c r="D30" s="33" t="s">
        <v>16</v>
      </c>
      <c r="E30" s="33">
        <v>2022</v>
      </c>
      <c r="F30" s="19" t="s">
        <v>12</v>
      </c>
      <c r="G30" s="34">
        <v>1500</v>
      </c>
      <c r="H30" s="35">
        <f>$G$4*C106</f>
        <v>0</v>
      </c>
      <c r="I30" s="35">
        <f t="shared" ref="I30:L30" si="35">$G$4*D106</f>
        <v>0</v>
      </c>
      <c r="J30" s="35">
        <f t="shared" si="35"/>
        <v>0</v>
      </c>
      <c r="K30" s="35">
        <f t="shared" si="35"/>
        <v>0</v>
      </c>
      <c r="L30" s="35">
        <f t="shared" si="35"/>
        <v>0</v>
      </c>
      <c r="M30" s="35">
        <v>923.07692307692309</v>
      </c>
      <c r="N30" s="34"/>
      <c r="O30" s="36"/>
      <c r="P30" s="36"/>
      <c r="Q30" s="36"/>
      <c r="R30" s="36"/>
      <c r="S30" s="37"/>
      <c r="T30" s="36"/>
      <c r="U30" s="38"/>
      <c r="V30" s="39"/>
      <c r="W30" s="39"/>
      <c r="X30" s="39"/>
      <c r="Y30" s="39"/>
      <c r="Z30" s="39"/>
      <c r="AA30" s="39"/>
      <c r="AB30" s="40">
        <v>56</v>
      </c>
      <c r="AC30" s="41">
        <v>56</v>
      </c>
      <c r="AD30" s="42">
        <v>56</v>
      </c>
      <c r="AE30" s="41">
        <v>56</v>
      </c>
      <c r="AF30" s="41">
        <v>56</v>
      </c>
      <c r="AG30" s="42">
        <v>56</v>
      </c>
      <c r="AH30" s="43">
        <v>56</v>
      </c>
      <c r="AI30" s="44"/>
      <c r="AJ30" s="30"/>
      <c r="AN30" s="57"/>
    </row>
    <row r="31" spans="1:40" ht="15" thickBot="1" x14ac:dyDescent="0.4">
      <c r="A31" s="144"/>
      <c r="B31" s="139"/>
      <c r="C31" s="33"/>
      <c r="D31" s="33" t="s">
        <v>17</v>
      </c>
      <c r="E31" s="33">
        <v>2020</v>
      </c>
      <c r="F31" s="19" t="s">
        <v>12</v>
      </c>
      <c r="G31" s="34">
        <v>975</v>
      </c>
      <c r="H31" s="35">
        <f>(G31+I31)/2</f>
        <v>945</v>
      </c>
      <c r="I31" s="37">
        <v>915</v>
      </c>
      <c r="J31" s="35">
        <f>$G$5*E106</f>
        <v>0</v>
      </c>
      <c r="K31" s="35">
        <f t="shared" ref="K31:L31" si="36">$G$5*F106</f>
        <v>0</v>
      </c>
      <c r="L31" s="35">
        <f t="shared" si="36"/>
        <v>0</v>
      </c>
      <c r="M31" s="35">
        <v>600</v>
      </c>
      <c r="N31" s="45"/>
      <c r="O31" s="36"/>
      <c r="P31" s="36"/>
      <c r="Q31" s="36"/>
      <c r="R31" s="36"/>
      <c r="S31" s="36"/>
      <c r="T31" s="36"/>
      <c r="U31" s="38"/>
      <c r="V31" s="39"/>
      <c r="W31" s="39"/>
      <c r="X31" s="39"/>
      <c r="Y31" s="39"/>
      <c r="Z31" s="39"/>
      <c r="AA31" s="39"/>
      <c r="AB31" s="40"/>
      <c r="AC31" s="46"/>
      <c r="AD31" s="47"/>
      <c r="AE31" s="46"/>
      <c r="AF31" s="46"/>
      <c r="AG31" s="47"/>
      <c r="AH31" s="48"/>
      <c r="AI31" s="44"/>
      <c r="AJ31" s="30"/>
      <c r="AN31" s="57"/>
    </row>
    <row r="32" spans="1:40" x14ac:dyDescent="0.35">
      <c r="A32" s="144"/>
      <c r="B32" s="49" t="s">
        <v>19</v>
      </c>
      <c r="C32" s="50"/>
      <c r="D32" s="50"/>
      <c r="E32" s="50"/>
      <c r="F32" s="50"/>
      <c r="G32" s="51">
        <f t="shared" ref="G32:T32" si="37">MIN(G29:G31)</f>
        <v>975</v>
      </c>
      <c r="H32" s="52">
        <f t="shared" si="37"/>
        <v>0</v>
      </c>
      <c r="I32" s="52">
        <f t="shared" si="37"/>
        <v>0</v>
      </c>
      <c r="J32" s="52">
        <f t="shared" si="37"/>
        <v>0</v>
      </c>
      <c r="K32" s="52">
        <f t="shared" si="37"/>
        <v>0</v>
      </c>
      <c r="L32" s="52">
        <f t="shared" si="37"/>
        <v>0</v>
      </c>
      <c r="M32" s="52">
        <f t="shared" si="37"/>
        <v>600</v>
      </c>
      <c r="N32" s="51">
        <f t="shared" si="37"/>
        <v>86.932250472009571</v>
      </c>
      <c r="O32" s="52">
        <f t="shared" si="37"/>
        <v>80.24515428185498</v>
      </c>
      <c r="P32" s="52">
        <f t="shared" si="37"/>
        <v>73.558058091700403</v>
      </c>
      <c r="Q32" s="52">
        <f t="shared" si="37"/>
        <v>63.52741380646853</v>
      </c>
      <c r="R32" s="52">
        <f t="shared" si="37"/>
        <v>58.512091663852594</v>
      </c>
      <c r="S32" s="52">
        <f t="shared" si="37"/>
        <v>53.496769521236658</v>
      </c>
      <c r="T32" s="53">
        <f t="shared" si="37"/>
        <v>53.496769521236658</v>
      </c>
      <c r="U32" s="50"/>
      <c r="V32" s="50"/>
      <c r="W32" s="50"/>
      <c r="X32" s="50"/>
      <c r="Y32" s="50"/>
      <c r="Z32" s="50"/>
      <c r="AA32" s="50"/>
      <c r="AB32" s="51">
        <f t="shared" ref="AB32:AH32" si="38">MIN(AB29:AB31)</f>
        <v>50</v>
      </c>
      <c r="AC32" s="54">
        <f t="shared" si="38"/>
        <v>50</v>
      </c>
      <c r="AD32" s="54">
        <f t="shared" si="38"/>
        <v>50</v>
      </c>
      <c r="AE32" s="54">
        <f t="shared" si="38"/>
        <v>50</v>
      </c>
      <c r="AF32" s="54">
        <f t="shared" si="38"/>
        <v>50</v>
      </c>
      <c r="AG32" s="54">
        <f t="shared" si="38"/>
        <v>50</v>
      </c>
      <c r="AH32" s="55">
        <f t="shared" si="38"/>
        <v>50</v>
      </c>
      <c r="AI32" s="56"/>
      <c r="AJ32" s="30"/>
      <c r="AN32" s="57"/>
    </row>
    <row r="33" spans="1:40" x14ac:dyDescent="0.35">
      <c r="A33" s="144"/>
      <c r="B33" s="58" t="s">
        <v>21</v>
      </c>
      <c r="C33" s="59"/>
      <c r="D33" s="59"/>
      <c r="E33" s="59"/>
      <c r="F33" s="59"/>
      <c r="G33" s="60">
        <f t="shared" ref="G33:T33" si="39">MEDIAN(G29:G31)</f>
        <v>1300</v>
      </c>
      <c r="H33" s="61">
        <f t="shared" si="39"/>
        <v>945</v>
      </c>
      <c r="I33" s="61">
        <f t="shared" si="39"/>
        <v>915</v>
      </c>
      <c r="J33" s="61">
        <f t="shared" si="39"/>
        <v>0</v>
      </c>
      <c r="K33" s="61">
        <f t="shared" si="39"/>
        <v>0</v>
      </c>
      <c r="L33" s="61">
        <f t="shared" si="39"/>
        <v>0</v>
      </c>
      <c r="M33" s="61">
        <f t="shared" si="39"/>
        <v>800</v>
      </c>
      <c r="N33" s="60">
        <f t="shared" si="39"/>
        <v>86.932250472009571</v>
      </c>
      <c r="O33" s="61">
        <f t="shared" si="39"/>
        <v>80.24515428185498</v>
      </c>
      <c r="P33" s="61">
        <f t="shared" si="39"/>
        <v>73.558058091700403</v>
      </c>
      <c r="Q33" s="61">
        <f t="shared" si="39"/>
        <v>63.52741380646853</v>
      </c>
      <c r="R33" s="61">
        <f t="shared" si="39"/>
        <v>58.512091663852594</v>
      </c>
      <c r="S33" s="61">
        <f t="shared" si="39"/>
        <v>53.496769521236658</v>
      </c>
      <c r="T33" s="62">
        <f t="shared" si="39"/>
        <v>53.496769521236658</v>
      </c>
      <c r="U33" s="59"/>
      <c r="V33" s="59"/>
      <c r="W33" s="59"/>
      <c r="X33" s="59"/>
      <c r="Y33" s="59"/>
      <c r="Z33" s="59"/>
      <c r="AA33" s="59"/>
      <c r="AB33" s="60">
        <f t="shared" ref="AB33:AH33" si="40">MEDIAN(AB29:AB31)</f>
        <v>53</v>
      </c>
      <c r="AC33" s="63">
        <f t="shared" si="40"/>
        <v>53</v>
      </c>
      <c r="AD33" s="63">
        <f t="shared" si="40"/>
        <v>53</v>
      </c>
      <c r="AE33" s="63">
        <f t="shared" si="40"/>
        <v>53</v>
      </c>
      <c r="AF33" s="63">
        <f t="shared" si="40"/>
        <v>53</v>
      </c>
      <c r="AG33" s="63">
        <f t="shared" si="40"/>
        <v>53</v>
      </c>
      <c r="AH33" s="64">
        <f t="shared" si="40"/>
        <v>53</v>
      </c>
      <c r="AI33" s="65"/>
      <c r="AJ33" s="30"/>
    </row>
    <row r="34" spans="1:40" ht="15" thickBot="1" x14ac:dyDescent="0.4">
      <c r="A34" s="144"/>
      <c r="B34" s="66" t="s">
        <v>23</v>
      </c>
      <c r="C34" s="67"/>
      <c r="D34" s="67"/>
      <c r="E34" s="67"/>
      <c r="F34" s="67"/>
      <c r="G34" s="68">
        <f t="shared" ref="G34:T34" si="41">MAX(G29:G31)</f>
        <v>1500</v>
      </c>
      <c r="H34" s="69">
        <f t="shared" si="41"/>
        <v>1200</v>
      </c>
      <c r="I34" s="69">
        <f t="shared" si="41"/>
        <v>1100</v>
      </c>
      <c r="J34" s="69">
        <f t="shared" si="41"/>
        <v>950</v>
      </c>
      <c r="K34" s="69">
        <f t="shared" si="41"/>
        <v>875</v>
      </c>
      <c r="L34" s="69">
        <f t="shared" si="41"/>
        <v>800</v>
      </c>
      <c r="M34" s="69">
        <f t="shared" si="41"/>
        <v>923.07692307692309</v>
      </c>
      <c r="N34" s="68">
        <f t="shared" si="41"/>
        <v>86.932250472009571</v>
      </c>
      <c r="O34" s="69">
        <f t="shared" si="41"/>
        <v>80.24515428185498</v>
      </c>
      <c r="P34" s="69">
        <f t="shared" si="41"/>
        <v>73.558058091700403</v>
      </c>
      <c r="Q34" s="69">
        <f t="shared" si="41"/>
        <v>63.52741380646853</v>
      </c>
      <c r="R34" s="69">
        <f t="shared" si="41"/>
        <v>58.512091663852594</v>
      </c>
      <c r="S34" s="69">
        <f t="shared" si="41"/>
        <v>53.496769521236658</v>
      </c>
      <c r="T34" s="70">
        <f t="shared" si="41"/>
        <v>53.496769521236658</v>
      </c>
      <c r="U34" s="67"/>
      <c r="V34" s="67"/>
      <c r="W34" s="67"/>
      <c r="X34" s="67"/>
      <c r="Y34" s="67"/>
      <c r="Z34" s="67"/>
      <c r="AA34" s="67"/>
      <c r="AB34" s="68">
        <f t="shared" ref="AB34:AH34" si="42">MAX(AB29:AB31)</f>
        <v>56</v>
      </c>
      <c r="AC34" s="71">
        <f t="shared" si="42"/>
        <v>56</v>
      </c>
      <c r="AD34" s="71">
        <f t="shared" si="42"/>
        <v>56</v>
      </c>
      <c r="AE34" s="71">
        <f t="shared" si="42"/>
        <v>56</v>
      </c>
      <c r="AF34" s="71">
        <f t="shared" si="42"/>
        <v>56</v>
      </c>
      <c r="AG34" s="71">
        <f t="shared" si="42"/>
        <v>56</v>
      </c>
      <c r="AH34" s="72">
        <f t="shared" si="42"/>
        <v>56</v>
      </c>
      <c r="AI34" s="73"/>
      <c r="AJ34" s="30"/>
    </row>
    <row r="35" spans="1:40" x14ac:dyDescent="0.35">
      <c r="A35" s="144"/>
      <c r="B35" s="74" t="s">
        <v>25</v>
      </c>
      <c r="C35" s="75">
        <v>4</v>
      </c>
      <c r="D35" s="75" t="s">
        <v>15</v>
      </c>
      <c r="E35" s="75">
        <v>2022</v>
      </c>
      <c r="F35" s="76" t="s">
        <v>12</v>
      </c>
      <c r="G35" s="77">
        <f>453.96*(1+AG97)</f>
        <v>453.96</v>
      </c>
      <c r="H35" s="78">
        <f>444.6*(1+AG97)</f>
        <v>444.6</v>
      </c>
      <c r="I35" s="79">
        <f>435.24*(1+AH97)</f>
        <v>435.24</v>
      </c>
      <c r="J35" s="79">
        <f>423.54*(1+AI97)</f>
        <v>423.54</v>
      </c>
      <c r="K35" s="79">
        <f>417.69*(1+AI97)</f>
        <v>417.69</v>
      </c>
      <c r="L35" s="78">
        <f>411.84*(1+AJ97)</f>
        <v>411.84</v>
      </c>
      <c r="M35" s="23">
        <v>516.67200000000003</v>
      </c>
      <c r="N35" s="80">
        <f>G35*0.017772*(1+AG103)*$AN$7</f>
        <v>10.79000032843366</v>
      </c>
      <c r="O35" s="81">
        <f>H35*0.017784*(1+AG103)*$AN$7</f>
        <v>10.574661493976453</v>
      </c>
      <c r="P35" s="82">
        <f>I35*0.017795*(1+AH103)*$AN$7</f>
        <v>10.35844012331245</v>
      </c>
      <c r="Q35" s="82">
        <f>J35*0.017906*(1+AI103)*$AN$7</f>
        <v>10.14286344221795</v>
      </c>
      <c r="R35" s="82">
        <f>K35*0.017964*(1+AI103)*$AN$7</f>
        <v>10.03516898850121</v>
      </c>
      <c r="S35" s="78">
        <f>L35*0.018023*(1+AJ103)*$AN$7</f>
        <v>9.927117764828532</v>
      </c>
      <c r="T35" s="23">
        <v>9.927117764828532</v>
      </c>
      <c r="U35" s="83">
        <f t="shared" ref="U35:AA35" si="43">4.5*10^-3</f>
        <v>4.5000000000000005E-3</v>
      </c>
      <c r="V35" s="75">
        <f t="shared" si="43"/>
        <v>4.5000000000000005E-3</v>
      </c>
      <c r="W35" s="75">
        <f t="shared" si="43"/>
        <v>4.5000000000000005E-3</v>
      </c>
      <c r="X35" s="75">
        <f t="shared" si="43"/>
        <v>4.5000000000000005E-3</v>
      </c>
      <c r="Y35" s="75">
        <f t="shared" si="43"/>
        <v>4.5000000000000005E-3</v>
      </c>
      <c r="Z35" s="75">
        <f t="shared" si="43"/>
        <v>4.5000000000000005E-3</v>
      </c>
      <c r="AA35" s="84">
        <f t="shared" si="43"/>
        <v>4.5000000000000005E-3</v>
      </c>
      <c r="AB35" s="85">
        <v>40</v>
      </c>
      <c r="AC35" s="86">
        <v>40.5</v>
      </c>
      <c r="AD35" s="87">
        <v>41</v>
      </c>
      <c r="AE35" s="87">
        <v>42</v>
      </c>
      <c r="AF35" s="86">
        <v>42.5</v>
      </c>
      <c r="AG35" s="88">
        <v>43</v>
      </c>
      <c r="AH35" s="43">
        <v>43</v>
      </c>
      <c r="AI35" s="89">
        <v>25</v>
      </c>
      <c r="AJ35" s="30"/>
    </row>
    <row r="36" spans="1:40" x14ac:dyDescent="0.35">
      <c r="A36" s="144"/>
      <c r="B36" s="90"/>
      <c r="C36" s="91">
        <v>5</v>
      </c>
      <c r="D36" s="91" t="s">
        <v>26</v>
      </c>
      <c r="E36" s="91">
        <v>2021</v>
      </c>
      <c r="F36" s="76" t="s">
        <v>12</v>
      </c>
      <c r="G36" s="92">
        <v>830</v>
      </c>
      <c r="H36" s="82">
        <v>830</v>
      </c>
      <c r="I36" s="82">
        <v>770</v>
      </c>
      <c r="J36" s="82">
        <v>690</v>
      </c>
      <c r="K36" s="82">
        <v>690</v>
      </c>
      <c r="L36" s="82">
        <v>690</v>
      </c>
      <c r="M36" s="81">
        <v>690</v>
      </c>
      <c r="N36" s="92">
        <f>21*$AN$7</f>
        <v>28.085803998649247</v>
      </c>
      <c r="O36" s="82">
        <f>21*$AN$7</f>
        <v>28.085803998649247</v>
      </c>
      <c r="P36" s="82">
        <f>20*$AN$7</f>
        <v>26.748384760618329</v>
      </c>
      <c r="Q36" s="82">
        <f>19*$AN$7</f>
        <v>25.410965522587411</v>
      </c>
      <c r="R36" s="82">
        <f>18*$AN$7</f>
        <v>24.073546284556496</v>
      </c>
      <c r="S36" s="82">
        <f>18*$AN$7</f>
        <v>24.073546284556496</v>
      </c>
      <c r="T36" s="145">
        <f>18*$AN$7</f>
        <v>24.073546284556496</v>
      </c>
      <c r="U36" s="91"/>
      <c r="V36" s="91"/>
      <c r="W36" s="91"/>
      <c r="X36" s="91"/>
      <c r="Y36" s="91"/>
      <c r="Z36" s="91"/>
      <c r="AA36" s="91"/>
      <c r="AB36" s="85"/>
      <c r="AC36" s="87"/>
      <c r="AD36" s="87"/>
      <c r="AE36" s="87"/>
      <c r="AF36" s="87"/>
      <c r="AG36" s="87"/>
      <c r="AH36" s="94"/>
      <c r="AI36" s="95">
        <v>40</v>
      </c>
      <c r="AJ36" s="30"/>
    </row>
    <row r="37" spans="1:40" ht="15" thickBot="1" x14ac:dyDescent="0.4">
      <c r="A37" s="144"/>
      <c r="B37" s="141"/>
      <c r="C37" s="96"/>
      <c r="D37" s="96" t="s">
        <v>27</v>
      </c>
      <c r="E37" s="96">
        <v>2021</v>
      </c>
      <c r="F37" s="76" t="s">
        <v>12</v>
      </c>
      <c r="G37" s="80">
        <f>455</f>
        <v>455</v>
      </c>
      <c r="H37" s="81"/>
      <c r="I37" s="82"/>
      <c r="J37" s="81"/>
      <c r="K37" s="81"/>
      <c r="L37" s="82"/>
      <c r="M37" s="81"/>
      <c r="N37" s="97">
        <f>20.3*$AN$7</f>
        <v>27.149610532027605</v>
      </c>
      <c r="O37" s="81"/>
      <c r="P37" s="81"/>
      <c r="Q37" s="81"/>
      <c r="R37" s="81"/>
      <c r="S37" s="81"/>
      <c r="T37" s="81"/>
      <c r="U37" s="98"/>
      <c r="V37" s="91"/>
      <c r="W37" s="91"/>
      <c r="X37" s="91"/>
      <c r="Y37" s="91"/>
      <c r="Z37" s="91"/>
      <c r="AA37" s="91"/>
      <c r="AB37" s="85">
        <v>33.799999999999997</v>
      </c>
      <c r="AC37" s="88"/>
      <c r="AD37" s="87"/>
      <c r="AE37" s="88"/>
      <c r="AF37" s="88"/>
      <c r="AG37" s="87"/>
      <c r="AH37" s="94"/>
      <c r="AI37" s="99"/>
      <c r="AJ37" s="30"/>
    </row>
    <row r="38" spans="1:40" x14ac:dyDescent="0.35">
      <c r="A38" s="144"/>
      <c r="B38" s="100" t="s">
        <v>19</v>
      </c>
      <c r="C38" s="101"/>
      <c r="D38" s="101"/>
      <c r="E38" s="101"/>
      <c r="F38" s="101"/>
      <c r="G38" s="102">
        <f>MIN(G35:G37)</f>
        <v>453.96</v>
      </c>
      <c r="H38" s="103">
        <f t="shared" ref="H38:T38" si="44">MIN(H35:H37)</f>
        <v>444.6</v>
      </c>
      <c r="I38" s="103">
        <f t="shared" si="44"/>
        <v>435.24</v>
      </c>
      <c r="J38" s="103">
        <f t="shared" si="44"/>
        <v>423.54</v>
      </c>
      <c r="K38" s="103">
        <f t="shared" si="44"/>
        <v>417.69</v>
      </c>
      <c r="L38" s="103">
        <f t="shared" si="44"/>
        <v>411.84</v>
      </c>
      <c r="M38" s="103">
        <f t="shared" si="44"/>
        <v>516.67200000000003</v>
      </c>
      <c r="N38" s="102">
        <f t="shared" si="44"/>
        <v>10.79000032843366</v>
      </c>
      <c r="O38" s="103">
        <f t="shared" si="44"/>
        <v>10.574661493976453</v>
      </c>
      <c r="P38" s="103">
        <f t="shared" si="44"/>
        <v>10.35844012331245</v>
      </c>
      <c r="Q38" s="103">
        <f t="shared" si="44"/>
        <v>10.14286344221795</v>
      </c>
      <c r="R38" s="103">
        <f t="shared" si="44"/>
        <v>10.03516898850121</v>
      </c>
      <c r="S38" s="103">
        <f t="shared" si="44"/>
        <v>9.927117764828532</v>
      </c>
      <c r="T38" s="103">
        <f t="shared" si="44"/>
        <v>9.927117764828532</v>
      </c>
      <c r="U38" s="104"/>
      <c r="V38" s="101"/>
      <c r="W38" s="101"/>
      <c r="X38" s="101"/>
      <c r="Y38" s="101"/>
      <c r="Z38" s="101"/>
      <c r="AA38" s="101"/>
      <c r="AB38" s="105">
        <f t="shared" ref="AB38" si="45">MIN(AB35:AB37)</f>
        <v>33.799999999999997</v>
      </c>
      <c r="AC38" s="106"/>
      <c r="AD38" s="106"/>
      <c r="AE38" s="106"/>
      <c r="AF38" s="106"/>
      <c r="AG38" s="106"/>
      <c r="AH38" s="107"/>
      <c r="AI38" s="108"/>
      <c r="AJ38" s="30"/>
    </row>
    <row r="39" spans="1:40" x14ac:dyDescent="0.35">
      <c r="A39" s="144"/>
      <c r="B39" s="109" t="s">
        <v>21</v>
      </c>
      <c r="C39" s="110"/>
      <c r="D39" s="110"/>
      <c r="E39" s="110"/>
      <c r="F39" s="110"/>
      <c r="G39" s="111">
        <f>MEDIAN(G35:G37)</f>
        <v>455</v>
      </c>
      <c r="H39" s="112">
        <f t="shared" ref="H39:T39" si="46">MEDIAN(H35:H37)</f>
        <v>637.29999999999995</v>
      </c>
      <c r="I39" s="112">
        <f t="shared" si="46"/>
        <v>602.62</v>
      </c>
      <c r="J39" s="112">
        <f t="shared" si="46"/>
        <v>556.77</v>
      </c>
      <c r="K39" s="112">
        <f t="shared" si="46"/>
        <v>553.84500000000003</v>
      </c>
      <c r="L39" s="112">
        <f t="shared" si="46"/>
        <v>550.91999999999996</v>
      </c>
      <c r="M39" s="112">
        <f t="shared" si="46"/>
        <v>603.33600000000001</v>
      </c>
      <c r="N39" s="111">
        <f t="shared" si="46"/>
        <v>27.149610532027605</v>
      </c>
      <c r="O39" s="112">
        <f t="shared" si="46"/>
        <v>19.330232746312852</v>
      </c>
      <c r="P39" s="112">
        <f t="shared" si="46"/>
        <v>18.553412441965392</v>
      </c>
      <c r="Q39" s="112">
        <f t="shared" si="46"/>
        <v>17.776914482402681</v>
      </c>
      <c r="R39" s="112">
        <f t="shared" si="46"/>
        <v>17.054357636528852</v>
      </c>
      <c r="S39" s="112">
        <f t="shared" si="46"/>
        <v>17.000332024692515</v>
      </c>
      <c r="T39" s="112">
        <f t="shared" si="46"/>
        <v>17.000332024692515</v>
      </c>
      <c r="U39" s="113"/>
      <c r="V39" s="110"/>
      <c r="W39" s="110"/>
      <c r="X39" s="110"/>
      <c r="Y39" s="110"/>
      <c r="Z39" s="110"/>
      <c r="AA39" s="110"/>
      <c r="AB39" s="114">
        <f t="shared" ref="AB39" si="47">MEDIAN(AB35:AB37)</f>
        <v>36.9</v>
      </c>
      <c r="AC39" s="115">
        <v>37.5</v>
      </c>
      <c r="AD39" s="116">
        <v>38</v>
      </c>
      <c r="AE39" s="116">
        <v>39</v>
      </c>
      <c r="AF39" s="115">
        <v>39.5</v>
      </c>
      <c r="AG39" s="116">
        <v>40</v>
      </c>
      <c r="AH39" s="117">
        <v>40</v>
      </c>
      <c r="AI39" s="142">
        <f t="shared" ref="AI39" si="48">MEDIAN(AI35:AI37)</f>
        <v>32.5</v>
      </c>
      <c r="AJ39" s="30"/>
    </row>
    <row r="40" spans="1:40" ht="15" thickBot="1" x14ac:dyDescent="0.4">
      <c r="A40" s="144"/>
      <c r="B40" s="119" t="s">
        <v>23</v>
      </c>
      <c r="C40" s="120"/>
      <c r="D40" s="120"/>
      <c r="E40" s="120"/>
      <c r="F40" s="120"/>
      <c r="G40" s="121">
        <f>MAX(G35:G37)</f>
        <v>830</v>
      </c>
      <c r="H40" s="122">
        <f t="shared" ref="H40:T40" si="49">MAX(H35:H37)</f>
        <v>830</v>
      </c>
      <c r="I40" s="122">
        <f t="shared" si="49"/>
        <v>770</v>
      </c>
      <c r="J40" s="122">
        <f t="shared" si="49"/>
        <v>690</v>
      </c>
      <c r="K40" s="122">
        <f t="shared" si="49"/>
        <v>690</v>
      </c>
      <c r="L40" s="122">
        <f t="shared" si="49"/>
        <v>690</v>
      </c>
      <c r="M40" s="122">
        <f t="shared" si="49"/>
        <v>690</v>
      </c>
      <c r="N40" s="121">
        <f t="shared" si="49"/>
        <v>28.085803998649247</v>
      </c>
      <c r="O40" s="122">
        <f t="shared" si="49"/>
        <v>28.085803998649247</v>
      </c>
      <c r="P40" s="122">
        <f t="shared" si="49"/>
        <v>26.748384760618329</v>
      </c>
      <c r="Q40" s="122">
        <f t="shared" si="49"/>
        <v>25.410965522587411</v>
      </c>
      <c r="R40" s="122">
        <f t="shared" si="49"/>
        <v>24.073546284556496</v>
      </c>
      <c r="S40" s="122">
        <f t="shared" si="49"/>
        <v>24.073546284556496</v>
      </c>
      <c r="T40" s="122">
        <f t="shared" si="49"/>
        <v>24.073546284556496</v>
      </c>
      <c r="U40" s="123"/>
      <c r="V40" s="120"/>
      <c r="W40" s="120"/>
      <c r="X40" s="120"/>
      <c r="Y40" s="120"/>
      <c r="Z40" s="120"/>
      <c r="AA40" s="120"/>
      <c r="AB40" s="124">
        <f t="shared" ref="AB40" si="50">MAX(AB35:AB37)</f>
        <v>40</v>
      </c>
      <c r="AC40" s="125"/>
      <c r="AD40" s="125"/>
      <c r="AE40" s="125"/>
      <c r="AF40" s="125"/>
      <c r="AG40" s="125"/>
      <c r="AH40" s="126"/>
      <c r="AI40" s="127"/>
      <c r="AJ40" s="30"/>
    </row>
    <row r="41" spans="1:40" ht="15" thickBot="1" x14ac:dyDescent="0.4">
      <c r="A41" s="128"/>
      <c r="B41" s="129"/>
      <c r="C41" s="130"/>
      <c r="D41" s="130"/>
      <c r="E41" s="130"/>
      <c r="F41" s="130"/>
      <c r="G41" s="131"/>
      <c r="H41" s="132"/>
      <c r="I41" s="132"/>
      <c r="J41" s="132"/>
      <c r="K41" s="132"/>
      <c r="L41" s="132"/>
      <c r="M41" s="132"/>
      <c r="N41" s="131"/>
      <c r="O41" s="132"/>
      <c r="P41" s="132"/>
      <c r="Q41" s="132"/>
      <c r="R41" s="132"/>
      <c r="S41" s="132"/>
      <c r="T41" s="132"/>
      <c r="U41" s="133"/>
      <c r="V41" s="130"/>
      <c r="W41" s="130"/>
      <c r="X41" s="130"/>
      <c r="Y41" s="130"/>
      <c r="Z41" s="130"/>
      <c r="AA41" s="130"/>
      <c r="AB41" s="134"/>
      <c r="AC41" s="135"/>
      <c r="AD41" s="135"/>
      <c r="AE41" s="135"/>
      <c r="AF41" s="135"/>
      <c r="AG41" s="135"/>
      <c r="AH41" s="136"/>
      <c r="AI41" s="136"/>
      <c r="AJ41" s="137"/>
    </row>
    <row r="42" spans="1:40" x14ac:dyDescent="0.35">
      <c r="A42" s="146" t="s">
        <v>24</v>
      </c>
      <c r="B42" s="17" t="s">
        <v>14</v>
      </c>
      <c r="C42" s="18">
        <v>4</v>
      </c>
      <c r="D42" s="18" t="s">
        <v>15</v>
      </c>
      <c r="E42" s="18">
        <v>2022</v>
      </c>
      <c r="F42" s="19" t="s">
        <v>12</v>
      </c>
      <c r="G42" s="20">
        <v>1300</v>
      </c>
      <c r="H42" s="21">
        <v>1200</v>
      </c>
      <c r="I42" s="22">
        <v>1100</v>
      </c>
      <c r="J42" s="22">
        <v>950</v>
      </c>
      <c r="K42" s="21">
        <v>875</v>
      </c>
      <c r="L42" s="22">
        <v>800</v>
      </c>
      <c r="M42" s="23">
        <v>800</v>
      </c>
      <c r="N42" s="20">
        <f t="shared" ref="N42:S42" si="51">G42*0.05*$AN$8</f>
        <v>37.892767477014274</v>
      </c>
      <c r="O42" s="21">
        <f t="shared" si="51"/>
        <v>34.977939209551636</v>
      </c>
      <c r="P42" s="21">
        <f t="shared" si="51"/>
        <v>32.063110942088997</v>
      </c>
      <c r="Q42" s="21">
        <f t="shared" si="51"/>
        <v>27.690868540895046</v>
      </c>
      <c r="R42" s="21">
        <f t="shared" si="51"/>
        <v>25.504747340298067</v>
      </c>
      <c r="S42" s="21">
        <f t="shared" si="51"/>
        <v>23.318626139701092</v>
      </c>
      <c r="T42" s="23">
        <f>40*$AN$8</f>
        <v>23.318626139701092</v>
      </c>
      <c r="U42" s="24"/>
      <c r="V42" s="25"/>
      <c r="W42" s="25"/>
      <c r="X42" s="25"/>
      <c r="Y42" s="25"/>
      <c r="Z42" s="25"/>
      <c r="AA42" s="25"/>
      <c r="AB42" s="26">
        <v>50</v>
      </c>
      <c r="AC42" s="27">
        <v>50</v>
      </c>
      <c r="AD42" s="27">
        <v>50</v>
      </c>
      <c r="AE42" s="27">
        <v>50</v>
      </c>
      <c r="AF42" s="27">
        <v>50</v>
      </c>
      <c r="AG42" s="27">
        <v>50</v>
      </c>
      <c r="AH42" s="28">
        <v>50</v>
      </c>
      <c r="AI42" s="29">
        <v>10</v>
      </c>
      <c r="AJ42" s="30"/>
    </row>
    <row r="43" spans="1:40" x14ac:dyDescent="0.35">
      <c r="A43" s="147"/>
      <c r="B43" s="32"/>
      <c r="C43" s="33">
        <v>11</v>
      </c>
      <c r="D43" s="33" t="s">
        <v>16</v>
      </c>
      <c r="E43" s="33">
        <v>2022</v>
      </c>
      <c r="F43" s="19" t="s">
        <v>12</v>
      </c>
      <c r="G43" s="34">
        <v>1500</v>
      </c>
      <c r="H43" s="35">
        <f>$G$4*C119</f>
        <v>0</v>
      </c>
      <c r="I43" s="35">
        <f t="shared" ref="I43:L43" si="52">$G$4*D119</f>
        <v>0</v>
      </c>
      <c r="J43" s="35">
        <f t="shared" si="52"/>
        <v>0</v>
      </c>
      <c r="K43" s="35">
        <f t="shared" si="52"/>
        <v>0</v>
      </c>
      <c r="L43" s="35">
        <f t="shared" si="52"/>
        <v>0</v>
      </c>
      <c r="M43" s="35">
        <v>923.07692307692309</v>
      </c>
      <c r="N43" s="34"/>
      <c r="O43" s="36"/>
      <c r="P43" s="36"/>
      <c r="Q43" s="36"/>
      <c r="R43" s="36"/>
      <c r="S43" s="37"/>
      <c r="T43" s="36"/>
      <c r="U43" s="38"/>
      <c r="V43" s="39"/>
      <c r="W43" s="39"/>
      <c r="X43" s="39"/>
      <c r="Y43" s="39"/>
      <c r="Z43" s="39"/>
      <c r="AA43" s="39"/>
      <c r="AB43" s="40">
        <v>56</v>
      </c>
      <c r="AC43" s="41">
        <v>56</v>
      </c>
      <c r="AD43" s="42">
        <v>56</v>
      </c>
      <c r="AE43" s="41">
        <v>56</v>
      </c>
      <c r="AF43" s="41">
        <v>56</v>
      </c>
      <c r="AG43" s="42">
        <v>56</v>
      </c>
      <c r="AH43" s="43">
        <v>56</v>
      </c>
      <c r="AI43" s="44"/>
      <c r="AJ43" s="30"/>
    </row>
    <row r="44" spans="1:40" ht="15" thickBot="1" x14ac:dyDescent="0.4">
      <c r="A44" s="147"/>
      <c r="B44" s="139"/>
      <c r="C44" s="33"/>
      <c r="D44" s="33" t="s">
        <v>17</v>
      </c>
      <c r="E44" s="33">
        <v>2020</v>
      </c>
      <c r="F44" s="19" t="s">
        <v>12</v>
      </c>
      <c r="G44" s="34">
        <v>975</v>
      </c>
      <c r="H44" s="35">
        <f>(G44+I44)/2</f>
        <v>945</v>
      </c>
      <c r="I44" s="37">
        <v>915</v>
      </c>
      <c r="J44" s="35">
        <f>$G$5*E119</f>
        <v>0</v>
      </c>
      <c r="K44" s="35">
        <f t="shared" ref="K44:L44" si="53">$G$5*F119</f>
        <v>0</v>
      </c>
      <c r="L44" s="35">
        <f t="shared" si="53"/>
        <v>0</v>
      </c>
      <c r="M44" s="35">
        <v>600</v>
      </c>
      <c r="N44" s="45"/>
      <c r="O44" s="36"/>
      <c r="P44" s="36"/>
      <c r="Q44" s="36"/>
      <c r="R44" s="36"/>
      <c r="S44" s="36"/>
      <c r="T44" s="36"/>
      <c r="U44" s="38"/>
      <c r="V44" s="39"/>
      <c r="W44" s="39"/>
      <c r="X44" s="39"/>
      <c r="Y44" s="39"/>
      <c r="Z44" s="39"/>
      <c r="AA44" s="39"/>
      <c r="AB44" s="40"/>
      <c r="AC44" s="46"/>
      <c r="AD44" s="47"/>
      <c r="AE44" s="46"/>
      <c r="AF44" s="46"/>
      <c r="AG44" s="47"/>
      <c r="AH44" s="48"/>
      <c r="AI44" s="44"/>
      <c r="AJ44" s="30"/>
      <c r="AN44" s="57"/>
    </row>
    <row r="45" spans="1:40" x14ac:dyDescent="0.35">
      <c r="A45" s="147"/>
      <c r="B45" s="49" t="s">
        <v>19</v>
      </c>
      <c r="C45" s="50"/>
      <c r="D45" s="50"/>
      <c r="E45" s="50"/>
      <c r="F45" s="50"/>
      <c r="G45" s="51">
        <f t="shared" ref="G45:T45" si="54">MIN(G42:G44)</f>
        <v>975</v>
      </c>
      <c r="H45" s="52">
        <f t="shared" si="54"/>
        <v>0</v>
      </c>
      <c r="I45" s="52">
        <f t="shared" si="54"/>
        <v>0</v>
      </c>
      <c r="J45" s="52">
        <f t="shared" si="54"/>
        <v>0</v>
      </c>
      <c r="K45" s="52">
        <f t="shared" si="54"/>
        <v>0</v>
      </c>
      <c r="L45" s="52">
        <f t="shared" si="54"/>
        <v>0</v>
      </c>
      <c r="M45" s="52">
        <f t="shared" si="54"/>
        <v>600</v>
      </c>
      <c r="N45" s="51">
        <f t="shared" si="54"/>
        <v>37.892767477014274</v>
      </c>
      <c r="O45" s="52">
        <f t="shared" si="54"/>
        <v>34.977939209551636</v>
      </c>
      <c r="P45" s="52">
        <f t="shared" si="54"/>
        <v>32.063110942088997</v>
      </c>
      <c r="Q45" s="52">
        <f t="shared" si="54"/>
        <v>27.690868540895046</v>
      </c>
      <c r="R45" s="52">
        <f t="shared" si="54"/>
        <v>25.504747340298067</v>
      </c>
      <c r="S45" s="52">
        <f t="shared" si="54"/>
        <v>23.318626139701092</v>
      </c>
      <c r="T45" s="53">
        <f t="shared" si="54"/>
        <v>23.318626139701092</v>
      </c>
      <c r="U45" s="50"/>
      <c r="V45" s="50"/>
      <c r="W45" s="50"/>
      <c r="X45" s="50"/>
      <c r="Y45" s="50"/>
      <c r="Z45" s="50"/>
      <c r="AA45" s="50"/>
      <c r="AB45" s="51">
        <f t="shared" ref="AB45:AH45" si="55">MIN(AB42:AB44)</f>
        <v>50</v>
      </c>
      <c r="AC45" s="54">
        <f t="shared" si="55"/>
        <v>50</v>
      </c>
      <c r="AD45" s="54">
        <f t="shared" si="55"/>
        <v>50</v>
      </c>
      <c r="AE45" s="54">
        <f t="shared" si="55"/>
        <v>50</v>
      </c>
      <c r="AF45" s="54">
        <f t="shared" si="55"/>
        <v>50</v>
      </c>
      <c r="AG45" s="54">
        <f t="shared" si="55"/>
        <v>50</v>
      </c>
      <c r="AH45" s="55">
        <f t="shared" si="55"/>
        <v>50</v>
      </c>
      <c r="AI45" s="56"/>
      <c r="AJ45" s="30"/>
      <c r="AN45" s="57"/>
    </row>
    <row r="46" spans="1:40" x14ac:dyDescent="0.35">
      <c r="A46" s="147"/>
      <c r="B46" s="58" t="s">
        <v>21</v>
      </c>
      <c r="C46" s="59"/>
      <c r="D46" s="59"/>
      <c r="E46" s="59"/>
      <c r="F46" s="59"/>
      <c r="G46" s="60">
        <f t="shared" ref="G46:T46" si="56">MEDIAN(G42:G44)</f>
        <v>1300</v>
      </c>
      <c r="H46" s="61">
        <f t="shared" si="56"/>
        <v>945</v>
      </c>
      <c r="I46" s="61">
        <f t="shared" si="56"/>
        <v>915</v>
      </c>
      <c r="J46" s="61">
        <f t="shared" si="56"/>
        <v>0</v>
      </c>
      <c r="K46" s="61">
        <f t="shared" si="56"/>
        <v>0</v>
      </c>
      <c r="L46" s="61">
        <f t="shared" si="56"/>
        <v>0</v>
      </c>
      <c r="M46" s="61">
        <f t="shared" si="56"/>
        <v>800</v>
      </c>
      <c r="N46" s="60">
        <f t="shared" si="56"/>
        <v>37.892767477014274</v>
      </c>
      <c r="O46" s="61">
        <f t="shared" si="56"/>
        <v>34.977939209551636</v>
      </c>
      <c r="P46" s="61">
        <f t="shared" si="56"/>
        <v>32.063110942088997</v>
      </c>
      <c r="Q46" s="61">
        <f t="shared" si="56"/>
        <v>27.690868540895046</v>
      </c>
      <c r="R46" s="61">
        <f t="shared" si="56"/>
        <v>25.504747340298067</v>
      </c>
      <c r="S46" s="61">
        <f t="shared" si="56"/>
        <v>23.318626139701092</v>
      </c>
      <c r="T46" s="62">
        <f t="shared" si="56"/>
        <v>23.318626139701092</v>
      </c>
      <c r="U46" s="59"/>
      <c r="V46" s="59"/>
      <c r="W46" s="59"/>
      <c r="X46" s="59"/>
      <c r="Y46" s="59"/>
      <c r="Z46" s="59"/>
      <c r="AA46" s="59"/>
      <c r="AB46" s="60">
        <f t="shared" ref="AB46:AH46" si="57">MEDIAN(AB42:AB44)</f>
        <v>53</v>
      </c>
      <c r="AC46" s="63">
        <f t="shared" si="57"/>
        <v>53</v>
      </c>
      <c r="AD46" s="63">
        <f t="shared" si="57"/>
        <v>53</v>
      </c>
      <c r="AE46" s="63">
        <f t="shared" si="57"/>
        <v>53</v>
      </c>
      <c r="AF46" s="63">
        <f t="shared" si="57"/>
        <v>53</v>
      </c>
      <c r="AG46" s="63">
        <f t="shared" si="57"/>
        <v>53</v>
      </c>
      <c r="AH46" s="64">
        <f t="shared" si="57"/>
        <v>53</v>
      </c>
      <c r="AI46" s="65"/>
      <c r="AJ46" s="30"/>
    </row>
    <row r="47" spans="1:40" ht="15" thickBot="1" x14ac:dyDescent="0.4">
      <c r="A47" s="147"/>
      <c r="B47" s="66" t="s">
        <v>23</v>
      </c>
      <c r="C47" s="67"/>
      <c r="D47" s="67"/>
      <c r="E47" s="67"/>
      <c r="F47" s="67"/>
      <c r="G47" s="68">
        <f t="shared" ref="G47:T47" si="58">MAX(G42:G44)</f>
        <v>1500</v>
      </c>
      <c r="H47" s="69">
        <f t="shared" si="58"/>
        <v>1200</v>
      </c>
      <c r="I47" s="69">
        <f t="shared" si="58"/>
        <v>1100</v>
      </c>
      <c r="J47" s="69">
        <f t="shared" si="58"/>
        <v>950</v>
      </c>
      <c r="K47" s="69">
        <f t="shared" si="58"/>
        <v>875</v>
      </c>
      <c r="L47" s="69">
        <f t="shared" si="58"/>
        <v>800</v>
      </c>
      <c r="M47" s="69">
        <f t="shared" si="58"/>
        <v>923.07692307692309</v>
      </c>
      <c r="N47" s="68">
        <f t="shared" si="58"/>
        <v>37.892767477014274</v>
      </c>
      <c r="O47" s="69">
        <f t="shared" si="58"/>
        <v>34.977939209551636</v>
      </c>
      <c r="P47" s="69">
        <f t="shared" si="58"/>
        <v>32.063110942088997</v>
      </c>
      <c r="Q47" s="69">
        <f t="shared" si="58"/>
        <v>27.690868540895046</v>
      </c>
      <c r="R47" s="69">
        <f t="shared" si="58"/>
        <v>25.504747340298067</v>
      </c>
      <c r="S47" s="69">
        <f t="shared" si="58"/>
        <v>23.318626139701092</v>
      </c>
      <c r="T47" s="70">
        <f t="shared" si="58"/>
        <v>23.318626139701092</v>
      </c>
      <c r="U47" s="67"/>
      <c r="V47" s="67"/>
      <c r="W47" s="67"/>
      <c r="X47" s="67"/>
      <c r="Y47" s="67"/>
      <c r="Z47" s="67"/>
      <c r="AA47" s="67"/>
      <c r="AB47" s="68">
        <f t="shared" ref="AB47:AH47" si="59">MAX(AB42:AB44)</f>
        <v>56</v>
      </c>
      <c r="AC47" s="71">
        <f t="shared" si="59"/>
        <v>56</v>
      </c>
      <c r="AD47" s="71">
        <f t="shared" si="59"/>
        <v>56</v>
      </c>
      <c r="AE47" s="71">
        <f t="shared" si="59"/>
        <v>56</v>
      </c>
      <c r="AF47" s="71">
        <f t="shared" si="59"/>
        <v>56</v>
      </c>
      <c r="AG47" s="71">
        <f t="shared" si="59"/>
        <v>56</v>
      </c>
      <c r="AH47" s="72">
        <f t="shared" si="59"/>
        <v>56</v>
      </c>
      <c r="AI47" s="73"/>
      <c r="AJ47" s="30"/>
    </row>
    <row r="48" spans="1:40" x14ac:dyDescent="0.35">
      <c r="A48" s="147"/>
      <c r="B48" s="74" t="s">
        <v>25</v>
      </c>
      <c r="C48" s="75">
        <v>4</v>
      </c>
      <c r="D48" s="75" t="s">
        <v>15</v>
      </c>
      <c r="E48" s="75">
        <v>2022</v>
      </c>
      <c r="F48" s="76" t="s">
        <v>12</v>
      </c>
      <c r="G48" s="77">
        <f>453.96*(1+AG110)</f>
        <v>453.96</v>
      </c>
      <c r="H48" s="78">
        <f>444.6*(1+AG110)</f>
        <v>444.6</v>
      </c>
      <c r="I48" s="79">
        <f>435.24*(1+AH110)</f>
        <v>435.24</v>
      </c>
      <c r="J48" s="79">
        <f>423.54*(1+AI110)</f>
        <v>423.54</v>
      </c>
      <c r="K48" s="79">
        <f>417.69*(1+AI110)</f>
        <v>417.69</v>
      </c>
      <c r="L48" s="78">
        <f>411.84*(1+AJ110)</f>
        <v>411.84</v>
      </c>
      <c r="M48" s="23">
        <v>516.67200000000003</v>
      </c>
      <c r="N48" s="80">
        <f>G48*0.017772*(1+AG116)*$AN$8</f>
        <v>4.703236960992859</v>
      </c>
      <c r="O48" s="81">
        <f>H48*0.017784*(1+AG116)*$AN$8</f>
        <v>4.6093732413887576</v>
      </c>
      <c r="P48" s="82">
        <f>I48*0.017795*(1+AH116)*$AN$8</f>
        <v>4.5151248344092281</v>
      </c>
      <c r="Q48" s="82">
        <f>J48*0.017906*(1+AI116)*$AN$8</f>
        <v>4.4211574401933085</v>
      </c>
      <c r="R48" s="82">
        <f>K48*0.017964*(1+AI116)*$AN$8</f>
        <v>4.3742146672742246</v>
      </c>
      <c r="S48" s="78">
        <f>L48*0.018023*(1+AJ116)*$AN$8</f>
        <v>4.3271163824374135</v>
      </c>
      <c r="T48" s="23">
        <v>4.3271163824374135</v>
      </c>
      <c r="U48" s="83">
        <f t="shared" ref="U48:AA48" si="60">4.5*10^-3</f>
        <v>4.5000000000000005E-3</v>
      </c>
      <c r="V48" s="75">
        <f t="shared" si="60"/>
        <v>4.5000000000000005E-3</v>
      </c>
      <c r="W48" s="75">
        <f t="shared" si="60"/>
        <v>4.5000000000000005E-3</v>
      </c>
      <c r="X48" s="75">
        <f t="shared" si="60"/>
        <v>4.5000000000000005E-3</v>
      </c>
      <c r="Y48" s="75">
        <f t="shared" si="60"/>
        <v>4.5000000000000005E-3</v>
      </c>
      <c r="Z48" s="75">
        <f t="shared" si="60"/>
        <v>4.5000000000000005E-3</v>
      </c>
      <c r="AA48" s="84">
        <f t="shared" si="60"/>
        <v>4.5000000000000005E-3</v>
      </c>
      <c r="AB48" s="85">
        <v>40</v>
      </c>
      <c r="AC48" s="86">
        <v>40.5</v>
      </c>
      <c r="AD48" s="87">
        <v>41</v>
      </c>
      <c r="AE48" s="87">
        <v>42</v>
      </c>
      <c r="AF48" s="86">
        <v>42.5</v>
      </c>
      <c r="AG48" s="88">
        <v>43</v>
      </c>
      <c r="AH48" s="43">
        <v>43</v>
      </c>
      <c r="AI48" s="89">
        <v>25</v>
      </c>
      <c r="AJ48" s="30"/>
    </row>
    <row r="49" spans="1:36" x14ac:dyDescent="0.35">
      <c r="A49" s="147"/>
      <c r="B49" s="90"/>
      <c r="C49" s="91">
        <v>5</v>
      </c>
      <c r="D49" s="91" t="s">
        <v>26</v>
      </c>
      <c r="E49" s="91">
        <v>2021</v>
      </c>
      <c r="F49" s="76" t="s">
        <v>12</v>
      </c>
      <c r="G49" s="92">
        <v>830</v>
      </c>
      <c r="H49" s="82">
        <v>830</v>
      </c>
      <c r="I49" s="82">
        <v>770</v>
      </c>
      <c r="J49" s="82">
        <v>690</v>
      </c>
      <c r="K49" s="82">
        <v>690</v>
      </c>
      <c r="L49" s="82">
        <v>690</v>
      </c>
      <c r="M49" s="81">
        <v>690</v>
      </c>
      <c r="N49" s="92">
        <f>21*$AN$8</f>
        <v>12.242278723343073</v>
      </c>
      <c r="O49" s="82">
        <f>21*$AN$8</f>
        <v>12.242278723343073</v>
      </c>
      <c r="P49" s="82">
        <f>20*$AN$8</f>
        <v>11.659313069850546</v>
      </c>
      <c r="Q49" s="82">
        <f>19*$AN$8</f>
        <v>11.076347416358018</v>
      </c>
      <c r="R49" s="82">
        <f>18*$AN$8</f>
        <v>10.493381762865491</v>
      </c>
      <c r="S49" s="82">
        <f>18*$AN$8</f>
        <v>10.493381762865491</v>
      </c>
      <c r="T49" s="145">
        <v>10.493381762865491</v>
      </c>
      <c r="U49" s="91"/>
      <c r="V49" s="91"/>
      <c r="W49" s="91"/>
      <c r="X49" s="91"/>
      <c r="Y49" s="91"/>
      <c r="Z49" s="91"/>
      <c r="AA49" s="91"/>
      <c r="AB49" s="85"/>
      <c r="AC49" s="87"/>
      <c r="AD49" s="87"/>
      <c r="AE49" s="87"/>
      <c r="AF49" s="87"/>
      <c r="AG49" s="87"/>
      <c r="AH49" s="94"/>
      <c r="AI49" s="95">
        <v>40</v>
      </c>
      <c r="AJ49" s="30"/>
    </row>
    <row r="50" spans="1:36" ht="15" thickBot="1" x14ac:dyDescent="0.4">
      <c r="A50" s="147"/>
      <c r="B50" s="90"/>
      <c r="C50" s="96"/>
      <c r="D50" s="96" t="s">
        <v>27</v>
      </c>
      <c r="E50" s="96">
        <v>2021</v>
      </c>
      <c r="F50" s="76" t="s">
        <v>12</v>
      </c>
      <c r="G50" s="80">
        <f>455</f>
        <v>455</v>
      </c>
      <c r="H50" s="81"/>
      <c r="I50" s="82"/>
      <c r="J50" s="81"/>
      <c r="K50" s="81"/>
      <c r="L50" s="82"/>
      <c r="M50" s="81"/>
      <c r="N50" s="97">
        <f>20.3*$AN$8</f>
        <v>11.834202765898304</v>
      </c>
      <c r="O50" s="81"/>
      <c r="P50" s="81"/>
      <c r="Q50" s="81"/>
      <c r="R50" s="81"/>
      <c r="S50" s="81"/>
      <c r="T50" s="81"/>
      <c r="U50" s="98"/>
      <c r="V50" s="91"/>
      <c r="W50" s="91"/>
      <c r="X50" s="91"/>
      <c r="Y50" s="91"/>
      <c r="Z50" s="91"/>
      <c r="AA50" s="91"/>
      <c r="AB50" s="85">
        <v>33.799999999999997</v>
      </c>
      <c r="AC50" s="88"/>
      <c r="AD50" s="87"/>
      <c r="AE50" s="88"/>
      <c r="AF50" s="88"/>
      <c r="AG50" s="87"/>
      <c r="AH50" s="94"/>
      <c r="AI50" s="99"/>
      <c r="AJ50" s="30"/>
    </row>
    <row r="51" spans="1:36" x14ac:dyDescent="0.35">
      <c r="A51" s="147"/>
      <c r="B51" s="100" t="s">
        <v>19</v>
      </c>
      <c r="C51" s="101"/>
      <c r="D51" s="101"/>
      <c r="E51" s="101"/>
      <c r="F51" s="101"/>
      <c r="G51" s="102">
        <f>MIN(G48:G50)</f>
        <v>453.96</v>
      </c>
      <c r="H51" s="103">
        <f t="shared" ref="H51:T51" si="61">MIN(H48:H50)</f>
        <v>444.6</v>
      </c>
      <c r="I51" s="103">
        <f t="shared" si="61"/>
        <v>435.24</v>
      </c>
      <c r="J51" s="103">
        <f t="shared" si="61"/>
        <v>423.54</v>
      </c>
      <c r="K51" s="103">
        <f t="shared" si="61"/>
        <v>417.69</v>
      </c>
      <c r="L51" s="103">
        <f t="shared" si="61"/>
        <v>411.84</v>
      </c>
      <c r="M51" s="103">
        <f t="shared" si="61"/>
        <v>516.67200000000003</v>
      </c>
      <c r="N51" s="102">
        <f t="shared" si="61"/>
        <v>4.703236960992859</v>
      </c>
      <c r="O51" s="103">
        <f t="shared" si="61"/>
        <v>4.6093732413887576</v>
      </c>
      <c r="P51" s="103">
        <f t="shared" si="61"/>
        <v>4.5151248344092281</v>
      </c>
      <c r="Q51" s="103">
        <f t="shared" si="61"/>
        <v>4.4211574401933085</v>
      </c>
      <c r="R51" s="103">
        <f t="shared" si="61"/>
        <v>4.3742146672742246</v>
      </c>
      <c r="S51" s="103">
        <f t="shared" si="61"/>
        <v>4.3271163824374135</v>
      </c>
      <c r="T51" s="103">
        <f t="shared" si="61"/>
        <v>4.3271163824374135</v>
      </c>
      <c r="U51" s="104"/>
      <c r="V51" s="101"/>
      <c r="W51" s="101"/>
      <c r="X51" s="101"/>
      <c r="Y51" s="101"/>
      <c r="Z51" s="101"/>
      <c r="AA51" s="101"/>
      <c r="AB51" s="105">
        <f t="shared" ref="AB51" si="62">MIN(AB48:AB50)</f>
        <v>33.799999999999997</v>
      </c>
      <c r="AC51" s="106"/>
      <c r="AD51" s="106"/>
      <c r="AE51" s="106"/>
      <c r="AF51" s="106"/>
      <c r="AG51" s="106"/>
      <c r="AH51" s="107"/>
      <c r="AI51" s="108"/>
      <c r="AJ51" s="30"/>
    </row>
    <row r="52" spans="1:36" x14ac:dyDescent="0.35">
      <c r="A52" s="147"/>
      <c r="B52" s="109" t="s">
        <v>21</v>
      </c>
      <c r="C52" s="110"/>
      <c r="D52" s="110"/>
      <c r="E52" s="110"/>
      <c r="F52" s="110"/>
      <c r="G52" s="111">
        <f>MEDIAN(G48:G50)</f>
        <v>455</v>
      </c>
      <c r="H52" s="112">
        <f t="shared" ref="H52:T52" si="63">MEDIAN(H48:H50)</f>
        <v>637.29999999999995</v>
      </c>
      <c r="I52" s="112">
        <f t="shared" si="63"/>
        <v>602.62</v>
      </c>
      <c r="J52" s="112">
        <f t="shared" si="63"/>
        <v>556.77</v>
      </c>
      <c r="K52" s="112">
        <f t="shared" si="63"/>
        <v>553.84500000000003</v>
      </c>
      <c r="L52" s="112">
        <f t="shared" si="63"/>
        <v>550.91999999999996</v>
      </c>
      <c r="M52" s="112">
        <f t="shared" si="63"/>
        <v>603.33600000000001</v>
      </c>
      <c r="N52" s="111">
        <f t="shared" si="63"/>
        <v>11.834202765898304</v>
      </c>
      <c r="O52" s="112">
        <f t="shared" si="63"/>
        <v>8.4258259823659145</v>
      </c>
      <c r="P52" s="112">
        <f t="shared" si="63"/>
        <v>8.0872189521298878</v>
      </c>
      <c r="Q52" s="112">
        <f t="shared" si="63"/>
        <v>7.7487524282756635</v>
      </c>
      <c r="R52" s="112">
        <f t="shared" si="63"/>
        <v>7.4337982150698583</v>
      </c>
      <c r="S52" s="112">
        <f t="shared" si="63"/>
        <v>7.4102490726514523</v>
      </c>
      <c r="T52" s="112">
        <f t="shared" si="63"/>
        <v>7.4102490726514523</v>
      </c>
      <c r="U52" s="113"/>
      <c r="V52" s="110"/>
      <c r="W52" s="110"/>
      <c r="X52" s="110"/>
      <c r="Y52" s="110"/>
      <c r="Z52" s="110"/>
      <c r="AA52" s="110"/>
      <c r="AB52" s="114">
        <f t="shared" ref="AB52" si="64">MEDIAN(AB48:AB50)</f>
        <v>36.9</v>
      </c>
      <c r="AC52" s="115">
        <v>37.5</v>
      </c>
      <c r="AD52" s="116">
        <v>38</v>
      </c>
      <c r="AE52" s="116">
        <v>39</v>
      </c>
      <c r="AF52" s="115">
        <v>39.5</v>
      </c>
      <c r="AG52" s="116">
        <v>40</v>
      </c>
      <c r="AH52" s="117">
        <v>40</v>
      </c>
      <c r="AI52" s="142">
        <f t="shared" ref="AI52" si="65">MEDIAN(AI48:AI50)</f>
        <v>32.5</v>
      </c>
      <c r="AJ52" s="30"/>
    </row>
    <row r="53" spans="1:36" ht="15" thickBot="1" x14ac:dyDescent="0.4">
      <c r="A53" s="148"/>
      <c r="B53" s="119" t="s">
        <v>23</v>
      </c>
      <c r="C53" s="120"/>
      <c r="D53" s="120"/>
      <c r="E53" s="120"/>
      <c r="F53" s="120"/>
      <c r="G53" s="121">
        <f>MAX(G48:G50)</f>
        <v>830</v>
      </c>
      <c r="H53" s="122">
        <f t="shared" ref="H53:T53" si="66">MAX(H48:H50)</f>
        <v>830</v>
      </c>
      <c r="I53" s="122">
        <f t="shared" si="66"/>
        <v>770</v>
      </c>
      <c r="J53" s="122">
        <f t="shared" si="66"/>
        <v>690</v>
      </c>
      <c r="K53" s="122">
        <f t="shared" si="66"/>
        <v>690</v>
      </c>
      <c r="L53" s="122">
        <f t="shared" si="66"/>
        <v>690</v>
      </c>
      <c r="M53" s="122">
        <f t="shared" si="66"/>
        <v>690</v>
      </c>
      <c r="N53" s="121">
        <f t="shared" si="66"/>
        <v>12.242278723343073</v>
      </c>
      <c r="O53" s="122">
        <f t="shared" si="66"/>
        <v>12.242278723343073</v>
      </c>
      <c r="P53" s="122">
        <f t="shared" si="66"/>
        <v>11.659313069850546</v>
      </c>
      <c r="Q53" s="122">
        <f t="shared" si="66"/>
        <v>11.076347416358018</v>
      </c>
      <c r="R53" s="122">
        <f t="shared" si="66"/>
        <v>10.493381762865491</v>
      </c>
      <c r="S53" s="122">
        <f t="shared" si="66"/>
        <v>10.493381762865491</v>
      </c>
      <c r="T53" s="122">
        <f t="shared" si="66"/>
        <v>10.493381762865491</v>
      </c>
      <c r="U53" s="123"/>
      <c r="V53" s="120"/>
      <c r="W53" s="120"/>
      <c r="X53" s="120"/>
      <c r="Y53" s="120"/>
      <c r="Z53" s="120"/>
      <c r="AA53" s="120"/>
      <c r="AB53" s="124">
        <f t="shared" ref="AB53" si="67">MAX(AB48:AB50)</f>
        <v>40</v>
      </c>
      <c r="AC53" s="125"/>
      <c r="AD53" s="125"/>
      <c r="AE53" s="125"/>
      <c r="AF53" s="125"/>
      <c r="AG53" s="125"/>
      <c r="AH53" s="126"/>
      <c r="AI53" s="127"/>
      <c r="AJ53" s="30"/>
    </row>
    <row r="55" spans="1:36" x14ac:dyDescent="0.35">
      <c r="B55" s="149" t="s">
        <v>28</v>
      </c>
      <c r="C55" s="150"/>
      <c r="D55" s="150"/>
      <c r="E55" s="151"/>
      <c r="F55" s="151"/>
    </row>
    <row r="56" spans="1:36" x14ac:dyDescent="0.35">
      <c r="B56" s="149" t="s">
        <v>29</v>
      </c>
    </row>
    <row r="57" spans="1:36" x14ac:dyDescent="0.35">
      <c r="L57" s="152">
        <v>5</v>
      </c>
      <c r="M57" s="152" t="s">
        <v>26</v>
      </c>
      <c r="N57" s="152">
        <v>2021</v>
      </c>
      <c r="O57" s="153" t="s">
        <v>12</v>
      </c>
    </row>
    <row r="59" spans="1:36" x14ac:dyDescent="0.35">
      <c r="C59" s="152">
        <v>4</v>
      </c>
      <c r="D59" s="152" t="s">
        <v>15</v>
      </c>
      <c r="E59" s="152">
        <v>2022</v>
      </c>
      <c r="F59" s="153" t="s">
        <v>12</v>
      </c>
      <c r="G59" s="153"/>
      <c r="Z59" s="154"/>
      <c r="AB59" s="155"/>
    </row>
    <row r="62" spans="1:36" x14ac:dyDescent="0.35">
      <c r="AE62" t="s">
        <v>30</v>
      </c>
    </row>
    <row r="64" spans="1:36" x14ac:dyDescent="0.35">
      <c r="AE64">
        <v>2025</v>
      </c>
      <c r="AF64">
        <v>2030</v>
      </c>
      <c r="AG64">
        <v>2040</v>
      </c>
      <c r="AH64">
        <v>2050</v>
      </c>
      <c r="AI64">
        <v>2060</v>
      </c>
    </row>
    <row r="65" spans="1:35" x14ac:dyDescent="0.35">
      <c r="AE65" s="156">
        <f>(830/550)-1</f>
        <v>0.50909090909090904</v>
      </c>
      <c r="AF65" s="156">
        <f>(770/550)-1</f>
        <v>0.39999999999999991</v>
      </c>
      <c r="AG65" s="156">
        <f>(690/550)-1</f>
        <v>0.25454545454545463</v>
      </c>
      <c r="AH65" s="156">
        <f>(690/550)-1</f>
        <v>0.25454545454545463</v>
      </c>
      <c r="AI65" s="156">
        <f>(690/550)-1</f>
        <v>0.25454545454545463</v>
      </c>
    </row>
    <row r="69" spans="1:35" x14ac:dyDescent="0.35">
      <c r="AE69" t="s">
        <v>31</v>
      </c>
    </row>
    <row r="70" spans="1:35" x14ac:dyDescent="0.35">
      <c r="AE70">
        <v>2025</v>
      </c>
      <c r="AF70">
        <v>2030</v>
      </c>
      <c r="AG70">
        <v>2040</v>
      </c>
      <c r="AH70">
        <v>2050</v>
      </c>
      <c r="AI70">
        <v>2060</v>
      </c>
    </row>
    <row r="71" spans="1:35" x14ac:dyDescent="0.35">
      <c r="AE71" s="156">
        <f>(21/15)-1</f>
        <v>0.39999999999999991</v>
      </c>
      <c r="AF71" s="156">
        <f>(20/15)-1</f>
        <v>0.33333333333333326</v>
      </c>
      <c r="AG71" s="156">
        <f>(18/15)-1</f>
        <v>0.19999999999999996</v>
      </c>
      <c r="AH71" s="156">
        <f>(18/15)-1</f>
        <v>0.19999999999999996</v>
      </c>
      <c r="AI71" s="156">
        <f>(18/15)-1</f>
        <v>0.19999999999999996</v>
      </c>
    </row>
    <row r="78" spans="1:35" x14ac:dyDescent="0.35">
      <c r="A78" t="s">
        <v>14</v>
      </c>
      <c r="B78">
        <v>2020</v>
      </c>
      <c r="C78">
        <v>2025</v>
      </c>
      <c r="D78">
        <v>2030</v>
      </c>
      <c r="E78">
        <v>2040</v>
      </c>
      <c r="F78">
        <v>2045</v>
      </c>
      <c r="G78">
        <v>2050</v>
      </c>
    </row>
    <row r="79" spans="1:35" x14ac:dyDescent="0.35">
      <c r="A79" t="s">
        <v>32</v>
      </c>
      <c r="B79">
        <v>1300</v>
      </c>
      <c r="C79">
        <v>1200</v>
      </c>
      <c r="D79">
        <v>1100</v>
      </c>
      <c r="E79">
        <v>950</v>
      </c>
      <c r="F79">
        <v>875</v>
      </c>
      <c r="G79">
        <v>800</v>
      </c>
      <c r="M79" s="157"/>
      <c r="N79" s="157" t="s">
        <v>33</v>
      </c>
      <c r="O79" s="157">
        <v>2022</v>
      </c>
      <c r="P79" s="158" t="s">
        <v>12</v>
      </c>
    </row>
    <row r="80" spans="1:35" x14ac:dyDescent="0.35">
      <c r="A80" t="s">
        <v>34</v>
      </c>
      <c r="C80" s="156">
        <f>C79/$B$79</f>
        <v>0.92307692307692313</v>
      </c>
      <c r="D80" s="156">
        <f t="shared" ref="D80:G80" si="68">D79/$B$79</f>
        <v>0.84615384615384615</v>
      </c>
      <c r="E80" s="156">
        <f t="shared" si="68"/>
        <v>0.73076923076923073</v>
      </c>
      <c r="F80" s="156">
        <f t="shared" si="68"/>
        <v>0.67307692307692313</v>
      </c>
      <c r="G80" s="156">
        <f t="shared" si="68"/>
        <v>0.61538461538461542</v>
      </c>
    </row>
    <row r="90" spans="3:32" x14ac:dyDescent="0.35">
      <c r="C90" s="159"/>
      <c r="D90" s="159"/>
      <c r="E90" s="159"/>
      <c r="F90" s="151"/>
      <c r="G90" s="151"/>
    </row>
    <row r="91" spans="3:32" x14ac:dyDescent="0.35">
      <c r="C91" s="160">
        <v>11</v>
      </c>
      <c r="D91" s="161" t="s">
        <v>16</v>
      </c>
      <c r="E91" s="160">
        <v>2022</v>
      </c>
      <c r="F91" s="162" t="s">
        <v>12</v>
      </c>
    </row>
    <row r="92" spans="3:32" x14ac:dyDescent="0.35">
      <c r="T92" t="s">
        <v>35</v>
      </c>
    </row>
    <row r="93" spans="3:32" x14ac:dyDescent="0.35">
      <c r="T93" t="s">
        <v>36</v>
      </c>
    </row>
    <row r="96" spans="3:32" x14ac:dyDescent="0.35">
      <c r="AF96" s="163"/>
    </row>
    <row r="101" spans="29:35" x14ac:dyDescent="0.35">
      <c r="AC101" s="156"/>
    </row>
    <row r="107" spans="29:35" x14ac:dyDescent="0.35">
      <c r="AF107" s="156"/>
      <c r="AG107" s="156"/>
      <c r="AH107" s="156"/>
      <c r="AI107" s="156"/>
    </row>
    <row r="111" spans="29:35" x14ac:dyDescent="0.35">
      <c r="AF111" s="156"/>
      <c r="AG111" s="156"/>
      <c r="AH111" s="156"/>
      <c r="AI111" s="156"/>
    </row>
    <row r="118" spans="2:32" x14ac:dyDescent="0.35">
      <c r="B118" s="157"/>
      <c r="C118" s="157" t="s">
        <v>27</v>
      </c>
      <c r="D118" s="157">
        <v>2021</v>
      </c>
      <c r="E118" s="158" t="s">
        <v>12</v>
      </c>
    </row>
    <row r="119" spans="2:32" x14ac:dyDescent="0.35">
      <c r="AF119" s="163"/>
    </row>
    <row r="120" spans="2:32" x14ac:dyDescent="0.35">
      <c r="B120" s="164"/>
      <c r="C120" s="164"/>
      <c r="D120" s="164"/>
      <c r="E120" s="151"/>
      <c r="F120" s="151"/>
    </row>
    <row r="130" spans="2:12" x14ac:dyDescent="0.35">
      <c r="B130" s="164"/>
      <c r="C130" s="164"/>
      <c r="D130" s="164"/>
      <c r="E130" s="151"/>
      <c r="F130" s="151"/>
    </row>
    <row r="131" spans="2:12" x14ac:dyDescent="0.35">
      <c r="B131" s="157"/>
      <c r="C131" s="157" t="s">
        <v>17</v>
      </c>
      <c r="D131" s="157">
        <v>2020</v>
      </c>
      <c r="E131" s="158" t="s">
        <v>12</v>
      </c>
    </row>
    <row r="133" spans="2:12" x14ac:dyDescent="0.35">
      <c r="K133" t="s">
        <v>37</v>
      </c>
    </row>
    <row r="136" spans="2:12" x14ac:dyDescent="0.35">
      <c r="K136" t="s">
        <v>38</v>
      </c>
      <c r="L136">
        <v>2030</v>
      </c>
    </row>
    <row r="137" spans="2:12" x14ac:dyDescent="0.35">
      <c r="K137" s="165">
        <f>(1320+67)/1.422</f>
        <v>975.38677918424753</v>
      </c>
      <c r="L137" s="165">
        <f>(1000+45)/1.1422</f>
        <v>914.90106811416558</v>
      </c>
    </row>
    <row r="141" spans="2:12" x14ac:dyDescent="0.35">
      <c r="B141" s="166"/>
      <c r="C141" s="150"/>
      <c r="D141" s="150"/>
    </row>
    <row r="142" spans="2:12" x14ac:dyDescent="0.35">
      <c r="B142" s="150"/>
      <c r="C142" s="150"/>
      <c r="D142" s="150"/>
      <c r="E142" s="151"/>
      <c r="F142" s="151"/>
    </row>
    <row r="236" spans="17:32" x14ac:dyDescent="0.35">
      <c r="Q236" s="150"/>
      <c r="R236" s="150"/>
      <c r="S236" s="150"/>
      <c r="T236" s="150"/>
      <c r="U236" s="150"/>
      <c r="V236" s="151"/>
      <c r="AF236" s="150"/>
    </row>
    <row r="260" spans="2:6" x14ac:dyDescent="0.35">
      <c r="B260" s="150"/>
      <c r="C260" s="150"/>
      <c r="D260" s="150"/>
      <c r="E260" s="151"/>
      <c r="F260" s="151"/>
    </row>
  </sheetData>
  <mergeCells count="21">
    <mergeCell ref="A42:A53"/>
    <mergeCell ref="B42:B44"/>
    <mergeCell ref="B48:B50"/>
    <mergeCell ref="A16:A27"/>
    <mergeCell ref="B16:B18"/>
    <mergeCell ref="B22:B24"/>
    <mergeCell ref="A29:A40"/>
    <mergeCell ref="B29:B31"/>
    <mergeCell ref="B35:B37"/>
    <mergeCell ref="AB1:AH1"/>
    <mergeCell ref="AI1:AI2"/>
    <mergeCell ref="AJ1:AJ2"/>
    <mergeCell ref="A3:A14"/>
    <mergeCell ref="B3:B5"/>
    <mergeCell ref="B9:B11"/>
    <mergeCell ref="A1:A2"/>
    <mergeCell ref="B1:B2"/>
    <mergeCell ref="C1:F1"/>
    <mergeCell ref="G1:M1"/>
    <mergeCell ref="N1:T1"/>
    <mergeCell ref="U1:AA1"/>
  </mergeCells>
  <hyperlinks>
    <hyperlink ref="F59" r:id="rId1" xr:uid="{DA1CA183-C7B3-4F8E-ADF8-D370EB67477B}"/>
    <hyperlink ref="F91" r:id="rId2" xr:uid="{3693F840-5B37-4E7C-8F22-23AB88FAD3AA}"/>
    <hyperlink ref="O57" r:id="rId3" xr:uid="{B5FBF12F-B9D2-4705-AD5B-364E70527390}"/>
    <hyperlink ref="P79" r:id="rId4" xr:uid="{508A4D9E-DF26-479C-89B3-83041387CBFC}"/>
    <hyperlink ref="E118" r:id="rId5" xr:uid="{5C1DB833-D62F-4F68-9471-3AA836DC5291}"/>
    <hyperlink ref="E131" r:id="rId6" xr:uid="{C9109D5C-F875-4C44-A58B-3257804DDB70}"/>
  </hyperlinks>
  <pageMargins left="0.7" right="0.7" top="0.78740157500000008" bottom="0.78740157500000008" header="0.3" footer="0.3"/>
  <pageSetup paperSize="9" orientation="portrait" verticalDpi="0"/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H2 to 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Linsel, Oliver</dc:creator>
  <cp:lastModifiedBy>Linsel, Oliver</cp:lastModifiedBy>
  <dcterms:created xsi:type="dcterms:W3CDTF">2024-12-10T10:30:11Z</dcterms:created>
  <dcterms:modified xsi:type="dcterms:W3CDTF">2024-12-10T10:31:12Z</dcterms:modified>
</cp:coreProperties>
</file>